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I:\Departamenti un nodalas\IPD\Vides Investīciju nodaļa\SAM pasakumi\5.4.1.1.pasakums\Metodikas\"/>
    </mc:Choice>
  </mc:AlternateContent>
  <bookViews>
    <workbookView xWindow="0" yWindow="0" windowWidth="19560" windowHeight="7740" tabRatio="886" firstSheet="1" activeTab="1"/>
  </bookViews>
  <sheets>
    <sheet name="HIDDEN" sheetId="1327" state="hidden" r:id="rId1"/>
    <sheet name="Titullapa" sheetId="1323" r:id="rId2"/>
    <sheet name="1. DL budžets" sheetId="1328" r:id="rId3"/>
    <sheet name="2. DL invest.n.pl.BEZ pr." sheetId="1321" r:id="rId4"/>
    <sheet name="3. DL invest.n.pl.AR pr." sheetId="1260" r:id="rId5"/>
    <sheet name="4.DL Finansiālā ilgtspēja" sheetId="1264" r:id="rId6"/>
    <sheet name="5. DL soc.econom. analīze" sheetId="1320" r:id="rId7"/>
    <sheet name="6.DL  jut. analīze-Inv." sheetId="1271" r:id="rId8"/>
    <sheet name="7.DL jut. analīze-Soc." sheetId="1269" r:id="rId9"/>
    <sheet name="8. AL budžets kopā" sheetId="1312" r:id="rId10"/>
    <sheet name="9. AL alternatīvu anal." sheetId="1263" r:id="rId11"/>
    <sheet name="10. AL soc.ekonom. anal." sheetId="1266" r:id="rId12"/>
    <sheet name="11. RL Kapitāla naudas plūsma" sheetId="1259" r:id="rId13"/>
    <sheet name="12. RL Investīciju n.pl." sheetId="1258" r:id="rId14"/>
    <sheet name="13. RL Sociālekonomiskā an." sheetId="1265" r:id="rId15"/>
    <sheet name="Neparedzētās izmaksas" sheetId="1272" state="hidden" r:id="rId16"/>
    <sheet name="tarifi vilcienam" sheetId="1277" state="hidden" r:id="rId17"/>
    <sheet name="attalumi" sheetId="1280" state="hidden" r:id="rId18"/>
    <sheet name="negadījumu izmaksas" sheetId="1281" state="hidden" r:id="rId19"/>
    <sheet name="pasazieri" sheetId="1282" state="hidden" r:id="rId20"/>
    <sheet name="reisi R-T" sheetId="1283" state="hidden" r:id="rId21"/>
    <sheet name="reisi R-J" sheetId="1284" state="hidden" r:id="rId22"/>
    <sheet name="investīcijas_new" sheetId="1292" state="hidden" r:id="rId23"/>
    <sheet name="dati_vilcieni" sheetId="1275" state="hidden" r:id="rId24"/>
    <sheet name="uzturesanas_izmaksas" sheetId="1286" state="hidden" r:id="rId25"/>
    <sheet name="negadijumi" sheetId="1285" state="hidden" r:id="rId26"/>
    <sheet name="energo_2012" sheetId="1294" state="hidden" r:id="rId27"/>
    <sheet name="energo_jaunais" sheetId="1293" state="hidden" r:id="rId28"/>
    <sheet name="INVEST 1" sheetId="1308" state="hidden" r:id="rId29"/>
    <sheet name="INVEST 2" sheetId="1309" state="hidden" r:id="rId30"/>
    <sheet name="INVEST 3" sheetId="1310" state="hidden" r:id="rId31"/>
    <sheet name="14. Kontroles lapa" sheetId="1314" r:id="rId32"/>
    <sheet name="15. PIV 2.pielikums Fin. plāns" sheetId="1311" r:id="rId33"/>
    <sheet name="16. PIV 3.pielikums" sheetId="1324" r:id="rId34"/>
    <sheet name="17.PIV 4. pielikums finanšu an." sheetId="1325" r:id="rId35"/>
    <sheet name="18. PIV 4.pielikums Ekonom. an." sheetId="1326" r:id="rId36"/>
  </sheets>
  <externalReferences>
    <externalReference r:id="rId37"/>
    <externalReference r:id="rId38"/>
    <externalReference r:id="rId39"/>
    <externalReference r:id="rId40"/>
    <externalReference r:id="rId41"/>
    <externalReference r:id="rId42"/>
    <externalReference r:id="rId43"/>
    <externalReference r:id="rId44"/>
    <externalReference r:id="rId45"/>
  </externalReferences>
  <definedNames>
    <definedName name="__FDS_HYPERLINK_TOGGLE_STATE__" hidden="1">"ON"</definedName>
    <definedName name="_DAT1" localSheetId="2">#REF!</definedName>
    <definedName name="_DAT1">#REF!</definedName>
    <definedName name="_DAT10" localSheetId="2">#REF!</definedName>
    <definedName name="_DAT10">#REF!</definedName>
    <definedName name="_DAT11" localSheetId="2">#REF!</definedName>
    <definedName name="_DAT11">#REF!</definedName>
    <definedName name="_DAT12" localSheetId="2">#REF!</definedName>
    <definedName name="_DAT12">#REF!</definedName>
    <definedName name="_DAT13" localSheetId="2">#REF!</definedName>
    <definedName name="_DAT13">#REF!</definedName>
    <definedName name="_DAT14" localSheetId="2">#REF!</definedName>
    <definedName name="_DAT14">#REF!</definedName>
    <definedName name="_DAT15" localSheetId="2">#REF!</definedName>
    <definedName name="_DAT15">#REF!</definedName>
    <definedName name="_DAT16" localSheetId="2">#REF!</definedName>
    <definedName name="_DAT16">#REF!</definedName>
    <definedName name="_DAT17" localSheetId="2">#REF!</definedName>
    <definedName name="_DAT17">#REF!</definedName>
    <definedName name="_DAT18" localSheetId="2">#REF!</definedName>
    <definedName name="_DAT18">#REF!</definedName>
    <definedName name="_DAT19" localSheetId="2">#REF!</definedName>
    <definedName name="_DAT19">#REF!</definedName>
    <definedName name="_DAT2" localSheetId="2">#REF!</definedName>
    <definedName name="_DAT2">#REF!</definedName>
    <definedName name="_DAT20" localSheetId="2">#REF!</definedName>
    <definedName name="_DAT20">#REF!</definedName>
    <definedName name="_DAT21" localSheetId="2">#REF!</definedName>
    <definedName name="_DAT21">#REF!</definedName>
    <definedName name="_DAT22" localSheetId="2">#REF!</definedName>
    <definedName name="_DAT22">#REF!</definedName>
    <definedName name="_DAT23" localSheetId="2">#REF!</definedName>
    <definedName name="_DAT23">#REF!</definedName>
    <definedName name="_DAT24" localSheetId="2">#REF!</definedName>
    <definedName name="_DAT24">#REF!</definedName>
    <definedName name="_DAT3" localSheetId="2">#REF!</definedName>
    <definedName name="_DAT3">#REF!</definedName>
    <definedName name="_DAT4" localSheetId="2">#REF!</definedName>
    <definedName name="_DAT4">#REF!</definedName>
    <definedName name="_DAT5" localSheetId="2">#REF!</definedName>
    <definedName name="_DAT5">#REF!</definedName>
    <definedName name="_DAT6" localSheetId="2">#REF!</definedName>
    <definedName name="_DAT6">#REF!</definedName>
    <definedName name="_DAT7" localSheetId="2">#REF!</definedName>
    <definedName name="_DAT7">#REF!</definedName>
    <definedName name="_DAT8" localSheetId="2">#REF!</definedName>
    <definedName name="_DAT8">#REF!</definedName>
    <definedName name="_DAT9" localSheetId="2">#REF!</definedName>
    <definedName name="_DAT9">#REF!</definedName>
    <definedName name="_Fill" localSheetId="2" hidden="1">'[1]1993'!#REF!</definedName>
    <definedName name="_Fill" hidden="1">'[1]1993'!#REF!</definedName>
    <definedName name="_xlnm._FilterDatabase" localSheetId="17" hidden="1">attalumi!$A$3:$GI$193</definedName>
    <definedName name="_j1" localSheetId="12" hidden="1">{"Total Assets",#N/A,FALSE,"HI Lexington";"Management Contracts",#N/A,FALSE,"HI Lexington";"Franchise Agreements",#N/A,FALSE,"HI Lexington";"Owned Hotel Total",#N/A,FALSE,"HI Lexington";"Total Revenue",#N/A,FALSE,"HI Lexington";"Operating Cost Breakdown",#N/A,FALSE,"HI Lexington";"Allocated Cost Breakdown",#N/A,FALSE,"HI Lexington";"Capex Breakdown",#N/A,FALSE,"HI Lexington";"D&amp;A Breakdown",#N/A,FALSE,"HI Lexington";"Overhead D&amp;A Allocation",#N/A,FALSE,"HI Lexington";"CTP Breakdown",#N/A,FALSE,"HI Lexington"}</definedName>
    <definedName name="_j1" localSheetId="7" hidden="1">{"Total Assets",#N/A,FALSE,"HI Lexington";"Management Contracts",#N/A,FALSE,"HI Lexington";"Franchise Agreements",#N/A,FALSE,"HI Lexington";"Owned Hotel Total",#N/A,FALSE,"HI Lexington";"Total Revenue",#N/A,FALSE,"HI Lexington";"Operating Cost Breakdown",#N/A,FALSE,"HI Lexington";"Allocated Cost Breakdown",#N/A,FALSE,"HI Lexington";"Capex Breakdown",#N/A,FALSE,"HI Lexington";"D&amp;A Breakdown",#N/A,FALSE,"HI Lexington";"Overhead D&amp;A Allocation",#N/A,FALSE,"HI Lexington";"CTP Breakdown",#N/A,FALSE,"HI Lexington"}</definedName>
    <definedName name="_j1" localSheetId="8" hidden="1">{"Total Assets",#N/A,FALSE,"HI Lexington";"Management Contracts",#N/A,FALSE,"HI Lexington";"Franchise Agreements",#N/A,FALSE,"HI Lexington";"Owned Hotel Total",#N/A,FALSE,"HI Lexington";"Total Revenue",#N/A,FALSE,"HI Lexington";"Operating Cost Breakdown",#N/A,FALSE,"HI Lexington";"Allocated Cost Breakdown",#N/A,FALSE,"HI Lexington";"Capex Breakdown",#N/A,FALSE,"HI Lexington";"D&amp;A Breakdown",#N/A,FALSE,"HI Lexington";"Overhead D&amp;A Allocation",#N/A,FALSE,"HI Lexington";"CTP Breakdown",#N/A,FALSE,"HI Lexington"}</definedName>
    <definedName name="_j1" hidden="1">{"Total Assets",#N/A,FALSE,"HI Lexington";"Management Contracts",#N/A,FALSE,"HI Lexington";"Franchise Agreements",#N/A,FALSE,"HI Lexington";"Owned Hotel Total",#N/A,FALSE,"HI Lexington";"Total Revenue",#N/A,FALSE,"HI Lexington";"Operating Cost Breakdown",#N/A,FALSE,"HI Lexington";"Allocated Cost Breakdown",#N/A,FALSE,"HI Lexington";"Capex Breakdown",#N/A,FALSE,"HI Lexington";"D&amp;A Breakdown",#N/A,FALSE,"HI Lexington";"Overhead D&amp;A Allocation",#N/A,FALSE,"HI Lexington";"CTP Breakdown",#N/A,FALSE,"HI Lexington"}</definedName>
    <definedName name="AS2DocOpenMode" hidden="1">"AS2DocumentEdit"</definedName>
    <definedName name="atbalsts" localSheetId="2">'1. DL budžets'!$B$33:$B$33</definedName>
    <definedName name="atbalsts">'8. AL budžets kopā'!$B$40:$B$40</definedName>
    <definedName name="BLPH1" localSheetId="2" hidden="1">#REF!</definedName>
    <definedName name="BLPH1" hidden="1">#REF!</definedName>
    <definedName name="BLPH10" localSheetId="2" hidden="1">#REF!</definedName>
    <definedName name="BLPH10" hidden="1">#REF!</definedName>
    <definedName name="BLPH11" localSheetId="2" hidden="1">#REF!</definedName>
    <definedName name="BLPH11" hidden="1">#REF!</definedName>
    <definedName name="BLPH12" localSheetId="2" hidden="1">#REF!</definedName>
    <definedName name="BLPH12" hidden="1">#REF!</definedName>
    <definedName name="BLPH13" localSheetId="2" hidden="1">#REF!</definedName>
    <definedName name="BLPH13" hidden="1">#REF!</definedName>
    <definedName name="BLPH14" localSheetId="2" hidden="1">#REF!</definedName>
    <definedName name="BLPH14" hidden="1">#REF!</definedName>
    <definedName name="BLPH15" localSheetId="2" hidden="1">#REF!</definedName>
    <definedName name="BLPH15" hidden="1">#REF!</definedName>
    <definedName name="BLPH16" localSheetId="2" hidden="1">#REF!</definedName>
    <definedName name="BLPH16" hidden="1">#REF!</definedName>
    <definedName name="BLPH17" localSheetId="2" hidden="1">#REF!</definedName>
    <definedName name="BLPH17" hidden="1">#REF!</definedName>
    <definedName name="BLPH18" localSheetId="2" hidden="1">#REF!</definedName>
    <definedName name="BLPH18" hidden="1">#REF!</definedName>
    <definedName name="BLPH19" localSheetId="2" hidden="1">#REF!</definedName>
    <definedName name="BLPH19" hidden="1">#REF!</definedName>
    <definedName name="BLPH2" localSheetId="2" hidden="1">#REF!</definedName>
    <definedName name="BLPH2" hidden="1">#REF!</definedName>
    <definedName name="BLPH20" localSheetId="2" hidden="1">#REF!</definedName>
    <definedName name="BLPH20" hidden="1">#REF!</definedName>
    <definedName name="BLPH21" localSheetId="2" hidden="1">#REF!</definedName>
    <definedName name="BLPH21" hidden="1">#REF!</definedName>
    <definedName name="BLPH22" localSheetId="2" hidden="1">#REF!</definedName>
    <definedName name="BLPH22" hidden="1">#REF!</definedName>
    <definedName name="BLPH23" localSheetId="2" hidden="1">#REF!</definedName>
    <definedName name="BLPH23" hidden="1">#REF!</definedName>
    <definedName name="BLPH24" localSheetId="2" hidden="1">#REF!</definedName>
    <definedName name="BLPH24" hidden="1">#REF!</definedName>
    <definedName name="BLPH25" localSheetId="2" hidden="1">#REF!</definedName>
    <definedName name="BLPH25" hidden="1">#REF!</definedName>
    <definedName name="BLPH26" localSheetId="2" hidden="1">#REF!</definedName>
    <definedName name="BLPH26" hidden="1">#REF!</definedName>
    <definedName name="BLPH27" localSheetId="2" hidden="1">#REF!</definedName>
    <definedName name="BLPH27" hidden="1">#REF!</definedName>
    <definedName name="BLPH3" localSheetId="2" hidden="1">#REF!</definedName>
    <definedName name="BLPH3" hidden="1">#REF!</definedName>
    <definedName name="BLPH4" localSheetId="2" hidden="1">#REF!</definedName>
    <definedName name="BLPH4" hidden="1">#REF!</definedName>
    <definedName name="BLPH5" localSheetId="2" hidden="1">#REF!</definedName>
    <definedName name="BLPH5" hidden="1">#REF!</definedName>
    <definedName name="BLPH6" localSheetId="2" hidden="1">#REF!</definedName>
    <definedName name="BLPH6" hidden="1">#REF!</definedName>
    <definedName name="BLPH7" localSheetId="2" hidden="1">#REF!</definedName>
    <definedName name="BLPH7" hidden="1">#REF!</definedName>
    <definedName name="BLPH8" localSheetId="2" hidden="1">#REF!</definedName>
    <definedName name="BLPH8" hidden="1">#REF!</definedName>
    <definedName name="BLPH9" localSheetId="2" hidden="1">#REF!</definedName>
    <definedName name="BLPH9" hidden="1">#REF!</definedName>
    <definedName name="bs06usd">[2]R5!$E$7</definedName>
    <definedName name="bvc" hidden="1">{"Adjusted Balance Sheet",#N/A,FALSE,"Asia Cost Allocation";"Adjusted Income Statement",#N/A,FALSE,"Asia Cost Allocation";"Americas Franchise",#N/A,FALSE,"Asia Cost Allocation";"Americas Franchise 2",#N/A,FALSE,"Asia Cost Allocation";"EMEA Franchise",#N/A,FALSE,"Asia Cost Allocation";"EMEA Franchise 2",#N/A,FALSE,"Asia Cost Allocation";"Asia Franchise 1",#N/A,FALSE,"Asia Cost Allocation";"Asia Franchise 2",#N/A,FALSE,"Asia Cost Allocation";"Americas Managed 1",#N/A,FALSE,"Asia Cost Allocation";"Americas Managed 2",#N/A,FALSE,"Asia Cost Allocation";"Asia Management 1",#N/A,FALSE,"Asia Cost Allocation";"Asia Management 2",#N/A,FALSE,"Asia Cost Allocation";"Bristol Management 1",#N/A,FALSE,"Asia Cost Allocation";"Bristol Management 2",#N/A,FALSE,"Asia Cost Allocation";"Asia Other Royalty 1",#N/A,FALSE,"Asia Cost Allocation";"Asia Other Royalty 2",#N/A,FALSE,"Asia Cost Allocation";"HI Atlanta",#N/A,FALSE,"Asia Cost Allocation";"HI San Antonio",#N/A,FALSE,"Asia Cost Allocation";"HI Lexington",#N/A,FALSE,"Asia Cost Allocation";"HI South Bend",#N/A,FALSE,"Asia Cost Allocation";"HI Memphis East",#N/A,FALSE,"Asia Cost Allocation";"HI Anaheim",#N/A,FALSE,"Asia Cost Allocation";"CP United Nations",#N/A,FALSE,"Asia Cost Allocation";"CP Houston Galleria",#N/A,FALSE,"Asia Cost Allocation";"CP Redondo Beach",#N/A,FALSE,"Asia Cost Allocation";"CP White Plains",#N/A,FALSE,"Asia Cost Allocation";"CP Santiago",#N/A,FALSE,"Asia Cost Allocation";"CP LAX",#N/A,FALSE,"Asia Cost Allocation";"IC Stephen Austin",#N/A,FALSE,"Asia Cost Allocation";"Staybridge Suites",#N/A,FALSE,"Asia Cost Allocation";"Unconsolidated Affiliates",#N/A,FALSE,"Asia Cost Allocation";"Midland Hotel",#N/A,FALSE,"Asia Cost Allocation";"Asia cost allocation",#N/A,FALSE,"Asia Cost Allocation";"EMEA Cost Allocation",#N/A,FALSE,"Asia Cost Allocation"}</definedName>
    <definedName name="Cash_Flows" localSheetId="2">OFFSET(#REF!,0,0,#REF!,1)</definedName>
    <definedName name="Cash_Flows">OFFSET(#REF!,0,0,#REF!,1)</definedName>
    <definedName name="cc" localSheetId="2">[3]PPE!#REF!</definedName>
    <definedName name="cc">[3]PPE!#REF!</definedName>
    <definedName name="ChartCaptions" localSheetId="2">#REF!</definedName>
    <definedName name="ChartCaptions">#REF!</definedName>
    <definedName name="ChartingArea">'[4]EBITDA Bridge'!$A$6:$A$103,'[4]EBITDA Bridge'!$F$6:$L$103</definedName>
    <definedName name="ChartingLabels" localSheetId="2">#REF!</definedName>
    <definedName name="ChartingLabels">#REF!</definedName>
    <definedName name="cur" localSheetId="2">#REF!</definedName>
    <definedName name="cur">#REF!</definedName>
    <definedName name="DAT1___0" localSheetId="2">[5]предопл!#REF!</definedName>
    <definedName name="DAT1___0">[5]предопл!#REF!</definedName>
    <definedName name="DAT1___26" localSheetId="2">#REF!</definedName>
    <definedName name="DAT1___26">#REF!</definedName>
    <definedName name="DAT1___39" localSheetId="2">#REF!</definedName>
    <definedName name="DAT1___39">#REF!</definedName>
    <definedName name="DAT1___40" localSheetId="2">#REF!</definedName>
    <definedName name="DAT1___40">#REF!</definedName>
    <definedName name="DAT10___0" localSheetId="2">#REF!</definedName>
    <definedName name="DAT10___0">#REF!</definedName>
    <definedName name="DAT11___0" localSheetId="2">#REF!</definedName>
    <definedName name="DAT11___0">#REF!</definedName>
    <definedName name="DAT12___0" localSheetId="2">[5]предопл!#REF!</definedName>
    <definedName name="DAT12___0">[5]предопл!#REF!</definedName>
    <definedName name="DAT12___26" localSheetId="2">#REF!</definedName>
    <definedName name="DAT12___26">#REF!</definedName>
    <definedName name="DAT12___39" localSheetId="2">#REF!</definedName>
    <definedName name="DAT12___39">#REF!</definedName>
    <definedName name="DAT12___40" localSheetId="2">#REF!</definedName>
    <definedName name="DAT12___40">#REF!</definedName>
    <definedName name="DAT13___0" localSheetId="2">[5]предопл!#REF!</definedName>
    <definedName name="DAT13___0">[5]предопл!#REF!</definedName>
    <definedName name="DAT13___26" localSheetId="2">#REF!</definedName>
    <definedName name="DAT13___26">#REF!</definedName>
    <definedName name="DAT13___39" localSheetId="2">#REF!</definedName>
    <definedName name="DAT13___39">#REF!</definedName>
    <definedName name="DAT13___40" localSheetId="2">#REF!</definedName>
    <definedName name="DAT13___40">#REF!</definedName>
    <definedName name="DAT14___0" localSheetId="2">#REF!</definedName>
    <definedName name="DAT14___0">#REF!</definedName>
    <definedName name="DAT15___0" localSheetId="2">#REF!</definedName>
    <definedName name="DAT15___0">#REF!</definedName>
    <definedName name="DAT16___0" localSheetId="2">[5]предопл!#REF!</definedName>
    <definedName name="DAT16___0">[5]предопл!#REF!</definedName>
    <definedName name="DAT16___26" localSheetId="2">#REF!</definedName>
    <definedName name="DAT16___26">#REF!</definedName>
    <definedName name="DAT16___39" localSheetId="2">#REF!</definedName>
    <definedName name="DAT16___39">#REF!</definedName>
    <definedName name="DAT16___40" localSheetId="2">#REF!</definedName>
    <definedName name="DAT16___40">#REF!</definedName>
    <definedName name="DAT17___0" localSheetId="2">[5]предопл!#REF!</definedName>
    <definedName name="DAT17___0">[5]предопл!#REF!</definedName>
    <definedName name="DAT17___26" localSheetId="2">#REF!</definedName>
    <definedName name="DAT17___26">#REF!</definedName>
    <definedName name="DAT17___39" localSheetId="2">#REF!</definedName>
    <definedName name="DAT17___39">#REF!</definedName>
    <definedName name="DAT17___40" localSheetId="2">#REF!</definedName>
    <definedName name="DAT17___40">#REF!</definedName>
    <definedName name="DAT18___0" localSheetId="2">[5]предопл!#REF!</definedName>
    <definedName name="DAT18___0">[5]предопл!#REF!</definedName>
    <definedName name="DAT18___26" localSheetId="2">#REF!</definedName>
    <definedName name="DAT18___26">#REF!</definedName>
    <definedName name="DAT18___39" localSheetId="2">#REF!</definedName>
    <definedName name="DAT18___39">#REF!</definedName>
    <definedName name="DAT18___40" localSheetId="2">#REF!</definedName>
    <definedName name="DAT18___40">#REF!</definedName>
    <definedName name="DAT19___0" localSheetId="2">[5]предопл!#REF!</definedName>
    <definedName name="DAT19___0">[5]предопл!#REF!</definedName>
    <definedName name="DAT19___26" localSheetId="2">#REF!</definedName>
    <definedName name="DAT19___26">#REF!</definedName>
    <definedName name="DAT19___39" localSheetId="2">#REF!</definedName>
    <definedName name="DAT19___39">#REF!</definedName>
    <definedName name="DAT19___40" localSheetId="2">#REF!</definedName>
    <definedName name="DAT19___40">#REF!</definedName>
    <definedName name="DAT2___0" localSheetId="2">[5]предопл!#REF!</definedName>
    <definedName name="DAT2___0">[5]предопл!#REF!</definedName>
    <definedName name="DAT2___26" localSheetId="2">#REF!</definedName>
    <definedName name="DAT2___26">#REF!</definedName>
    <definedName name="DAT2___39" localSheetId="2">#REF!</definedName>
    <definedName name="DAT2___39">#REF!</definedName>
    <definedName name="DAT2___40" localSheetId="2">#REF!</definedName>
    <definedName name="DAT2___40">#REF!</definedName>
    <definedName name="DAT20___0" localSheetId="2">#REF!</definedName>
    <definedName name="DAT20___0">#REF!</definedName>
    <definedName name="DAT21___0" localSheetId="2">#REF!</definedName>
    <definedName name="DAT21___0">#REF!</definedName>
    <definedName name="DAT22___0" localSheetId="2">#REF!</definedName>
    <definedName name="DAT22___0">#REF!</definedName>
    <definedName name="DAT23___0" localSheetId="2">#REF!</definedName>
    <definedName name="DAT23___0">#REF!</definedName>
    <definedName name="DAT24___0" localSheetId="2">#REF!</definedName>
    <definedName name="DAT24___0">#REF!</definedName>
    <definedName name="DAT3___0" localSheetId="2">[5]предопл!#REF!</definedName>
    <definedName name="DAT3___0">[5]предопл!#REF!</definedName>
    <definedName name="DAT3___26" localSheetId="2">#REF!</definedName>
    <definedName name="DAT3___26">#REF!</definedName>
    <definedName name="DAT3___39" localSheetId="2">#REF!</definedName>
    <definedName name="DAT3___39">#REF!</definedName>
    <definedName name="DAT3___40" localSheetId="2">#REF!</definedName>
    <definedName name="DAT3___40">#REF!</definedName>
    <definedName name="DAT4___0" localSheetId="2">[5]предопл!#REF!</definedName>
    <definedName name="DAT4___0">[5]предопл!#REF!</definedName>
    <definedName name="DAT4___26" localSheetId="2">#REF!</definedName>
    <definedName name="DAT4___26">#REF!</definedName>
    <definedName name="DAT4___39" localSheetId="2">#REF!</definedName>
    <definedName name="DAT4___39">#REF!</definedName>
    <definedName name="DAT4___40" localSheetId="2">#REF!</definedName>
    <definedName name="DAT4___40">#REF!</definedName>
    <definedName name="DAT5___0" localSheetId="2">[5]предопл!#REF!</definedName>
    <definedName name="DAT5___0">[5]предопл!#REF!</definedName>
    <definedName name="DAT5___26" localSheetId="2">#REF!</definedName>
    <definedName name="DAT5___26">#REF!</definedName>
    <definedName name="DAT5___39" localSheetId="2">#REF!</definedName>
    <definedName name="DAT5___39">#REF!</definedName>
    <definedName name="DAT5___40" localSheetId="2">#REF!</definedName>
    <definedName name="DAT5___40">#REF!</definedName>
    <definedName name="DAT6___0" localSheetId="2">#REF!</definedName>
    <definedName name="DAT6___0">#REF!</definedName>
    <definedName name="DAT7___0" localSheetId="2">#REF!</definedName>
    <definedName name="DAT7___0">#REF!</definedName>
    <definedName name="DAT8___0" localSheetId="2">#REF!</definedName>
    <definedName name="DAT8___0">#REF!</definedName>
    <definedName name="DAT9___0" localSheetId="2">#REF!</definedName>
    <definedName name="DAT9___0">#REF!</definedName>
    <definedName name="data" localSheetId="2">#REF!</definedName>
    <definedName name="data">#REF!</definedName>
    <definedName name="EBITDA_Bridge" localSheetId="2">#REF!</definedName>
    <definedName name="EBITDA_Bridge">#REF!</definedName>
    <definedName name="faperiod">[6]Input!$B$22</definedName>
    <definedName name="fddss" hidden="1">{"Asia cost allocation",#N/A,FALSE,"HI Lexington";"EMEA Cost Allocation",#N/A,FALSE,"HI Lexington"}</definedName>
    <definedName name="fyColHeading" localSheetId="2">#REF!</definedName>
    <definedName name="fyColHeading">#REF!</definedName>
    <definedName name="fyCoverDate" localSheetId="2">#REF!</definedName>
    <definedName name="fyCoverDate">#REF!</definedName>
    <definedName name="G">[6]Input!$B$20</definedName>
    <definedName name="g_revs" localSheetId="2">[3]Assumptions!#REF!</definedName>
    <definedName name="g_revs">[3]Assumptions!#REF!</definedName>
    <definedName name="his_revs">'[3]H-IS'!$D$3:$Y$6</definedName>
    <definedName name="iesniedzejs">HIDDEN!#REF!</definedName>
    <definedName name="IQ_ACCOUNT_CHANGE" hidden="1">"c1449"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T_RECV_10YR_ANN_GROWTH" hidden="1">"c1924"</definedName>
    <definedName name="IQ_ACCT_RECV_1YR_ANN_GROWTH" hidden="1">"c1919"</definedName>
    <definedName name="IQ_ACCT_RECV_2YR_ANN_GROWTH" hidden="1">"c1920"</definedName>
    <definedName name="IQ_ACCT_RECV_3YR_ANN_GROWTH" hidden="1">"c1921"</definedName>
    <definedName name="IQ_ACCT_RECV_5YR_ANN_GROWTH" hidden="1">"c1922"</definedName>
    <definedName name="IQ_ACCT_RECV_7YR_ANN_GROWTH" hidden="1">"c1923"</definedName>
    <definedName name="IQ_ACCUM_DEP" hidden="1">"c1340"</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"c2125"</definedName>
    <definedName name="IQ_ACQ_COSTS_CAPITALIZED" hidden="1">"c5"</definedName>
    <definedName name="IQ_ACQUIRE_REAL_ESTATE_CF" hidden="1">"c6"</definedName>
    <definedName name="IQ_ACQUISITION_RE_ASSETS" hidden="1">"c1628"</definedName>
    <definedName name="IQ_AD" hidden="1">"c7"</definedName>
    <definedName name="IQ_ADD_PAID_IN" hidden="1">"c1344"</definedName>
    <definedName name="IQ_ADDIN" hidden="1">"AUTO"</definedName>
    <definedName name="IQ_ADJ_AVG_BANK_ASSETS" hidden="1">"c2671"</definedName>
    <definedName name="IQ_ADMIN_RATIO" hidden="1">"c2784"</definedName>
    <definedName name="IQ_ADVERTISING" hidden="1">"c2246"</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IT" hidden="1">"c13"</definedName>
    <definedName name="IQ_AE_UTI" hidden="1">"c14"</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TIONS" hidden="1">"c2837"</definedName>
    <definedName name="IQ_AIR_ORDERS" hidden="1">"c2836"</definedName>
    <definedName name="IQ_AIR_OWNED" hidden="1">"c2832"</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ANCE_10YR_ANN_GROWTH" hidden="1">"c18"</definedName>
    <definedName name="IQ_ALLOWANCE_1YR_ANN_GROWTH" hidden="1">"c19"</definedName>
    <definedName name="IQ_ALLOWANCE_2YR_ANN_GROWTH" hidden="1">"c20"</definedName>
    <definedName name="IQ_ALLOWANCE_3YR_ANN_GROWTH" hidden="1">"c21"</definedName>
    <definedName name="IQ_ALLOWANCE_5YR_ANN_GROWTH" hidden="1">"c22"</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ORTIZATION" hidden="1">"c1591"</definedName>
    <definedName name="IQ_ANNU_DISTRIBUTION_UNIT" hidden="1">"c3004"</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IT" hidden="1">"c43"</definedName>
    <definedName name="IQ_AR_TURNS" hidden="1">"c44"</definedName>
    <definedName name="IQ_AR_UTI" hidden="1">"c45"</definedName>
    <definedName name="IQ_ARPU" hidden="1">"c2126"</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IT" hidden="1">"c60"</definedName>
    <definedName name="IQ_ASSET_WRITEDOWN_UTI" hidden="1">"c61"</definedName>
    <definedName name="IQ_ASSETS_CAP_LEASE_DEPR" hidden="1">"c2068"</definedName>
    <definedName name="IQ_ASSETS_CAP_LEASE_GROSS" hidden="1">"c2069"</definedName>
    <definedName name="IQ_ASSETS_OPER_LEASE_DEPR" hidden="1">"c2070"</definedName>
    <definedName name="IQ_ASSETS_OPER_LEASE_GROSS" hidden="1">"c2071"</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PC_EARNED" hidden="1">"c2746"</definedName>
    <definedName name="IQ_ASSUMED_WRITTEN" hidden="1">"c2725"</definedName>
    <definedName name="IQ_AUDITOR_NAME" hidden="1">"c1539"</definedName>
    <definedName name="IQ_AUDITOR_OPINION" hidden="1">"c1540"</definedName>
    <definedName name="IQ_AUTO_WRITTEN" hidden="1">"c62"</definedName>
    <definedName name="IQ_AVG_BANK_ASSETS" hidden="1">"c2072"</definedName>
    <definedName name="IQ_AVG_BANK_LOANS" hidden="1">"c2073"</definedName>
    <definedName name="IQ_AVG_DAILY_VOL" hidden="1">"c65"</definedName>
    <definedName name="IQ_AVG_INT_BEAR_LIAB" hidden="1">"c66"</definedName>
    <definedName name="IQ_AVG_INT_BEAR_LIAB_10YR_ANN_GROWTH" hidden="1">"c67"</definedName>
    <definedName name="IQ_AVG_INT_BEAR_LIAB_1YR_ANN_GROWTH" hidden="1">"c68"</definedName>
    <definedName name="IQ_AVG_INT_BEAR_LIAB_2YR_ANN_GROWTH" hidden="1">"c69"</definedName>
    <definedName name="IQ_AVG_INT_BEAR_LIAB_3YR_ANN_GROWTH" hidden="1">"c70"</definedName>
    <definedName name="IQ_AVG_INT_BEAR_LIAB_5YR_ANN_GROWTH" hidden="1">"c71"</definedName>
    <definedName name="IQ_AVG_INT_BEAR_LIAB_7YR_ANN_GROWTH" hidden="1">"c72"</definedName>
    <definedName name="IQ_AVG_INT_EARN_ASSETS" hidden="1">"c73"</definedName>
    <definedName name="IQ_AVG_INT_EARN_ASSETS_10YR_ANN_GROWTH" hidden="1">"c74"</definedName>
    <definedName name="IQ_AVG_INT_EARN_ASSETS_1YR_ANN_GROWTH" hidden="1">"c75"</definedName>
    <definedName name="IQ_AVG_INT_EARN_ASSETS_2YR_ANN_GROWTH" hidden="1">"c76"</definedName>
    <definedName name="IQ_AVG_INT_EARN_ASSETS_3YR_ANN_GROWTH" hidden="1">"c77"</definedName>
    <definedName name="IQ_AVG_INT_EARN_ASSETS_5YR_ANN_GROWTH" hidden="1">"c78"</definedName>
    <definedName name="IQ_AVG_INT_EARN_ASSETS_7YR_ANN_GROWTH" hidden="1">"c79"</definedName>
    <definedName name="IQ_AVG_MKTCAP" hidden="1">"c80"</definedName>
    <definedName name="IQ_AVG_PRICE" hidden="1">"c81"</definedName>
    <definedName name="IQ_AVG_SHAREOUTSTANDING" hidden="1">"c83"</definedName>
    <definedName name="IQ_AVG_TEV" hidden="1">"c84"</definedName>
    <definedName name="IQ_AVG_VOLUME" hidden="1">"c1346"</definedName>
    <definedName name="IQ_BANK_DEBT" hidden="1">"c2544"</definedName>
    <definedName name="IQ_BANK_DEBT_PCT" hidden="1">"c2545"</definedName>
    <definedName name="IQ_BASIC_EPS_EXCL" hidden="1">"c85"</definedName>
    <definedName name="IQ_BASIC_EPS_INCL" hidden="1">"c86"</definedName>
    <definedName name="IQ_BASIC_NORMAL_EPS" hidden="1">"c1592"</definedName>
    <definedName name="IQ_BASIC_WEIGHT" hidden="1">"c87"</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"c89"</definedName>
    <definedName name="IQ_BOARD_MEMBER" hidden="1">"c96"</definedName>
    <definedName name="IQ_BOARD_MEMBER_BACKGROUND" hidden="1">"c2101"</definedName>
    <definedName name="IQ_BOARD_MEMBER_TITLE" hidden="1">"c97"</definedName>
    <definedName name="IQ_BROK_COMISSION" hidden="1">"c98"</definedName>
    <definedName name="IQ_BUILDINGS" hidden="1">"c99"</definedName>
    <definedName name="IQ_BUSINESS_DESCRIPTION" hidden="1">"c322"</definedName>
    <definedName name="IQ_BV_OVER_SHARES" hidden="1">"c1349"</definedName>
    <definedName name="IQ_BV_SHARE" hidden="1">"c100"</definedName>
    <definedName name="IQ_CABLE_ARPU" hidden="1">"c2869"</definedName>
    <definedName name="IQ_CABLE_ARPU_ANALOG" hidden="1">"c2864"</definedName>
    <definedName name="IQ_CABLE_ARPU_BASIC" hidden="1">"c2866"</definedName>
    <definedName name="IQ_CABLE_ARPU_BBAND" hidden="1">"c2867"</definedName>
    <definedName name="IQ_CABLE_ARPU_DIG" hidden="1">"c2865"</definedName>
    <definedName name="IQ_CABLE_ARPU_PHONE" hidden="1">"c2868"</definedName>
    <definedName name="IQ_CABLE_BASIC_PENETRATION" hidden="1">"c2850"</definedName>
    <definedName name="IQ_CABLE_BBAND_PENETRATION" hidden="1">"c2852"</definedName>
    <definedName name="IQ_CABLE_BBAND_PENETRATION_THP" hidden="1">"c2851"</definedName>
    <definedName name="IQ_CABLE_CHURN" hidden="1">"c2874"</definedName>
    <definedName name="IQ_CABLE_CHURN_BASIC" hidden="1">"c2871"</definedName>
    <definedName name="IQ_CABLE_CHURN_BBAND" hidden="1">"c2872"</definedName>
    <definedName name="IQ_CABLE_CHURN_DIG" hidden="1">"c2870"</definedName>
    <definedName name="IQ_CABLE_CHURN_PHONE" hidden="1">"c2873"</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"c2848"</definedName>
    <definedName name="IQ_CABLE_OTHER_REV" hidden="1">"c2882"</definedName>
    <definedName name="IQ_CABLE_PHONE_PENETRATION" hidden="1">"c2853"</definedName>
    <definedName name="IQ_CABLE_PROGRAMMING_COSTS" hidden="1">"c2884"</definedName>
    <definedName name="IQ_CABLE_REV_ADVERT" hidden="1">"c2880"</definedName>
    <definedName name="IQ_CABLE_REV_ANALOG" hidden="1">"c2875"</definedName>
    <definedName name="IQ_CABLE_REV_BASIC" hidden="1">"c2877"</definedName>
    <definedName name="IQ_CABLE_REV_BBAND" hidden="1">"c2878"</definedName>
    <definedName name="IQ_CABLE_REV_COMMERCIAL" hidden="1">"c2881"</definedName>
    <definedName name="IQ_CABLE_REV_DIG" hidden="1">"c2876"</definedName>
    <definedName name="IQ_CABLE_REV_PHONE" hidden="1">"c2879"</definedName>
    <definedName name="IQ_CABLE_RGU" hidden="1">"c2863"</definedName>
    <definedName name="IQ_CABLE_SUBS_ANALOG" hidden="1">"c2855"</definedName>
    <definedName name="IQ_CABLE_SUBS_BASIC" hidden="1">"c2857"</definedName>
    <definedName name="IQ_CABLE_SUBS_BBAND" hidden="1">"c2858"</definedName>
    <definedName name="IQ_CABLE_SUBS_BUNDLED" hidden="1">"c2861"</definedName>
    <definedName name="IQ_CABLE_SUBS_DIG" hidden="1">"c2856"</definedName>
    <definedName name="IQ_CABLE_SUBS_NON_VIDEO" hidden="1">"c2860"</definedName>
    <definedName name="IQ_CABLE_SUBS_PHONE" hidden="1">"c2859"</definedName>
    <definedName name="IQ_CABLE_SUBS_TOTAL" hidden="1">"c2862"</definedName>
    <definedName name="IQ_CABLE_THP" hidden="1">"c2847"</definedName>
    <definedName name="IQ_CABLE_TOTAL_PENETRATION" hidden="1">"c2854"</definedName>
    <definedName name="IQ_CABLE_TOTAL_REV" hidden="1">"c2883"</definedName>
    <definedName name="IQ_CAL_Q" hidden="1">"c101"</definedName>
    <definedName name="IQ_CAL_Y" hidden="1">"c102"</definedName>
    <definedName name="IQ_CAPEX" hidden="1">"c103"</definedName>
    <definedName name="IQ_CAPEX_10YR_ANN_GROWTH" hidden="1">"c104"</definedName>
    <definedName name="IQ_CAPEX_1YR_ANN_GROWTH" hidden="1">"c105"</definedName>
    <definedName name="IQ_CAPEX_2YR_ANN_GROWTH" hidden="1">"c106"</definedName>
    <definedName name="IQ_CAPEX_3YR_ANN_GROWTH" hidden="1">"c107"</definedName>
    <definedName name="IQ_CAPEX_5YR_ANN_GROWTH" hidden="1">"c108"</definedName>
    <definedName name="IQ_CAPEX_7YR_ANN_GROWTH" hidden="1">"c109"</definedName>
    <definedName name="IQ_CAPEX_BNK" hidden="1">"c110"</definedName>
    <definedName name="IQ_CAPEX_BR" hidden="1">"c111"</definedName>
    <definedName name="IQ_CAPEX_FIN" hidden="1">"c112"</definedName>
    <definedName name="IQ_CAPEX_INS" hidden="1">"c113"</definedName>
    <definedName name="IQ_CAPEX_UTI" hidden="1">"c114"</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IZED_INTEREST" hidden="1">"c2076"</definedName>
    <definedName name="IQ_CASH" hidden="1">"c1458"</definedName>
    <definedName name="IQ_CASH_ACQUIRE_CF" hidden="1">"c116"</definedName>
    <definedName name="IQ_CASH_CONVERSION" hidden="1">"c117"</definedName>
    <definedName name="IQ_CASH_DUE_BANKS" hidden="1">"c1351"</definedName>
    <definedName name="IQ_CASH_EQUIV" hidden="1">"c118"</definedName>
    <definedName name="IQ_CASH_FINAN" hidden="1">"c119"</definedName>
    <definedName name="IQ_CASH_INTEREST" hidden="1">"c120"</definedName>
    <definedName name="IQ_CASH_INVEST" hidden="1">"c121"</definedName>
    <definedName name="IQ_CASH_OPER" hidden="1">"c122"</definedName>
    <definedName name="IQ_CASH_SEGREG" hidden="1">"c123"</definedName>
    <definedName name="IQ_CASH_SHARE" hidden="1">"c1911"</definedName>
    <definedName name="IQ_CASH_ST" hidden="1">"c1355"</definedName>
    <definedName name="IQ_CASH_ST_INVEST" hidden="1">"c124"</definedName>
    <definedName name="IQ_CASH_TAXES" hidden="1">"c125"</definedName>
    <definedName name="IQ_CEDED_AH_EARNED" hidden="1">"c2743"</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PC_EARNED" hidden="1">"c2748"</definedName>
    <definedName name="IQ_CEDED_WRITTEN" hidden="1">"c2727"</definedName>
    <definedName name="IQ_CFO_10YR_ANN_GROWTH" hidden="1">"c126"</definedName>
    <definedName name="IQ_CFO_1YR_ANN_GROWTH" hidden="1">"c127"</definedName>
    <definedName name="IQ_CFO_2YR_ANN_GROWTH" hidden="1">"c128"</definedName>
    <definedName name="IQ_CFO_3YR_ANN_GROWTH" hidden="1">"c129"</definedName>
    <definedName name="IQ_CFO_5YR_ANN_GROWTH" hidden="1">"c130"</definedName>
    <definedName name="IQ_CFO_7YR_ANN_GROWTH" hidden="1">"c131"</definedName>
    <definedName name="IQ_CFO_CURRENT_LIAB" hidden="1">"c132"</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ORY" hidden="1">"c151"</definedName>
    <definedName name="IQ_CHANGE_NET_WORKING_CAPITAL" hidden="1">"c1909"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TRADING_ASSETS" hidden="1">"c159"</definedName>
    <definedName name="IQ_CHANGE_UNEARN_REV" hidden="1">"c160"</definedName>
    <definedName name="IQ_CHANGE_WORK_CAP" hidden="1">"c161"</definedName>
    <definedName name="IQ_CHANGES_WORK_CAP" hidden="1">"c1357"</definedName>
    <definedName name="IQ_CHARGE_OFFS_GROSS" hidden="1">"c162"</definedName>
    <definedName name="IQ_CHARGE_OFFS_NET" hidden="1">"c163"</definedName>
    <definedName name="IQ_CHARGE_OFFS_RECOVERED" hidden="1">"c164"</definedName>
    <definedName name="IQ_CHARGE_OFFS_TOTAL_AVG_LOANS" hidden="1">"c165"</definedName>
    <definedName name="IQ_CITY" hidden="1">"c166"</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OBLIGATION_IMMEDIATE" hidden="1">"c2253"</definedName>
    <definedName name="IQ_CLASSA_OPTIONS_BEG_OS" hidden="1">"c2679"</definedName>
    <definedName name="IQ_CLASSA_OPTIONS_CANCELLED" hidden="1">"c2682"</definedName>
    <definedName name="IQ_CLASSA_OPTIONS_END_OS" hidden="1">"c2683"</definedName>
    <definedName name="IQ_CLASSA_OPTIONS_EXERCISED" hidden="1">"c2681"</definedName>
    <definedName name="IQ_CLASSA_OPTIONS_GRANTED" hidden="1">"c2680"</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PRICE" hidden="1">"c174"</definedName>
    <definedName name="IQ_CLOSEPRICE_ADJ" hidden="1">"c2115"</definedName>
    <definedName name="IQ_COGS" hidden="1">"c175"</definedName>
    <definedName name="IQ_COMBINED_RATIO" hidden="1">"c176"</definedName>
    <definedName name="IQ_COMMERCIAL_DOM" hidden="1">"c177"</definedName>
    <definedName name="IQ_COMMERCIAL_FIRE_WRITTEN" hidden="1">"c178"</definedName>
    <definedName name="IQ_COMMERCIAL_MORT" hidden="1">"c179"</definedName>
    <definedName name="IQ_COMMISS_FEES" hidden="1">"c180"</definedName>
    <definedName name="IQ_COMMISSION_DEF" hidden="1">"c181"</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GROWTH" hidden="1">"c191"</definedName>
    <definedName name="IQ_COMMON_EQUITY_1YR_ANN_GROWTH" hidden="1">"c192"</definedName>
    <definedName name="IQ_COMMON_EQUITY_2YR_ANN_GROWTH" hidden="1">"c193"</definedName>
    <definedName name="IQ_COMMON_EQUITY_3YR_ANN_GROWTH" hidden="1">"c194"</definedName>
    <definedName name="IQ_COMMON_EQUITY_5YR_ANN_GROWTH" hidden="1">"c195"</definedName>
    <definedName name="IQ_COMMON_EQUITY_7YR_ANN_GROWTH" hidden="1">"c196"</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IT" hidden="1">"c211"</definedName>
    <definedName name="IQ_COMMON_REP_UTI" hidden="1">"c212"</definedName>
    <definedName name="IQ_COMMON_STOCK" hidden="1">"c1358"</definedName>
    <definedName name="IQ_COMP_BENEFITS" hidden="1">"c213"</definedName>
    <definedName name="IQ_COMPANY_ADDRESS" hidden="1">"c214"</definedName>
    <definedName name="IQ_COMPANY_NAME" hidden="1">"c215"</definedName>
    <definedName name="IQ_COMPANY_NAME_LONG" hidden="1">"c1585"</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YPE" hidden="1">"c2096"</definedName>
    <definedName name="IQ_COMPANY_WEBSITE" hidden="1">"c220"</definedName>
    <definedName name="IQ_COMPANY_ZIP" hidden="1">"c221"</definedName>
    <definedName name="IQ_CONSTRUCTION_LOANS" hidden="1">"c222"</definedName>
    <definedName name="IQ_CONSUMER_LOANS" hidden="1">"c223"</definedName>
    <definedName name="IQ_CONVERT" hidden="1">"c2536"</definedName>
    <definedName name="IQ_CONVERT_PCT" hidden="1">"c2537"</definedName>
    <definedName name="IQ_COST_BORROWING" hidden="1">"c2936"</definedName>
    <definedName name="IQ_COST_BORROWINGS" hidden="1">"c225"</definedName>
    <definedName name="IQ_COST_REV" hidden="1">"c226"</definedName>
    <definedName name="IQ_COST_REVENUE" hidden="1">"c1359"</definedName>
    <definedName name="IQ_COST_SAVINGS" hidden="1">"c227"</definedName>
    <definedName name="IQ_COST_SERVICE" hidden="1">"c228"</definedName>
    <definedName name="IQ_COST_TOTAL_BORROWINGS" hidden="1">"c229"</definedName>
    <definedName name="IQ_COUNTRY_NAME" hidden="1">"c230"</definedName>
    <definedName name="IQ_COVERED_POPS" hidden="1">"c2124"</definedName>
    <definedName name="IQ_CP" hidden="1">"c2495"</definedName>
    <definedName name="IQ_CP_PCT" hidden="1">"c2496"</definedName>
    <definedName name="IQ_CQ" hidden="1">5000</definedName>
    <definedName name="IQ_CREDIT_CARD_FEE_BNK" hidden="1">"c231"</definedName>
    <definedName name="IQ_CREDIT_CARD_FEE_FIN" hidden="1">"c1583"</definedName>
    <definedName name="IQ_CREDIT_LOSS_CF" hidden="1">"c232"</definedName>
    <definedName name="IQ_CUMULATIVE_SPLIT_FACTOR" hidden="1">"c2094"</definedName>
    <definedName name="IQ_CURR_DOMESTIC_TAXES" hidden="1">"c2074"</definedName>
    <definedName name="IQ_CURR_FOREIGN_TAXES" hidden="1">"c2075"</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IT" hidden="1">"c239"</definedName>
    <definedName name="IQ_CURRENCY_GAIN_UTI" hidden="1">"c240"</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IT" hidden="1">"c1570"</definedName>
    <definedName name="IQ_CURRENT_PORT_DEBT_UTI" hidden="1">"c1571"</definedName>
    <definedName name="IQ_CURRENT_PORT_LEASES" hidden="1">"c245"</definedName>
    <definedName name="IQ_CURRENT_PORT_PCT" hidden="1">"c2541"</definedName>
    <definedName name="IQ_CURRENT_RATIO" hidden="1">"c246"</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IT" hidden="1">"c254"</definedName>
    <definedName name="IQ_DA_CF_UTI" hidden="1">"c255"</definedName>
    <definedName name="IQ_DA_FIN" hidden="1">"c256"</definedName>
    <definedName name="IQ_DA_INS" hidden="1">"c257"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IT" hidden="1">"c266"</definedName>
    <definedName name="IQ_DA_SUPPL_CF_UTI" hidden="1">"c267"</definedName>
    <definedName name="IQ_DA_SUPPL_FIN" hidden="1">"c268"</definedName>
    <definedName name="IQ_DA_SUPPL_INS" hidden="1">"c269"</definedName>
    <definedName name="IQ_DA_SUPPL_REIT" hidden="1">"c270"</definedName>
    <definedName name="IQ_DA_SUPPL_UTI" hidden="1">"c271"</definedName>
    <definedName name="IQ_DA_UTI" hidden="1">"c272"</definedName>
    <definedName name="IQ_DAYS_COVER_SHORT" hidden="1">"c1578"</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ADJ" hidden="1">"c2515"</definedName>
    <definedName name="IQ_DEBT_ADJ_PCT" hidden="1">"c2516"</definedName>
    <definedName name="IQ_DEBT_EQUIV_NET_PBO" hidden="1">"c2938"</definedName>
    <definedName name="IQ_DEBT_EQUIV_OPER_LEASE" hidden="1">"c2935"</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IT" hidden="1">"c297"</definedName>
    <definedName name="IQ_DEF_CHARGES_LT_UTI" hidden="1">"c298"</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TAX_ASSET_LT_BR" hidden="1">"c304"</definedName>
    <definedName name="IQ_DEF_TAX_ASSET_LT_FIN" hidden="1">"c305"</definedName>
    <definedName name="IQ_DEF_TAX_ASSET_LT_INS" hidden="1">"c306"</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IT" hidden="1">"c318"</definedName>
    <definedName name="IQ_DEF_TAX_LIAB_LT_UTI" hidden="1">"c319"</definedName>
    <definedName name="IQ_DEFERRED_DOMESTIC_TAXES" hidden="1">"c2077"</definedName>
    <definedName name="IQ_DEFERRED_FOREIGN_TAXES" hidden="1">"c2078"</definedName>
    <definedName name="IQ_DEFERRED_INC_TAX" hidden="1">"c1447"</definedName>
    <definedName name="IQ_DEFERRED_TAXES" hidden="1">"c1356"</definedName>
    <definedName name="IQ_DEMAND_DEP" hidden="1">"c320"</definedName>
    <definedName name="IQ_DEPOSITS_FIN" hidden="1">"c321"</definedName>
    <definedName name="IQ_DEPRE_AMORT" hidden="1">"c1360"</definedName>
    <definedName name="IQ_DEPRE_AMORT_SUPPL" hidden="1">"c1593"</definedName>
    <definedName name="IQ_DEPRE_DEPLE" hidden="1">"c1361"</definedName>
    <definedName name="IQ_DEPRE_SUPP" hidden="1">"c1443"</definedName>
    <definedName name="IQ_DESCRIPTION_LONG" hidden="1">"c1520"</definedName>
    <definedName name="IQ_DEVELOP_LAND" hidden="1">"c323"</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RECT_AH_EARNED" hidden="1">"c2740"</definedName>
    <definedName name="IQ_DIRECT_EARNED" hidden="1">"c2730"</definedName>
    <definedName name="IQ_DIRECT_LIFE_EARNED" hidden="1">"c2735"</definedName>
    <definedName name="IQ_DIRECT_LIFE_IN_FORCE" hidden="1">"c2765"</definedName>
    <definedName name="IQ_DIRECT_PC_EARNED" hidden="1">"c2745"</definedName>
    <definedName name="IQ_DIRECT_WRITTEN" hidden="1">"c2724"</definedName>
    <definedName name="IQ_DISCONT_OPER" hidden="1">"c1367"</definedName>
    <definedName name="IQ_DISCOUNT_RATE_PENSION_DOMESTIC" hidden="1">"c327"</definedName>
    <definedName name="IQ_DISCOUNT_RATE_PENSION_FOREIGN" hidden="1">"c328"</definedName>
    <definedName name="IQ_DISTR_EXCESS_EARN" hidden="1">"c329"</definedName>
    <definedName name="IQ_DISTRIBUTABLE_CASH" hidden="1">"c3002"</definedName>
    <definedName name="IQ_DISTRIBUTABLE_CASH_PAYOUT" hidden="1">"c3005"</definedName>
    <definedName name="IQ_DISTRIBUTABLE_CASH_SHARE" hidden="1">"c3003"</definedName>
    <definedName name="IQ_DIV_AMOUNT" hidden="1">"c3041"</definedName>
    <definedName name="IQ_DIV_PAYMENT_DATE" hidden="1">"c2205"</definedName>
    <definedName name="IQ_DIV_RECORD_DATE" hidden="1">"c2204"</definedName>
    <definedName name="IQ_DIV_SHARE" hidden="1">"c330"</definedName>
    <definedName name="IQ_DIVEST_CF" hidden="1">"c331"</definedName>
    <definedName name="IQ_DIVID_SHARE" hidden="1">"c1366"</definedName>
    <definedName name="IQ_DIVIDEND_YIELD" hidden="1">"c332"</definedName>
    <definedName name="IQ_DO" hidden="1">"c333"</definedName>
    <definedName name="IQ_DO_ASSETS_CURRENT" hidden="1">"c334"</definedName>
    <definedName name="IQ_DO_ASSETS_LT" hidden="1">"c335"</definedName>
    <definedName name="IQ_DO_CF" hidden="1">"c336"</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GROWTH" hidden="1">"c337"</definedName>
    <definedName name="IQ_DPS_1YR_ANN_GROWTH" hidden="1">"c338"</definedName>
    <definedName name="IQ_DPS_2YR_ANN_GROWTH" hidden="1">"c339"</definedName>
    <definedName name="IQ_DPS_3YR_ANN_GROWTH" hidden="1">"c340"</definedName>
    <definedName name="IQ_DPS_5YR_ANN_GROWTH" hidden="1">"c341"</definedName>
    <definedName name="IQ_DPS_7YR_ANN_GROWTH" hidden="1">"c342"</definedName>
    <definedName name="IQ_EARNING_ASSET_YIELD" hidden="1">"c343"</definedName>
    <definedName name="IQ_EARNING_CO" hidden="1">"c344"</definedName>
    <definedName name="IQ_EARNING_CO_10YR_ANN_GROWTH" hidden="1">"c345"</definedName>
    <definedName name="IQ_EARNING_CO_1YR_ANN_GROWTH" hidden="1">"c346"</definedName>
    <definedName name="IQ_EARNING_CO_2YR_ANN_GROWTH" hidden="1">"c347"</definedName>
    <definedName name="IQ_EARNING_CO_3YR_ANN_GROWTH" hidden="1">"c348"</definedName>
    <definedName name="IQ_EARNING_CO_5YR_ANN_GROWTH" hidden="1">"c349"</definedName>
    <definedName name="IQ_EARNING_CO_7YR_ANN_GROWTH" hidden="1">"c350"</definedName>
    <definedName name="IQ_EARNING_CO_MARGIN" hidden="1">"c351"</definedName>
    <definedName name="IQ_EBIT" hidden="1">"c352"</definedName>
    <definedName name="IQ_EBIT_10YR_ANN_GROWTH" hidden="1">"c353"</definedName>
    <definedName name="IQ_EBIT_1YR_ANN_GROWTH" hidden="1">"c354"</definedName>
    <definedName name="IQ_EBIT_2YR_ANN_GROWTH" hidden="1">"c355"</definedName>
    <definedName name="IQ_EBIT_3YR_ANN_GROWTH" hidden="1">"c356"</definedName>
    <definedName name="IQ_EBIT_5YR_ANN_GROWTH" hidden="1">"c357"</definedName>
    <definedName name="IQ_EBIT_7YR_ANN_GROWTH" hidden="1">"c358"</definedName>
    <definedName name="IQ_EBIT_INT" hidden="1">"c360"</definedName>
    <definedName name="IQ_EBIT_MARGIN" hidden="1">"c359"</definedName>
    <definedName name="IQ_EBIT_OVER_IE" hidden="1">"c1369"</definedName>
    <definedName name="IQ_EBITA" hidden="1">"c1910"</definedName>
    <definedName name="IQ_EBITA_10YR_ANN_GROWTH" hidden="1">"c1954"</definedName>
    <definedName name="IQ_EBITA_1YR_ANN_GROWTH" hidden="1">"c1949"</definedName>
    <definedName name="IQ_EBITA_2YR_ANN_GROWTH" hidden="1">"c1950"</definedName>
    <definedName name="IQ_EBITA_3YR_ANN_GROWTH" hidden="1">"c1951"</definedName>
    <definedName name="IQ_EBITA_5YR_ANN_GROWTH" hidden="1">"c1952"</definedName>
    <definedName name="IQ_EBITA_7YR_ANN_GROWTH" hidden="1">"c1953"</definedName>
    <definedName name="IQ_EBITA_MARGIN" hidden="1">"c1963"</definedName>
    <definedName name="IQ_EBITDA" hidden="1">"c361"</definedName>
    <definedName name="IQ_EBITDA_10YR_ANN_GROWTH" hidden="1">"c362"</definedName>
    <definedName name="IQ_EBITDA_1YR_ANN_GROWTH" hidden="1">"c363"</definedName>
    <definedName name="IQ_EBITDA_2YR_ANN_GROWTH" hidden="1">"c364"</definedName>
    <definedName name="IQ_EBITDA_3YR_ANN_GROWTH" hidden="1">"c365"</definedName>
    <definedName name="IQ_EBITDA_5YR_ANN_GROWTH" hidden="1">"c366"</definedName>
    <definedName name="IQ_EBITDA_7YR_ANN_GROWTH" hidden="1">"c367"</definedName>
    <definedName name="IQ_EBITDA_CAPEX_INT" hidden="1">"c368"</definedName>
    <definedName name="IQ_EBITDA_CAPEX_OVER_TOTAL_IE" hidden="1">"c1370"</definedName>
    <definedName name="IQ_EBITDA_INT" hidden="1">"c373"</definedName>
    <definedName name="IQ_EBITDA_MARGIN" hidden="1">"c372"</definedName>
    <definedName name="IQ_EBITDA_OVER_TOTAL_IE" hidden="1">"c1371"</definedName>
    <definedName name="IQ_EBITDAR" hidden="1">"c2989"</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IT" hidden="1">"c384"</definedName>
    <definedName name="IQ_EBT_EXCL_UTI" hidden="1">"c385"</definedName>
    <definedName name="IQ_EBT_FIN" hidden="1">"c386"</definedName>
    <definedName name="IQ_EBT_INCL_MARGIN" hidden="1">"c387"</definedName>
    <definedName name="IQ_EBT_INS" hidden="1">"c388"</definedName>
    <definedName name="IQ_EBT_REIT" hidden="1">"c389"</definedName>
    <definedName name="IQ_EBT_UTI" hidden="1">"c390"</definedName>
    <definedName name="IQ_EFFECT_SPECIAL_CHARGE" hidden="1">"c1595"</definedName>
    <definedName name="IQ_EFFECT_TAX_RATE" hidden="1">"c1899"</definedName>
    <definedName name="IQ_EFFICIENCY_RATIO" hidden="1">"c391"</definedName>
    <definedName name="IQ_EMPLOYEES" hidden="1">"c392"</definedName>
    <definedName name="IQ_ENTERPRISE_VALUE" hidden="1">"c1348"</definedName>
    <definedName name="IQ_EPS_10YR_ANN_GROWTH" hidden="1">"c393"</definedName>
    <definedName name="IQ_EPS_1YR_ANN_GROWTH" hidden="1">"c394"</definedName>
    <definedName name="IQ_EPS_2YR_ANN_GROWTH" hidden="1">"c395"</definedName>
    <definedName name="IQ_EPS_3YR_ANN_GROWTH" hidden="1">"c396"</definedName>
    <definedName name="IQ_EPS_5YR_ANN_GROWTH" hidden="1">"c397"</definedName>
    <definedName name="IQ_EPS_7YR_ANN_GROWTH" hidden="1">"c398"</definedName>
    <definedName name="IQ_EPS_NORM" hidden="1">"c1902"</definedName>
    <definedName name="IQ_EQUITY_AFFIL" hidden="1">"c1451"</definedName>
    <definedName name="IQ_EQUITY_METHOD" hidden="1">"c404"</definedName>
    <definedName name="IQ_EQV_OVER_BV" hidden="1">"c1596"</definedName>
    <definedName name="IQ_EQV_OVER_LTM_PRETAX_INC" hidden="1">"c1390"</definedName>
    <definedName name="IQ_ESOP_DEBT" hidden="1">"c1597"</definedName>
    <definedName name="IQ_EV_OVER_EMPLOYEE" hidden="1">"c1428"</definedName>
    <definedName name="IQ_EV_OVER_LTM_EBIT" hidden="1">"c1426"</definedName>
    <definedName name="IQ_EV_OVER_LTM_EBITDA" hidden="1">"c1427"</definedName>
    <definedName name="IQ_EV_OVER_LTM_REVENUE" hidden="1">"c1429"</definedName>
    <definedName name="IQ_EXCHANGE" hidden="1">"c405"</definedName>
    <definedName name="IQ_EXERCISE_PRICE" hidden="1">"c1897"</definedName>
    <definedName name="IQ_EXERCISED" hidden="1">"c406"</definedName>
    <definedName name="IQ_EXP_RETURN_PENSION_DOMESTIC" hidden="1">"c407"</definedName>
    <definedName name="IQ_EXP_RETURN_PENSION_FOREIGN" hidden="1">"c408"</definedName>
    <definedName name="IQ_EXPLORE_DRILL" hidden="1">"c409"</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IT" hidden="1">"c415"</definedName>
    <definedName name="IQ_EXTRA_ACC_ITEMS_UTI" hidden="1">"c416"</definedName>
    <definedName name="IQ_EXTRA_ITEMS" hidden="1">"c1459"</definedName>
    <definedName name="IQ_FDIC" hidden="1">"c417"</definedName>
    <definedName name="IQ_FEDFUNDS_SOLD" hidden="1">"c2256"</definedName>
    <definedName name="IQ_FFO" hidden="1">"c1574"</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LING_CURRENCY" hidden="1">"c2129"</definedName>
    <definedName name="IQ_FILINGDATE_BS" hidden="1">"c424"</definedName>
    <definedName name="IQ_FILINGDATE_CF" hidden="1">"c425"</definedName>
    <definedName name="IQ_FILINGDATE_IS" hidden="1">"c426"</definedName>
    <definedName name="IQ_FILM_RIGHTS" hidden="1">"c2254"</definedName>
    <definedName name="IQ_FIN_DIV_ASSETS_CURRENT" hidden="1">"c427"</definedName>
    <definedName name="IQ_FIN_DIV_ASSETS_LT" hidden="1">"c428"</definedName>
    <definedName name="IQ_FIN_DIV_DEBT_CURRENT" hidden="1">"c429"</definedName>
    <definedName name="IQ_FIN_DIV_DEBT_LT" hidden="1">"c430"</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REV" hidden="1">"c437"</definedName>
    <definedName name="IQ_FINANCING_CASH" hidden="1">"c1405"</definedName>
    <definedName name="IQ_FINANCING_CASH_SUPPL" hidden="1">"c1406"</definedName>
    <definedName name="IQ_FINISHED_INV" hidden="1">"c438"</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Y" hidden="1">"c441"</definedName>
    <definedName name="IQ_FIVE_PERCENT_OWNER" hidden="1">"c442"</definedName>
    <definedName name="IQ_FIVEPERCENT_PERCENT" hidden="1">"c443"</definedName>
    <definedName name="IQ_FIVEPERCENT_SHARES" hidden="1">"c444"</definedName>
    <definedName name="IQ_FIXED_ASSET_TURNS" hidden="1">"c445"</definedName>
    <definedName name="IQ_FLOAT_PERCENT" hidden="1">"c1575"</definedName>
    <definedName name="IQ_FOREIGN_DEP_IB" hidden="1">"c446"</definedName>
    <definedName name="IQ_FOREIGN_DEP_NON_IB" hidden="1">"c447"</definedName>
    <definedName name="IQ_FOREIGN_EXCHANGE" hidden="1">"c1376"</definedName>
    <definedName name="IQ_FOREIGN_LOANS" hidden="1">"c448"</definedName>
    <definedName name="IQ_FQ" hidden="1">500</definedName>
    <definedName name="IQ_FUEL" hidden="1">"c449"</definedName>
    <definedName name="IQ_FULL_TIME" hidden="1">"c450"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Y" hidden="1">1000</definedName>
    <definedName name="IQ_GA_EXP" hidden="1">"c2241"</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"c1377"</definedName>
    <definedName name="IQ_GOODWILL_NET" hidden="1">"c1380"</definedName>
    <definedName name="IQ_GP" hidden="1">"c511"</definedName>
    <definedName name="IQ_GP_10YR_ANN_GROWTH" hidden="1">"c512"</definedName>
    <definedName name="IQ_GP_1YR_ANN_GROWTH" hidden="1">"c513"</definedName>
    <definedName name="IQ_GP_2YR_ANN_GROWTH" hidden="1">"c514"</definedName>
    <definedName name="IQ_GP_3YR_ANN_GROWTH" hidden="1">"c515"</definedName>
    <definedName name="IQ_GP_5YR_ANN_GROWTH" hidden="1">"c516"</definedName>
    <definedName name="IQ_GP_7YR_ANN_GROWTH" hidden="1">"c517"</definedName>
    <definedName name="IQ_GPPE" hidden="1">"c518"</definedName>
    <definedName name="IQ_GROSS_AH_EARNED" hidden="1">"c2742"</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GROWTH" hidden="1">"c522"</definedName>
    <definedName name="IQ_GROSS_LOANS_1YR_ANN_GROWTH" hidden="1">"c523"</definedName>
    <definedName name="IQ_GROSS_LOANS_2YR_ANN_GROWTH" hidden="1">"c524"</definedName>
    <definedName name="IQ_GROSS_LOANS_3YR_ANN_GROWTH" hidden="1">"c525"</definedName>
    <definedName name="IQ_GROSS_LOANS_5YR_ANN_GROWTH" hidden="1">"c526"</definedName>
    <definedName name="IQ_GROSS_LOANS_7YR_ANN_GROWTH" hidden="1">"c527"</definedName>
    <definedName name="IQ_GROSS_LOANS_TOTAL_DEPOSITS" hidden="1">"c528"</definedName>
    <definedName name="IQ_GROSS_MARGIN" hidden="1">"c529"</definedName>
    <definedName name="IQ_GROSS_PC_EARNED" hidden="1">"c2747"</definedName>
    <definedName name="IQ_GROSS_PROFIT" hidden="1">"c1378"</definedName>
    <definedName name="IQ_GROSS_WRITTEN" hidden="1">"c2726"</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IT" hidden="1">"c1480"</definedName>
    <definedName name="IQ_GW_INTAN_AMORT_UTI" hidden="1">"c1481"</definedName>
    <definedName name="IQ_HIGHPRICE" hidden="1">"c545"</definedName>
    <definedName name="IQ_HOMEOWNERS_WRITTEN" hidden="1">"c546"</definedName>
    <definedName name="IQ_IMPAIR_OIL" hidden="1">"c547"</definedName>
    <definedName name="IQ_IMPAIRMENT_GW" hidden="1">"c548"</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IT" hidden="1">"c575"</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OVER_TOTAL" hidden="1">"c1581"</definedName>
    <definedName name="IQ_INSIDER_OWNER" hidden="1">"c577"</definedName>
    <definedName name="IQ_INSIDER_PERCENT" hidden="1">"c578"</definedName>
    <definedName name="IQ_INSIDER_SHARES" hidden="1">"c579"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UR_RECEIV" hidden="1">"c1600"</definedName>
    <definedName name="IQ_INT_BORROW" hidden="1">"c583"</definedName>
    <definedName name="IQ_INT_DEPOSITS" hidden="1">"c584"</definedName>
    <definedName name="IQ_INT_DIV_INC" hidden="1">"c585"</definedName>
    <definedName name="IQ_INT_EXP_BR" hidden="1">"c586"</definedName>
    <definedName name="IQ_INT_EXP_COVERAGE" hidden="1">"c587"</definedName>
    <definedName name="IQ_INT_EXP_FIN" hidden="1">"c588"</definedName>
    <definedName name="IQ_INT_EXP_INCL_CAP" hidden="1">"c2988"</definedName>
    <definedName name="IQ_INT_EXP_INS" hidden="1">"c589"</definedName>
    <definedName name="IQ_INT_EXP_LTD" hidden="1">"c2086"</definedName>
    <definedName name="IQ_INT_EXP_REIT" hidden="1">"c590"</definedName>
    <definedName name="IQ_INT_EXP_TOTAL" hidden="1">"c591"</definedName>
    <definedName name="IQ_INT_EXP_UTI" hidden="1">"c592"</definedName>
    <definedName name="IQ_INT_INC_BR" hidden="1">"c593"</definedName>
    <definedName name="IQ_INT_INC_FIN" hidden="1">"c594"</definedName>
    <definedName name="IQ_INT_INC_INVEST" hidden="1">"c595"</definedName>
    <definedName name="IQ_INT_INC_LOANS" hidden="1">"c596"</definedName>
    <definedName name="IQ_INT_INC_REIT" hidden="1">"c597"</definedName>
    <definedName name="IQ_INT_INC_TOTAL" hidden="1">"c598"</definedName>
    <definedName name="IQ_INT_INC_UTI" hidden="1">"c599"</definedName>
    <definedName name="IQ_INT_INV_INC" hidden="1">"c600"</definedName>
    <definedName name="IQ_INT_INV_INC_REIT" hidden="1">"c601"</definedName>
    <definedName name="IQ_INT_INV_INC_UTI" hidden="1">"c602"</definedName>
    <definedName name="IQ_INT_ON_BORROWING_COVERAGE" hidden="1">"c603"</definedName>
    <definedName name="IQ_INT_RATE_SPREAD" hidden="1">"c604"</definedName>
    <definedName name="IQ_INTANGIBLES_NET" hidden="1">"c1407"</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V_10YR_ANN_GROWTH" hidden="1">"c1930"</definedName>
    <definedName name="IQ_INV_1YR_ANN_GROWTH" hidden="1">"c1925"</definedName>
    <definedName name="IQ_INV_2YR_ANN_GROWTH" hidden="1">"c1926"</definedName>
    <definedName name="IQ_INV_3YR_ANN_GROWTH" hidden="1">"c1927"</definedName>
    <definedName name="IQ_INV_5YR_ANN_GROWTH" hidden="1">"c1928"</definedName>
    <definedName name="IQ_INV_7YR_ANN_GROWTH" hidden="1">"c1929"</definedName>
    <definedName name="IQ_INV_BANKING_FEE" hidden="1">"c620"</definedName>
    <definedName name="IQ_INV_METHOD" hidden="1">"c621"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IT" hidden="1">"c633"</definedName>
    <definedName name="IQ_INVEST_LOANS_CF_UTI" hidden="1">"c634"</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IT" hidden="1">"c642"</definedName>
    <definedName name="IQ_INVEST_SECURITY_CF_UTI" hidden="1">"c643"</definedName>
    <definedName name="IQ_IPRD" hidden="1">"c644"</definedName>
    <definedName name="IQ_ISS_DEBT_NET" hidden="1">"c1391"</definedName>
    <definedName name="IQ_ISS_STOCK_NET" hidden="1">"c1601"</definedName>
    <definedName name="IQ_JR_SUB_DEBT" hidden="1">"c2534"</definedName>
    <definedName name="IQ_JR_SUB_DEBT_EBITDA" hidden="1">"c2560"</definedName>
    <definedName name="IQ_JR_SUB_DEBT_EBITDA_CAPEX" hidden="1">"c2561"</definedName>
    <definedName name="IQ_JR_SUB_DEBT_PCT" hidden="1">"c2535"</definedName>
    <definedName name="IQ_LAND" hidden="1">"c645"</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K" hidden="1">1000</definedName>
    <definedName name="IQ_LATESTQ" hidden="1">500</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IT" hidden="1">"c652"</definedName>
    <definedName name="IQ_LEGAL_SETTLE_UTI" hidden="1">"c653"</definedName>
    <definedName name="IQ_LEVERAGE_RATIO" hidden="1">"c654"</definedName>
    <definedName name="IQ_LEVERED_FCF" hidden="1">"c1907"</definedName>
    <definedName name="IQ_LFCF_10YR_ANN_GROWTH" hidden="1">"c1942"</definedName>
    <definedName name="IQ_LFCF_1YR_ANN_GROWTH" hidden="1">"c1937"</definedName>
    <definedName name="IQ_LFCF_2YR_ANN_GROWTH" hidden="1">"c1938"</definedName>
    <definedName name="IQ_LFCF_3YR_ANN_GROWTH" hidden="1">"c1939"</definedName>
    <definedName name="IQ_LFCF_5YR_ANN_GROWTH" hidden="1">"c1940"</definedName>
    <definedName name="IQ_LFCF_7YR_ANN_GROWTH" hidden="1">"c1941"</definedName>
    <definedName name="IQ_LFCF_MARGIN" hidden="1">"c1961"</definedName>
    <definedName name="IQ_LH_STATUTORY_SURPLUS" hidden="1">"c2771"</definedName>
    <definedName name="IQ_LICENSED_POPS" hidden="1">"c2123"</definedName>
    <definedName name="IQ_LIFE_EARNED" hidden="1">"c2739"</definedName>
    <definedName name="IQ_LIFOR" hidden="1">"c655"</definedName>
    <definedName name="IQ_LL" hidden="1">"c656"</definedName>
    <definedName name="IQ_LOAN_LEASE_RECEIV" hidden="1">"c657"</definedName>
    <definedName name="IQ_LOAN_LOSS" hidden="1">"c1386"</definedName>
    <definedName name="IQ_LOAN_SERVICE_REV" hidden="1">"c658"</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IT" hidden="1">"c664"</definedName>
    <definedName name="IQ_LOANS_CF_UTI" hidden="1">"c665"</definedName>
    <definedName name="IQ_LOANS_FOR_SALE" hidden="1">"c666"</definedName>
    <definedName name="IQ_LOANS_PAST_DUE" hidden="1">"c667"</definedName>
    <definedName name="IQ_LOANS_RECEIV_CURRENT" hidden="1">"c668"</definedName>
    <definedName name="IQ_LOANS_RECEIV_LT" hidden="1">"c669"</definedName>
    <definedName name="IQ_LOANS_RECEIV_LT_UTI" hidden="1">"c670"</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LOSS_EXP" hidden="1">"c672"</definedName>
    <definedName name="IQ_LOSS_TO_NET_EARNED" hidden="1">"c2751"</definedName>
    <definedName name="IQ_LOWPRICE" hidden="1">"c673"</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IT" hidden="1">"c686"</definedName>
    <definedName name="IQ_LT_DEBT_ISSUED_UTI" hidden="1">"c687"</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IT" hidden="1">"c700"</definedName>
    <definedName name="IQ_LT_INVEST_UTI" hidden="1">"c701"</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REVENUE_OVER_EMPLOYEES" hidden="1">"c1437"</definedName>
    <definedName name="IQ_MACHINERY" hidden="1">"c711"</definedName>
    <definedName name="IQ_MAINT_CAPEX" hidden="1">"c2947"</definedName>
    <definedName name="IQ_MAINT_REPAIR" hidden="1">"c2087"</definedName>
    <definedName name="IQ_MARKET_CAP_LFCF" hidden="1">"c2209"</definedName>
    <definedName name="IQ_MARKETCAP" hidden="1">"c712"</definedName>
    <definedName name="IQ_MARKETING" hidden="1">"c2239"</definedName>
    <definedName name="IQ_MC_RATIO" hidden="1">"c2783"</definedName>
    <definedName name="IQ_MC_STATUTORY_SURPLUS" hidden="1">"c2772"</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IT" hidden="1">"c724"</definedName>
    <definedName name="IQ_MERGER_RESTRUCTURE_UTI" hidden="1">"c725"</definedName>
    <definedName name="IQ_MERGER_UTI" hidden="1">"c726"</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IT" hidden="1">"c734"</definedName>
    <definedName name="IQ_MINORITY_INTEREST_TOTAL" hidden="1">"c1905"</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M_ACCOUNT" hidden="1">"c743"</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SERV_RIGHTS" hidden="1">"c2242"</definedName>
    <definedName name="IQ_NET_CHANGE" hidden="1">"c749"</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EBITDA" hidden="1">"c750"</definedName>
    <definedName name="IQ_NET_DEBT_EBITDA_CAPEX" hidden="1">"c2949"</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IT" hidden="1">"c756"</definedName>
    <definedName name="IQ_NET_DEBT_ISSUED_UTI" hidden="1">"c757"</definedName>
    <definedName name="IQ_NET_EARNED" hidden="1">"c2734"</definedName>
    <definedName name="IQ_NET_INC" hidden="1">"c1394"</definedName>
    <definedName name="IQ_NET_INC_BEFORE" hidden="1">"c1368"</definedName>
    <definedName name="IQ_NET_INC_CF" hidden="1">"c1397"</definedName>
    <definedName name="IQ_NET_INC_MARGIN" hidden="1">"c1398"</definedName>
    <definedName name="IQ_NET_INT_INC_10YR_ANN_GROWTH" hidden="1">"c758"</definedName>
    <definedName name="IQ_NET_INT_INC_1YR_ANN_GROWTH" hidden="1">"c759"</definedName>
    <definedName name="IQ_NET_INT_INC_2YR_ANN_GROWTH" hidden="1">"c760"</definedName>
    <definedName name="IQ_NET_INT_INC_3YR_ANN_GROWTH" hidden="1">"c761"</definedName>
    <definedName name="IQ_NET_INT_INC_5YR_ANN_GROWTH" hidden="1">"c762"</definedName>
    <definedName name="IQ_NET_INT_INC_7YR_ANN_GROWTH" hidden="1">"c763"</definedName>
    <definedName name="IQ_NET_INT_INC_BNK" hidden="1">"c764"</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LIFE_INS_IN_FORCE" hidden="1">"c2769"</definedName>
    <definedName name="IQ_NET_LOANS" hidden="1">"c772"</definedName>
    <definedName name="IQ_NET_LOANS_10YR_ANN_GROWTH" hidden="1">"c773"</definedName>
    <definedName name="IQ_NET_LOANS_1YR_ANN_GROWTH" hidden="1">"c774"</definedName>
    <definedName name="IQ_NET_LOANS_2YR_ANN_GROWTH" hidden="1">"c775"</definedName>
    <definedName name="IQ_NET_LOANS_3YR_ANN_GROWTH" hidden="1">"c776"</definedName>
    <definedName name="IQ_NET_LOANS_5YR_ANN_GROWTH" hidden="1">"c777"</definedName>
    <definedName name="IQ_NET_LOANS_7YR_ANN_GROWTH" hidden="1">"c778"</definedName>
    <definedName name="IQ_NET_LOANS_TOTAL_DEPOSITS" hidden="1">"c779"</definedName>
    <definedName name="IQ_NET_RENTAL_EXP_FN" hidden="1">"c780"</definedName>
    <definedName name="IQ_NET_TO_GROSS_EARNED" hidden="1">"c2750"</definedName>
    <definedName name="IQ_NET_TO_GROSS_WRITTEN" hidden="1">"c2729"</definedName>
    <definedName name="IQ_NET_WRITTEN" hidden="1">"c2728"</definedName>
    <definedName name="IQ_NEW_PREM" hidden="1">"c2785"</definedName>
    <definedName name="IQ_NI" hidden="1">"c781"</definedName>
    <definedName name="IQ_NI_10YR_ANN_GROWTH" hidden="1">"c782"</definedName>
    <definedName name="IQ_NI_1YR_ANN_GROWTH" hidden="1">"c783"</definedName>
    <definedName name="IQ_NI_2YR_ANN_GROWTH" hidden="1">"c784"</definedName>
    <definedName name="IQ_NI_3YR_ANN_GROWTH" hidden="1">"c785"</definedName>
    <definedName name="IQ_NI_5YR_ANN_GROWTH" hidden="1">"c786"</definedName>
    <definedName name="IQ_NI_7YR_ANN_GROWTH" hidden="1">"c787"</definedName>
    <definedName name="IQ_NI_AFTER_CAPITALIZED" hidden="1">"c788"</definedName>
    <definedName name="IQ_NI_AVAIL_EXCL" hidden="1">"c789"</definedName>
    <definedName name="IQ_NI_AVAIL_EXCL_MARGIN" hidden="1">"c790"</definedName>
    <definedName name="IQ_NI_AVAIL_INCL" hidden="1">"c791"</definedName>
    <definedName name="IQ_NI_BEFORE_CAPITALIZED" hidden="1">"c792"</definedName>
    <definedName name="IQ_NI_CF" hidden="1">"c793"</definedName>
    <definedName name="IQ_NI_MARGIN" hidden="1">"c794"</definedName>
    <definedName name="IQ_NI_NORM" hidden="1">"c1901"</definedName>
    <definedName name="IQ_NI_NORM_10YR_ANN_GROWTH" hidden="1">"c1960"</definedName>
    <definedName name="IQ_NI_NORM_1YR_ANN_GROWTH" hidden="1">"c1955"</definedName>
    <definedName name="IQ_NI_NORM_2YR_ANN_GROWTH" hidden="1">"c1956"</definedName>
    <definedName name="IQ_NI_NORM_3YR_ANN_GROWTH" hidden="1">"c1957"</definedName>
    <definedName name="IQ_NI_NORM_5YR_ANN_GROWTH" hidden="1">"c1958"</definedName>
    <definedName name="IQ_NI_NORM_7YR_ANN_GROWTH" hidden="1">"c1959"</definedName>
    <definedName name="IQ_NI_NORM_MARGIN" hidden="1">"c1964"</definedName>
    <definedName name="IQ_NI_SFAS" hidden="1">"c795"</definedName>
    <definedName name="IQ_NON_ACCRUAL_LOANS" hidden="1">"c796"</definedName>
    <definedName name="IQ_NON_CASH" hidden="1">"c1399"</definedName>
    <definedName name="IQ_NON_CASH_ITEMS" hidden="1">"c797"</definedName>
    <definedName name="IQ_NON_INS_EXP" hidden="1">"c798"</definedName>
    <definedName name="IQ_NON_INS_REV" hidden="1">"c799"</definedName>
    <definedName name="IQ_NON_INT_BEAR_CD" hidden="1">"c800"</definedName>
    <definedName name="IQ_NON_INT_EXP" hidden="1">"c801"</definedName>
    <definedName name="IQ_NON_INT_INC" hidden="1">"c802"</definedName>
    <definedName name="IQ_NON_INT_INC_10YR_ANN_GROWTH" hidden="1">"c803"</definedName>
    <definedName name="IQ_NON_INT_INC_1YR_ANN_GROWTH" hidden="1">"c804"</definedName>
    <definedName name="IQ_NON_INT_INC_2YR_ANN_GROWTH" hidden="1">"c805"</definedName>
    <definedName name="IQ_NON_INT_INC_3YR_ANN_GROWTH" hidden="1">"c806"</definedName>
    <definedName name="IQ_NON_INT_INC_5YR_ANN_GROWTH" hidden="1">"c807"</definedName>
    <definedName name="IQ_NON_INT_INC_7YR_ANN_GROWTH" hidden="1">"c808"</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GROWTH" hidden="1">"c811"</definedName>
    <definedName name="IQ_NON_PERF_ASSETS_1YR_ANN_GROWTH" hidden="1">"c812"</definedName>
    <definedName name="IQ_NON_PERF_ASSETS_2YR_ANN_GROWTH" hidden="1">"c813"</definedName>
    <definedName name="IQ_NON_PERF_ASSETS_3YR_ANN_GROWTH" hidden="1">"c814"</definedName>
    <definedName name="IQ_NON_PERF_ASSETS_5YR_ANN_GROWTH" hidden="1">"c815"</definedName>
    <definedName name="IQ_NON_PERF_ASSETS_7YR_ANN_GROWTH" hidden="1">"c816"</definedName>
    <definedName name="IQ_NON_PERF_ASSETS_TOTAL_ASSETS" hidden="1">"c817"</definedName>
    <definedName name="IQ_NON_PERF_LOANS_10YR_ANN_GROWTH" hidden="1">"c818"</definedName>
    <definedName name="IQ_NON_PERF_LOANS_1YR_ANN_GROWTH" hidden="1">"c819"</definedName>
    <definedName name="IQ_NON_PERF_LOANS_2YR_ANN_GROWTH" hidden="1">"c820"</definedName>
    <definedName name="IQ_NON_PERF_LOANS_3YR_ANN_GROWTH" hidden="1">"c821"</definedName>
    <definedName name="IQ_NON_PERF_LOANS_5YR_ANN_GROWTH" hidden="1">"c822"</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NCASH_PENSION_EXP" hidden="1">"c3000"</definedName>
    <definedName name="IQ_NONRECOURSE_DEBT" hidden="1">"c2550"</definedName>
    <definedName name="IQ_NONRECOURSE_DEBT_PCT" hidden="1">"c2551"</definedName>
    <definedName name="IQ_NONUTIL_REV" hidden="1">"c2089"</definedName>
    <definedName name="IQ_NORMAL_INC_AFTER" hidden="1">"c1605"</definedName>
    <definedName name="IQ_NORMAL_INC_AVAIL" hidden="1">"c1606"</definedName>
    <definedName name="IQ_NORMAL_INC_BEFORE" hidden="1">"c1607"</definedName>
    <definedName name="IQ_NOTES_PAY" hidden="1">"c1423"</definedName>
    <definedName name="IQ_NOW_ACCOUNT" hidden="1">"c828"</definedName>
    <definedName name="IQ_NPPE" hidden="1">"c829"</definedName>
    <definedName name="IQ_NPPE_10YR_ANN_GROWTH" hidden="1">"c830"</definedName>
    <definedName name="IQ_NPPE_1YR_ANN_GROWTH" hidden="1">"c831"</definedName>
    <definedName name="IQ_NPPE_2YR_ANN_GROWTH" hidden="1">"c832"</definedName>
    <definedName name="IQ_NPPE_3YR_ANN_GROWTH" hidden="1">"c833"</definedName>
    <definedName name="IQ_NPPE_5YR_ANN_GROWTH" hidden="1">"c834"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BER_ADRHOLDERS" hidden="1">"c1970"</definedName>
    <definedName name="IQ_NUMBER_DAYS" hidden="1">"c1904"</definedName>
    <definedName name="IQ_NUMBER_SHAREHOLDERS" hidden="1">"c1967"</definedName>
    <definedName name="IQ_NUMBER_SHAREHOLDERS_CLASSA" hidden="1">"c1968"</definedName>
    <definedName name="IQ_NUMBER_SHAREHOLDERS_OTHER" hidden="1">"c1969"</definedName>
    <definedName name="IQ_OCCUPY_EXP" hidden="1">"c839"</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PROD_GAS" hidden="1">"c2910"</definedName>
    <definedName name="IQ_OG_AVG_DAILY_PROD_NGL" hidden="1">"c2911"</definedName>
    <definedName name="IQ_OG_AVG_DAILY_PROD_OIL" hidden="1">"c2909"</definedName>
    <definedName name="IQ_OG_CLOSE_BALANCE_GAS" hidden="1">"c2049"</definedName>
    <definedName name="IQ_OG_CLOSE_BALANCE_NGL" hidden="1">"c2920"</definedName>
    <definedName name="IQ_OG_CLOSE_BALANCE_OIL" hidden="1">"c2037"</definedName>
    <definedName name="IQ_OG_DCF_BEFORE_TAXES" hidden="1">"c2023"</definedName>
    <definedName name="IQ_OG_DCF_BEFORE_TAXES_GAS" hidden="1">"c2025"</definedName>
    <definedName name="IQ_OG_DCF_BEFORE_TAXES_OIL" hidden="1">"c2024"</definedName>
    <definedName name="IQ_OG_DEVELOPED_RESERVES_GAS" hidden="1">"c2053"</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FUTURE_CASH_FLOWS" hidden="1">"c1996"</definedName>
    <definedName name="IQ_OG_NET_FUTURE_CASH_FLOWS_GAS" hidden="1">"c2016"</definedName>
    <definedName name="IQ_OG_NET_FUTURE_CASH_FLOWS_OIL" hidden="1">"c2006"</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ODUCTION_GAS" hidden="1">"c2047"</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VISIONS_GAS" hidden="1">"c2042"</definedName>
    <definedName name="IQ_OG_REVISIONS_NGL" hidden="1">"c2913"</definedName>
    <definedName name="IQ_OG_REVISIONS_OIL" hidden="1">"c2030"</definedName>
    <definedName name="IQ_OG_SALES_IN_PLACE_GAS" hidden="1">"c2046"</definedName>
    <definedName name="IQ_OG_SALES_IN_PLACE_NGL" hidden="1">"c2917"</definedName>
    <definedName name="IQ_OG_SALES_IN_PLACE_OIL" hidden="1">"c2034"</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PRODUCTION" hidden="1">"c2060"</definedName>
    <definedName name="IQ_OG_TOTAL_LIQUID_GAS_PRODUCTION" hidden="1">"c2235"</definedName>
    <definedName name="IQ_OG_TOTAL_OIL_PRODUCTION" hidden="1">"c2059"</definedName>
    <definedName name="IQ_OG_UNDEVELOPED_RESERVES_GAS" hidden="1">"c2051"</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NPRICE" hidden="1">"c848"</definedName>
    <definedName name="IQ_OPER_INC" hidden="1">"c849"</definedName>
    <definedName name="IQ_OPER_INC_BR" hidden="1">"c850"</definedName>
    <definedName name="IQ_OPER_INC_FIN" hidden="1">"c851"</definedName>
    <definedName name="IQ_OPER_INC_INS" hidden="1">"c852"</definedName>
    <definedName name="IQ_OPER_INC_MARGIN" hidden="1">"c1448"</definedName>
    <definedName name="IQ_OPER_INC_REIT" hidden="1">"c853"</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EXERCISED" hidden="1">"c2116"</definedName>
    <definedName name="IQ_OPTIONS_GRANTED" hidden="1">"c2673"</definedName>
    <definedName name="IQ_OPTIONS_ISSUED" hidden="1">"c857"</definedName>
    <definedName name="IQ_OPTIONS_STRIKE_PRICE_GRANTED" hidden="1">"c2678"</definedName>
    <definedName name="IQ_OPTIONS_STRIKE_PRICE_OS" hidden="1">"c2677"</definedName>
    <definedName name="IQ_ORDER_BACKLOG" hidden="1">"c2090"</definedName>
    <definedName name="IQ_OTHER_ADJUST_GROSS_LOANS" hidden="1">"c859"</definedName>
    <definedName name="IQ_OTHER_ASSETS" hidden="1">"c860"</definedName>
    <definedName name="IQ_OTHER_ASSETS_BNK" hidden="1">"c861"</definedName>
    <definedName name="IQ_OTHER_ASSETS_BR" hidden="1">"c862"</definedName>
    <definedName name="IQ_OTHER_ASSETS_FIN" hidden="1">"c863"</definedName>
    <definedName name="IQ_OTHER_ASSETS_INS" hidden="1">"c864"</definedName>
    <definedName name="IQ_OTHER_ASSETS_REIT" hidden="1">"c865"</definedName>
    <definedName name="IQ_OTHER_ASSETS_SERV_RIGHTS" hidden="1">"c2243"</definedName>
    <definedName name="IQ_OTHER_ASSETS_UTI" hidden="1">"c866"</definedName>
    <definedName name="IQ_OTHER_BEARING_LIAB" hidden="1">"c1608"</definedName>
    <definedName name="IQ_OTHER_BENEFITS_OBLIGATION" hidden="1">"c867"</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REIT" hidden="1">"c882"</definedName>
    <definedName name="IQ_OTHER_CL_SUPPL_UTI" hidden="1">"c883"</definedName>
    <definedName name="IQ_OTHER_CL_UTI" hidden="1">"c884"</definedName>
    <definedName name="IQ_OTHER_CURRENT_ASSETS" hidden="1">"c1403"</definedName>
    <definedName name="IQ_OTHER_CURRENT_LIAB" hidden="1">"c1404"</definedName>
    <definedName name="IQ_OTHER_DEBT" hidden="1">"c2507"</definedName>
    <definedName name="IQ_OTHER_DEBT_PCT" hidden="1">"c2508"</definedName>
    <definedName name="IQ_OTHER_DEP" hidden="1">"c885"</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IT" hidden="1">"c904"</definedName>
    <definedName name="IQ_OTHER_FINANCE_ACT_SUPPL_UTI" hidden="1">"c905"</definedName>
    <definedName name="IQ_OTHER_FINANCE_ACT_UTI" hidden="1">"c906"</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IT" hidden="1">"c912"</definedName>
    <definedName name="IQ_OTHER_INTAN_UTI" hidden="1">"c913"</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IT" hidden="1">"c940"</definedName>
    <definedName name="IQ_OTHER_LIAB_LT_UTI" hidden="1">"c941"</definedName>
    <definedName name="IQ_OTHER_LIAB_REIT" hidden="1">"c942"</definedName>
    <definedName name="IQ_OTHER_LIAB_UTI" hidden="1">"c943"</definedName>
    <definedName name="IQ_OTHER_LIAB_WRITTEN" hidden="1">"c944"</definedName>
    <definedName name="IQ_OTHER_LOANS" hidden="1">"c945"</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IT" hidden="1">"c951"</definedName>
    <definedName name="IQ_OTHER_LT_ASSETS_UTI" hidden="1">"c952"</definedName>
    <definedName name="IQ_OTHER_NET" hidden="1">"c1453"</definedName>
    <definedName name="IQ_OTHER_NON_INT_EXP" hidden="1">"c953"</definedName>
    <definedName name="IQ_OTHER_NON_INT_EXP_TOTAL" hidden="1">"c954"</definedName>
    <definedName name="IQ_OTHER_NON_INT_INC" hidden="1">"c955"</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IT" hidden="1">"c965"</definedName>
    <definedName name="IQ_OTHER_NON_OPER_EXP_SUPPL_UTI" hidden="1">"c966"</definedName>
    <definedName name="IQ_OTHER_NON_OPER_EXP_UTI" hidden="1">"c967"</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ED" hidden="1">"c2688"</definedName>
    <definedName name="IQ_OTHER_OPTIONS_GRANTED" hidden="1">"c2687"</definedName>
    <definedName name="IQ_OTHER_OPTIONS_STRIKE_PRICE_OS" hidden="1">"c2691"</definedName>
    <definedName name="IQ_OTHER_OUTSTANDING_BS_DATE" hidden="1">"c1972"</definedName>
    <definedName name="IQ_OTHER_OUTSTANDING_FILING_DATE" hidden="1">"c1974"</definedName>
    <definedName name="IQ_OTHER_PC_WRITTEN" hidden="1">"c1006"</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IT" hidden="1">"c1019"</definedName>
    <definedName name="IQ_OTHER_REV_SUPPL_UTI" hidden="1">"c1020"</definedName>
    <definedName name="IQ_OTHER_REV_UTI" hidden="1">"c1021"</definedName>
    <definedName name="IQ_OTHER_REVENUE" hidden="1">"c1410"</definedName>
    <definedName name="IQ_OTHER_STRIKE_PRICE_GRANTED" hidden="1">"c2692"</definedName>
    <definedName name="IQ_OTHER_UNDRAWN" hidden="1">"c2522"</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IT" hidden="1">"c1499"</definedName>
    <definedName name="IQ_OTHER_UNUSUAL_SUPPL_UTI" hidden="1">"c1500"</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"c2128"</definedName>
    <definedName name="IQ_OUTSTANDING_FILING_DATE" hidden="1">"c1023"</definedName>
    <definedName name="IQ_PART_TIME" hidden="1">"c1024"</definedName>
    <definedName name="IQ_PAY_ACCRUED" hidden="1">"c1457"</definedName>
    <definedName name="IQ_PAYOUT_RATIO" hidden="1">"c1900"</definedName>
    <definedName name="IQ_PBV" hidden="1">"c1025"</definedName>
    <definedName name="IQ_PBV_AVG" hidden="1">"c1026"</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NORMALIZED" hidden="1">"c2207"</definedName>
    <definedName name="IQ_PE_RATIO" hidden="1">"c1610"</definedName>
    <definedName name="IQ_PENSION" hidden="1">"c1031"</definedName>
    <definedName name="IQ_PERIODDATE" hidden="1">"c1414"</definedName>
    <definedName name="IQ_PERIODDATE_BS" hidden="1">"c1032"</definedName>
    <definedName name="IQ_PERIODDATE_CF" hidden="1">"c1033"</definedName>
    <definedName name="IQ_PERIODDATE_IS" hidden="1">"c1034"</definedName>
    <definedName name="IQ_PERIODLENGTH_CF" hidden="1">"c1502"</definedName>
    <definedName name="IQ_PERIODLENGTH_IS" hidden="1">"c1503"</definedName>
    <definedName name="IQ_PERTYPE" hidden="1">"c1611"</definedName>
    <definedName name="IQ_PLL" hidden="1">"c2114"</definedName>
    <definedName name="IQ_POLICY_BENEFITS" hidden="1">"c1036"</definedName>
    <definedName name="IQ_POLICY_COST" hidden="1">"c1037"</definedName>
    <definedName name="IQ_POLICY_LIAB" hidden="1">"c1612"</definedName>
    <definedName name="IQ_POLICY_LOANS" hidden="1">"c1038"</definedName>
    <definedName name="IQ_POST_RETIRE_EXP" hidden="1">"c1039"</definedName>
    <definedName name="IQ_POSTPAID_CHURN" hidden="1">"c2121"</definedName>
    <definedName name="IQ_POSTPAID_SUBS" hidden="1">"c2118"</definedName>
    <definedName name="IQ_PRE_OPEN_COST" hidden="1">"c1040"</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IT" hidden="1">"c1058"</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IT" hidden="1">"c1065"</definedName>
    <definedName name="IQ_PREF_REP_UTI" hidden="1">"c1066"</definedName>
    <definedName name="IQ_PREF_STOCK" hidden="1">"c1416"</definedName>
    <definedName name="IQ_PREF_TOT" hidden="1">"c1415"</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ICE_OVER_BVPS" hidden="1">"c1412"</definedName>
    <definedName name="IQ_PRICE_OVER_LTM_EPS" hidden="1">"c1413"</definedName>
    <definedName name="IQ_PRICEDATE" hidden="1">"c1069"</definedName>
    <definedName name="IQ_PRICING_DATE" hidden="1">"c1613"</definedName>
    <definedName name="IQ_PRIMARY_INDUSTRY" hidden="1">"c1070"</definedName>
    <definedName name="IQ_PRO_FORMA_BASIC_EPS" hidden="1">"c1614"</definedName>
    <definedName name="IQ_PRO_FORMA_DILUT_EPS" hidden="1">"c1615"</definedName>
    <definedName name="IQ_PRO_FORMA_NET_INC" hidden="1">"c1452"</definedName>
    <definedName name="IQ_PROFESSIONAL" hidden="1">"c1071"</definedName>
    <definedName name="IQ_PROFESSIONAL_TITLE" hidden="1">"c1072"</definedName>
    <definedName name="IQ_PROJECTED_PENSION_OBLIGATION" hidden="1">"c1292"</definedName>
    <definedName name="IQ_PROJECTED_PENSION_OBLIGATION_DOMESTIC" hidden="1">"c2656"</definedName>
    <definedName name="IQ_PROJECTED_PENSION_OBLIGATION_FOREIGN" hidden="1">"c2664"</definedName>
    <definedName name="IQ_PROPERTY_EXP" hidden="1">"c1073"</definedName>
    <definedName name="IQ_PROPERTY_GROSS" hidden="1">"c1379"</definedName>
    <definedName name="IQ_PROPERTY_MGMT_FEE" hidden="1">"c1074"</definedName>
    <definedName name="IQ_PROPERTY_NET" hidden="1">"c1402"</definedName>
    <definedName name="IQ_PROV_BAD_DEBTS" hidden="1">"c1075"</definedName>
    <definedName name="IQ_PROV_BAD_DEBTS_CF" hidden="1">"c1076"</definedName>
    <definedName name="IQ_PROVISION_10YR_ANN_GROWTH" hidden="1">"c1077"</definedName>
    <definedName name="IQ_PROVISION_1YR_ANN_GROWTH" hidden="1">"c1078"</definedName>
    <definedName name="IQ_PROVISION_2YR_ANN_GROWTH" hidden="1">"c1079"</definedName>
    <definedName name="IQ_PROVISION_3YR_ANN_GROWTH" hidden="1">"c1080"</definedName>
    <definedName name="IQ_PROVISION_5YR_ANN_GROWTH" hidden="1">"c1081"</definedName>
    <definedName name="IQ_PROVISION_7YR_ANN_GROWTH" hidden="1">"c1082"</definedName>
    <definedName name="IQ_PROVISION_CHARGE_OFFS" hidden="1">"c1083"</definedName>
    <definedName name="IQ_PTBV" hidden="1">"c1084"</definedName>
    <definedName name="IQ_PTBV_AVG" hidden="1">"c1085"</definedName>
    <definedName name="IQ_QUICK_RATIO" hidden="1">"c1086"</definedName>
    <definedName name="IQ_RATE_COMP_GROWTH_DOMESTIC" hidden="1">"c1087"</definedName>
    <definedName name="IQ_RATE_COMP_GROWTH_FOREIGN" hidden="1">"c1088"</definedName>
    <definedName name="IQ_RAW_INV" hidden="1">"c1089"</definedName>
    <definedName name="IQ_RC" hidden="1">"c2497"</definedName>
    <definedName name="IQ_RC_PCT" hidden="1">"c2498"</definedName>
    <definedName name="IQ_RD_EXP" hidden="1">"c1090"</definedName>
    <definedName name="IQ_RD_EXP_FN" hidden="1">"c1091"</definedName>
    <definedName name="IQ_RE" hidden="1">"c1092"</definedName>
    <definedName name="IQ_REAL_ESTATE" hidden="1">"c1093"</definedName>
    <definedName name="IQ_REAL_ESTATE_ASSETS" hidden="1">"c1094"</definedName>
    <definedName name="IQ_REDEEM_PREF_STOCK" hidden="1">"c1417"</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NTAL_REV" hidden="1">"c1101"</definedName>
    <definedName name="IQ_RESEARCH_DEV" hidden="1">"c1419"</definedName>
    <definedName name="IQ_RESIDENTIAL_LOANS" hidden="1">"c1102"</definedName>
    <definedName name="IQ_RESTATEMENT_BS" hidden="1">"c1643"</definedName>
    <definedName name="IQ_RESTATEMENT_CF" hidden="1">"c1644"</definedName>
    <definedName name="IQ_RESTATEMENT_IS" hidden="1">"c1642"</definedName>
    <definedName name="IQ_RESTRICTED_CASH" hidden="1">"c1103"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IT" hidden="1">"c1110"</definedName>
    <definedName name="IQ_RESTRUCTURE_UTI" hidden="1">"c1111"</definedName>
    <definedName name="IQ_RESTRUCTURED_LOANS" hidden="1">"c1112"</definedName>
    <definedName name="IQ_RETAIL_ACQUIRED_FRANCHISE_STORES" hidden="1">"c2903"</definedName>
    <definedName name="IQ_RETAIL_ACQUIRED_OWNED_STORES" hidden="1">"c2895"</definedName>
    <definedName name="IQ_RETAIL_ACQUIRED_STORES" hidden="1">"c2887"</definedName>
    <definedName name="IQ_RETAIL_AVG_STORE_SIZE_GROSS" hidden="1">"c2066"</definedName>
    <definedName name="IQ_RETAIL_AVG_STORE_SIZE_NET" hidden="1">"c2067"</definedName>
    <definedName name="IQ_RETAIL_AVG_WK_SALES" hidden="1">"c2891"</definedName>
    <definedName name="IQ_RETAIL_AVG_WK_SALES_FRANCHISE" hidden="1">"c2899"</definedName>
    <definedName name="IQ_RETAIL_AVG_WK_SALES_OWNED" hidden="1">"c2907"</definedName>
    <definedName name="IQ_RETAIL_CLOSED_FRANCHISE_STORES" hidden="1">"c2896"</definedName>
    <definedName name="IQ_RETAIL_CLOSED_OWNED_STORES" hidden="1">"c2904"</definedName>
    <definedName name="IQ_RETAIL_CLOSED_STORES" hidden="1">"c2063"</definedName>
    <definedName name="IQ_RETAIL_FRANCHISE_STORES_BEG" hidden="1">"c2893"</definedName>
    <definedName name="IQ_RETAIL_OPENED_FRANCHISE_STORES" hidden="1">"c2894"</definedName>
    <definedName name="IQ_RETAIL_OPENED_OWNED_STORES" hidden="1">"c2902"</definedName>
    <definedName name="IQ_RETAIL_OPENED_STORES" hidden="1">"c2062"</definedName>
    <definedName name="IQ_RETAIL_OWNED_STORES_BEG" hidden="1">"c2901"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FRANCHISE_STORES" hidden="1">"c2898"</definedName>
    <definedName name="IQ_RETAIL_TOTAL_OWNED_STORES" hidden="1">"c2906"</definedName>
    <definedName name="IQ_RETAIL_TOTAL_STORES" hidden="1">"c2061"</definedName>
    <definedName name="IQ_RETAINED_EARN" hidden="1">"c1420"</definedName>
    <definedName name="IQ_RETURN_ASSETS" hidden="1">"c1113"</definedName>
    <definedName name="IQ_RETURN_ASSETS_BANK" hidden="1">"c1114"</definedName>
    <definedName name="IQ_RETURN_ASSETS_BROK" hidden="1">"c1115"</definedName>
    <definedName name="IQ_RETURN_ASSETS_FS" hidden="1">"c1116"</definedName>
    <definedName name="IQ_RETURN_CAPITAL" hidden="1">"c1117"</definedName>
    <definedName name="IQ_RETURN_EQUITY" hidden="1">"c1118"</definedName>
    <definedName name="IQ_RETURN_EQUITY_BANK" hidden="1">"c1119"</definedName>
    <definedName name="IQ_RETURN_EQUITY_BROK" hidden="1">"c1120"</definedName>
    <definedName name="IQ_RETURN_EQUITY_FS" hidden="1">"c1121"</definedName>
    <definedName name="IQ_RETURN_INVESTMENT" hidden="1">"c1421"</definedName>
    <definedName name="IQ_REV" hidden="1">"c1122"</definedName>
    <definedName name="IQ_REV_BEFORE_LL" hidden="1">"c1123"</definedName>
    <definedName name="IQ_REV_UTI" hidden="1">"c1125"</definedName>
    <definedName name="IQ_REVENUE" hidden="1">"c1422"</definedName>
    <definedName name="IQ_REVISION_DATE_" hidden="1">39302.654224537</definedName>
    <definedName name="IQ_RISK_ADJ_BANK_ASSETS" hidden="1">"c2670"</definedName>
    <definedName name="IQ_SALARY" hidden="1">"c1130"</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S_MARKETING" hidden="1">"c2240"</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ECUR_RECEIV" hidden="1">"c1151"</definedName>
    <definedName name="IQ_SECURED_DEBT" hidden="1">"c2546"</definedName>
    <definedName name="IQ_SECURED_DEBT_PCT" hidden="1">"c2547"</definedName>
    <definedName name="IQ_SECURITY_BORROW" hidden="1">"c1152"</definedName>
    <definedName name="IQ_SECURITY_OWN" hidden="1">"c1153"</definedName>
    <definedName name="IQ_SECURITY_RESELL" hidden="1">"c1154"</definedName>
    <definedName name="IQ_SEPARATE_ACCT_ASSETS" hidden="1">"c1155"</definedName>
    <definedName name="IQ_SEPARATE_ACCT_LIAB" hidden="1">"c1156"</definedName>
    <definedName name="IQ_SERV_CHARGE_DEPOSITS" hidden="1">"c1157"</definedName>
    <definedName name="IQ_SGA" hidden="1">"c1158"</definedName>
    <definedName name="IQ_SGA_BNK" hidden="1">"c1159"</definedName>
    <definedName name="IQ_SGA_INS" hidden="1">"c1160"</definedName>
    <definedName name="IQ_SGA_MARGIN" hidden="1">"c1898"</definedName>
    <definedName name="IQ_SGA_REIT" hidden="1">"c1161"</definedName>
    <definedName name="IQ_SGA_SUPPL" hidden="1">"c1162"</definedName>
    <definedName name="IQ_SGA_UTI" hidden="1">"c1163"</definedName>
    <definedName name="IQ_SHAREOUTSTANDING" hidden="1">"c1347"</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TERM_INVEST" hidden="1">"c1425"</definedName>
    <definedName name="IQ_SMALL_INT_BEAR_CD" hidden="1">"c1166"</definedName>
    <definedName name="IQ_SOFTWARE" hidden="1">"c1167"</definedName>
    <definedName name="IQ_SOURCE" hidden="1">"c1168"</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IT" hidden="1">"c1174"</definedName>
    <definedName name="IQ_SPECIAL_DIV_CF_UTI" hidden="1">"c1175"</definedName>
    <definedName name="IQ_SPECIAL_DIV_SHARE" hidden="1">"c3007"</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IT" hidden="1">"c1186"</definedName>
    <definedName name="IQ_ST_DEBT_ISSUED_UTI" hidden="1">"c1187"</definedName>
    <definedName name="IQ_ST_DEBT_PCT" hidden="1">"c2539"</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IT" hidden="1">"c1194"</definedName>
    <definedName name="IQ_ST_DEBT_REPAID_UTI" hidden="1">"c1195"</definedName>
    <definedName name="IQ_ST_DEBT_UTI" hidden="1">"c1196"</definedName>
    <definedName name="IQ_ST_INVEST" hidden="1">"c1197"</definedName>
    <definedName name="IQ_ST_INVEST_UTI" hidden="1">"c1198"</definedName>
    <definedName name="IQ_ST_NOTE_RECEIV" hidden="1">"c1199"</definedName>
    <definedName name="IQ_STATE" hidden="1">"c1200"</definedName>
    <definedName name="IQ_STATUTORY_SURPLUS" hidden="1">"c1201"</definedName>
    <definedName name="IQ_STOCK_BASED" hidden="1">"c1202"</definedName>
    <definedName name="IQ_STOCK_BASED_AT" hidden="1">"c2999"</definedName>
    <definedName name="IQ_STOCK_BASED_CF" hidden="1">"c1203"</definedName>
    <definedName name="IQ_STOCK_BASED_COGS" hidden="1">"c2990"</definedName>
    <definedName name="IQ_STOCK_BASED_GA" hidden="1">"c2993"</definedName>
    <definedName name="IQ_STOCK_BASED_OTHER" hidden="1">"c2995"</definedName>
    <definedName name="IQ_STOCK_BASED_RD" hidden="1">"c2991"</definedName>
    <definedName name="IQ_STOCK_BASED_SGA" hidden="1">"c2994"</definedName>
    <definedName name="IQ_STOCK_BASED_SM" hidden="1">"c2992"</definedName>
    <definedName name="IQ_STOCK_BASED_TOTAL" hidden="1">"c3040"</definedName>
    <definedName name="IQ_STRIKE_PRICE_ISSUED" hidden="1">"c1645"</definedName>
    <definedName name="IQ_STRIKE_PRICE_OS" hidden="1">"c1646"</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VA" hidden="1">"c1214"</definedName>
    <definedName name="IQ_TAX_BENEFIT_OPTIONS" hidden="1">"c1215"</definedName>
    <definedName name="IQ_TAX_EQUIV_NET_INT_INC" hidden="1">"c1216"</definedName>
    <definedName name="IQ_TBV" hidden="1">"c1906"</definedName>
    <definedName name="IQ_TBV_10YR_ANN_GROWTH" hidden="1">"c1936"</definedName>
    <definedName name="IQ_TBV_1YR_ANN_GROWTH" hidden="1">"c1931"</definedName>
    <definedName name="IQ_TBV_2YR_ANN_GROWTH" hidden="1">"c1932"</definedName>
    <definedName name="IQ_TBV_3YR_ANN_GROWTH" hidden="1">"c1933"</definedName>
    <definedName name="IQ_TBV_5YR_ANN_GROWTH" hidden="1">"c1934"</definedName>
    <definedName name="IQ_TBV_7YR_ANN_GROWTH" hidden="1">"c1935"</definedName>
    <definedName name="IQ_TBV_SHARE" hidden="1">"c1217"</definedName>
    <definedName name="IQ_TEMPLATE" hidden="1">"c1521"</definedName>
    <definedName name="IQ_TENANT" hidden="1">"c1218"</definedName>
    <definedName name="IQ_TERM_LOANS" hidden="1">"c2499"</definedName>
    <definedName name="IQ_TERM_LOANS_PCT" hidden="1">"c2500"</definedName>
    <definedName name="IQ_TEV" hidden="1">"c1219"</definedName>
    <definedName name="IQ_TEV_EBIT" hidden="1">"c1220"</definedName>
    <definedName name="IQ_TEV_EBIT_AVG" hidden="1">"c1221"</definedName>
    <definedName name="IQ_TEV_EBITDA" hidden="1">"c1222"</definedName>
    <definedName name="IQ_TEV_EBITDA_AVG" hidden="1">"c1223"</definedName>
    <definedName name="IQ_TEV_EMPLOYEE_AVG" hidden="1">"c1225"</definedName>
    <definedName name="IQ_TEV_TOTAL_REV" hidden="1">"c1226"</definedName>
    <definedName name="IQ_TEV_TOTAL_REV_AVG" hidden="1">"c1227"</definedName>
    <definedName name="IQ_TEV_UFCF" hidden="1">"c2208"</definedName>
    <definedName name="IQ_TIER_ONE_CAPITAL" hidden="1">"c2667"</definedName>
    <definedName name="IQ_TIER_ONE_RATIO" hidden="1">"c1229"</definedName>
    <definedName name="IQ_TIER_TWO_CAPITAL" hidden="1">"c2669"</definedName>
    <definedName name="IQ_TIME_DEP" hidden="1">"c1230"</definedName>
    <definedName name="IQ_TODAY" hidden="1">0</definedName>
    <definedName name="IQ_TOT_ADJ_INC" hidden="1">"c1616"</definedName>
    <definedName name="IQ_TOTAL_AR_BR" hidden="1">"c1231"</definedName>
    <definedName name="IQ_TOTAL_AR_REIT" hidden="1">"c1232"</definedName>
    <definedName name="IQ_TOTAL_AR_UTI" hidden="1">"c1233"</definedName>
    <definedName name="IQ_TOTAL_ASSETS" hidden="1">"c1234"</definedName>
    <definedName name="IQ_TOTAL_ASSETS_10YR_ANN_GROWTH" hidden="1">"c1235"</definedName>
    <definedName name="IQ_TOTAL_ASSETS_1YR_ANN_GROWTH" hidden="1">"c1236"</definedName>
    <definedName name="IQ_TOTAL_ASSETS_2YR_ANN_GROWTH" hidden="1">"c1237"</definedName>
    <definedName name="IQ_TOTAL_ASSETS_3YR_ANN_GROWTH" hidden="1">"c1238"</definedName>
    <definedName name="IQ_TOTAL_ASSETS_5YR_ANN_GROWTH" hidden="1">"c1239"</definedName>
    <definedName name="IQ_TOTAL_ASSETS_7YR_ANN_GROWTH" hidden="1">"c1240"</definedName>
    <definedName name="IQ_TOTAL_AVG_CE_TOTAL_AVG_ASSETS" hidden="1">"c1241"</definedName>
    <definedName name="IQ_TOTAL_AVG_EQUITY_TOTAL_AVG_ASSETS" hidden="1">"c1242"</definedName>
    <definedName name="IQ_TOTAL_BANK_CAPITAL" hidden="1">"c2668"</definedName>
    <definedName name="IQ_TOTAL_CA" hidden="1">"c1243"</definedName>
    <definedName name="IQ_TOTAL_CAP" hidden="1">"c1507"</definedName>
    <definedName name="IQ_TOTAL_CAPITAL_RATIO" hidden="1">"c1244"</definedName>
    <definedName name="IQ_TOTAL_CASH_DIVID" hidden="1">"c1455"</definedName>
    <definedName name="IQ_TOTAL_CASH_FINAN" hidden="1">"c1352"</definedName>
    <definedName name="IQ_TOTAL_CASH_INVEST" hidden="1">"c1353"</definedName>
    <definedName name="IQ_TOTAL_CASH_OPER" hidden="1">"c1354"</definedName>
    <definedName name="IQ_TOTAL_CHURN" hidden="1">"c2122"</definedName>
    <definedName name="IQ_TOTAL_CL" hidden="1">"c1245"</definedName>
    <definedName name="IQ_TOTAL_COMMON" hidden="1">"c1411"</definedName>
    <definedName name="IQ_TOTAL_COMMON_EQUITY" hidden="1">"c1246"</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EBITDA" hidden="1">"c1249"</definedName>
    <definedName name="IQ_TOTAL_DEBT_EBITDA_CAPEX" hidden="1">"c2948"</definedName>
    <definedName name="IQ_TOTAL_DEBT_EQUITY" hidden="1">"c1250"</definedName>
    <definedName name="IQ_TOTAL_DEBT_EXCL_FIN" hidden="1">"c2937"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IT" hidden="1">"c1255"</definedName>
    <definedName name="IQ_TOTAL_DEBT_ISSUED_UTI" hidden="1">"c1256"</definedName>
    <definedName name="IQ_TOTAL_DEBT_ISSUES_INS" hidden="1">"c1257"</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IT" hidden="1">"c1263"</definedName>
    <definedName name="IQ_TOTAL_DEBT_REPAID_UTI" hidden="1">"c1264"</definedName>
    <definedName name="IQ_TOTAL_DEPOSITS" hidden="1">"c1265"</definedName>
    <definedName name="IQ_TOTAL_DIV_PAID_CF" hidden="1">"c1266"</definedName>
    <definedName name="IQ_TOTAL_EMPLOYEE" hidden="1">"c2141"</definedName>
    <definedName name="IQ_TOTAL_EMPLOYEES" hidden="1">"c1522"</definedName>
    <definedName name="IQ_TOTAL_EQUITY" hidden="1">"c1267"</definedName>
    <definedName name="IQ_TOTAL_EQUITY_10YR_ANN_GROWTH" hidden="1">"c1268"</definedName>
    <definedName name="IQ_TOTAL_EQUITY_1YR_ANN_GROWTH" hidden="1">"c1269"</definedName>
    <definedName name="IQ_TOTAL_EQUITY_2YR_ANN_GROWTH" hidden="1">"c1270"</definedName>
    <definedName name="IQ_TOTAL_EQUITY_3YR_ANN_GROWTH" hidden="1">"c1271"</definedName>
    <definedName name="IQ_TOTAL_EQUITY_5YR_ANN_GROWTH" hidden="1">"c1272"</definedName>
    <definedName name="IQ_TOTAL_EQUITY_7YR_ANN_GROWTH" hidden="1">"c1273"</definedName>
    <definedName name="IQ_TOTAL_EQUITY_ALLOWANCE_TOTAL_LOANS" hidden="1">"c1274"</definedName>
    <definedName name="IQ_TOTAL_INTEREST_EXP" hidden="1">"c1382"</definedName>
    <definedName name="IQ_TOTAL_INVENTORY" hidden="1">"c1385"</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FIN" hidden="1">"c1280"</definedName>
    <definedName name="IQ_TOTAL_LIAB_INS" hidden="1">"c1281"</definedName>
    <definedName name="IQ_TOTAL_LIAB_REIT" hidden="1">"c1282"</definedName>
    <definedName name="IQ_TOTAL_LIAB_SHAREHOLD" hidden="1">"c1435"</definedName>
    <definedName name="IQ_TOTAL_LIAB_TOTAL_ASSETS" hidden="1">"c1283"</definedName>
    <definedName name="IQ_TOTAL_LONG_DEBT" hidden="1">"c1617"</definedName>
    <definedName name="IQ_TOTAL_NON_REC" hidden="1">"c1444"</definedName>
    <definedName name="IQ_TOTAL_OPER_EXP_BR" hidden="1">"c1284"</definedName>
    <definedName name="IQ_TOTAL_OPER_EXP_FIN" hidden="1">"c1285"</definedName>
    <definedName name="IQ_TOTAL_OPER_EXP_INS" hidden="1">"c1286"</definedName>
    <definedName name="IQ_TOTAL_OPER_EXP_REIT" hidden="1">"c1287"</definedName>
    <definedName name="IQ_TOTAL_OPER_EXP_UTI" hidden="1">"c1288"</definedName>
    <definedName name="IQ_TOTAL_OPER_EXPEN" hidden="1">"c1445"</definedName>
    <definedName name="IQ_TOTAL_OPTIONS_BEG_OS" hidden="1">"c2693"</definedName>
    <definedName name="IQ_TOTAL_OPTIONS_CANCELLED" hidden="1">"c2696"</definedName>
    <definedName name="IQ_TOTAL_OPTIONS_END_OS" hidden="1">"c2697"</definedName>
    <definedName name="IQ_TOTAL_OPTIONS_EXERCISED" hidden="1">"c2695"</definedName>
    <definedName name="IQ_TOTAL_OPTIONS_GRANTED" hidden="1">"c2694"</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RINCIPAL" hidden="1">"c2509"</definedName>
    <definedName name="IQ_TOTAL_PRINCIPAL_PCT" hidden="1">"c2510"</definedName>
    <definedName name="IQ_TOTAL_PROVED_RESERVES_NGL" hidden="1">"c2924"</definedName>
    <definedName name="IQ_TOTAL_PROVED_RESERVES_OIL" hidden="1">"c2040"</definedName>
    <definedName name="IQ_TOTAL_RECEIV" hidden="1">"c1293"</definedName>
    <definedName name="IQ_TOTAL_REV" hidden="1">"c1294"</definedName>
    <definedName name="IQ_TOTAL_REV_10YR_ANN_GROWTH" hidden="1">"c1295"</definedName>
    <definedName name="IQ_TOTAL_REV_1YR_ANN_GROWTH" hidden="1">"c1296"</definedName>
    <definedName name="IQ_TOTAL_REV_2YR_ANN_GROWTH" hidden="1">"c1297"</definedName>
    <definedName name="IQ_TOTAL_REV_3YR_ANN_GROWTH" hidden="1">"c1298"</definedName>
    <definedName name="IQ_TOTAL_REV_5YR_ANN_GROWTH" hidden="1">"c1299"</definedName>
    <definedName name="IQ_TOTAL_REV_7YR_ANN_GROWTH" hidden="1">"c1300"</definedName>
    <definedName name="IQ_TOTAL_REV_AS_REPORTED" hidden="1">"c1301"</definedName>
    <definedName name="IQ_TOTAL_REV_BNK" hidden="1">"c1302"</definedName>
    <definedName name="IQ_TOTAL_REV_BR" hidden="1">"c1303"</definedName>
    <definedName name="IQ_TOTAL_REV_EMPLOYEE" hidden="1">"c1304"</definedName>
    <definedName name="IQ_TOTAL_REV_FIN" hidden="1">"c1305"</definedName>
    <definedName name="IQ_TOTAL_REV_INS" hidden="1">"c1306"</definedName>
    <definedName name="IQ_TOTAL_REV_REIT" hidden="1">"c1307"</definedName>
    <definedName name="IQ_TOTAL_REV_SHARE" hidden="1">"c1912"</definedName>
    <definedName name="IQ_TOTAL_REV_UTI" hidden="1">"c1308"</definedName>
    <definedName name="IQ_TOTAL_REVENUE" hidden="1">"c1436"</definedName>
    <definedName name="IQ_TOTAL_SPECIAL" hidden="1">"c1618"</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"c2119"</definedName>
    <definedName name="IQ_TOTAL_UNUSUAL" hidden="1">"c1508"</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DA" hidden="1">"c2381"</definedName>
    <definedName name="IQ_TR_ACQ_FILING_CURRENCY" hidden="1">"c3033"</definedName>
    <definedName name="IQ_TR_ACQ_MCAP_1DAY" hidden="1">"c2345"</definedName>
    <definedName name="IQ_TR_ACQ_MIN_INT" hidden="1">"c2374"</definedName>
    <definedName name="IQ_TR_ACQ_NET_DEBT" hidden="1">"c2373"</definedName>
    <definedName name="IQ_TR_ACQ_NI" hidden="1">"c2378"</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ER_ID" hidden="1">"c2404"</definedName>
    <definedName name="IQ_TR_BUYERNAME" hidden="1">"c2401"</definedName>
    <definedName name="IQ_TR_CANCELLED_DATE" hidden="1">"c2284"</definedName>
    <definedName name="IQ_TR_CASH_CONSID_PCT" hidden="1">"c2296"</definedName>
    <definedName name="IQ_TR_CASH_ST_INVEST" hidden="1">"c3025"</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F_AGRMT_DATE" hidden="1">"c2285"</definedName>
    <definedName name="IQ_TR_DISCLOSED_FEES_EXP" hidden="1">"c2288"</definedName>
    <definedName name="IQ_TR_EARNOUTS" hidden="1">"c3023"</definedName>
    <definedName name="IQ_TR_EXPIRED_DATE" hidden="1">"c2412"</definedName>
    <definedName name="IQ_TR_GROSS_OFFERING_AMT" hidden="1">"c2262"</definedName>
    <definedName name="IQ_TR_HYBRID_CONSID_PCT" hidden="1">"c2300"</definedName>
    <definedName name="IQ_TR_IMPLIED_EQ" hidden="1">"c3018"</definedName>
    <definedName name="IQ_TR_IMPLIED_EQ_BV" hidden="1">"c3019"</definedName>
    <definedName name="IQ_TR_IMPLIED_EQ_NI_LTM" hidden="1">"c3020"</definedName>
    <definedName name="IQ_TR_IMPLIED_EV" hidden="1">"c2301"</definedName>
    <definedName name="IQ_TR_IMPLIED_EV_BV" hidden="1">"c2306"</definedName>
    <definedName name="IQ_TR_IMPLIED_EV_EBIT" hidden="1">"c2302"</definedName>
    <definedName name="IQ_TR_IMPLIED_EV_EBITDA" hidden="1">"c2303"</definedName>
    <definedName name="IQ_TR_IMPLIED_EV_NI_LTM" hidden="1">"c2307"</definedName>
    <definedName name="IQ_TR_IMPLIED_EV_REV" hidden="1">"c2304"</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PROCEEDS" hidden="1">"c2267"</definedName>
    <definedName name="IQ_TR_OFFER_DATE" hidden="1">"c2265"</definedName>
    <definedName name="IQ_TR_OFFER_DATE_MA" hidden="1">"c3035"</definedName>
    <definedName name="IQ_TR_OFFER_PER_SHARE" hidden="1">"c3017"</definedName>
    <definedName name="IQ_TR_OPTIONS_CONSID_PCT" hidden="1">"c2311"</definedName>
    <definedName name="IQ_TR_OTHER_CONSID" hidden="1">"c3022"</definedName>
    <definedName name="IQ_TR_PCT_SOUGHT" hidden="1">"c2309"</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STMONEY_VAL" hidden="1">"c2286"</definedName>
    <definedName name="IQ_TR_PREDEAL_SITUATION" hidden="1">"c2390"</definedName>
    <definedName name="IQ_TR_PREF_CONSID_PCT" hidden="1">"c2310"</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PCT_SHARES" hidden="1">"c2416"</definedName>
    <definedName name="IQ_TR_RATING_FEES" hidden="1">"c2275"</definedName>
    <definedName name="IQ_TR_REG_EFFECT_DATE" hidden="1">"c2264"</definedName>
    <definedName name="IQ_TR_REG_FILED_DATE" hidden="1">"c2263"</definedName>
    <definedName name="IQ_TR_RENEWAL_BUYBACK" hidden="1">"c2413"</definedName>
    <definedName name="IQ_TR_ROUND_NUMBER" hidden="1">"c2295"</definedName>
    <definedName name="IQ_TR_SEC_FEES" hidden="1">"c2274"</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DA" hidden="1">"c2334"</definedName>
    <definedName name="IQ_TR_TARGET_FILING_CURRENCY" hidden="1">"c3034"</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"c2298"</definedName>
    <definedName name="IQ_TR_TERM_FEE_PCT" hidden="1">"c2297"</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ONSID_SH" hidden="1">"c2316"</definedName>
    <definedName name="IQ_TR_TOTAL_DEBT" hidden="1">"c2317"</definedName>
    <definedName name="IQ_TR_TOTAL_GROSS_TV" hidden="1">"c2318"</definedName>
    <definedName name="IQ_TR_TOTAL_HYBRID" hidden="1">"c2319"</definedName>
    <definedName name="IQ_TR_TOTAL_LEGAL_FEES" hidden="1">"c2272"</definedName>
    <definedName name="IQ_TR_TOTAL_NET_TV" hidden="1">"c2320"</definedName>
    <definedName name="IQ_TR_TOTAL_NEWMONEY" hidden="1">"c2289"</definedName>
    <definedName name="IQ_TR_TOTAL_OPTIONS" hidden="1">"c2322"</definedName>
    <definedName name="IQ_TR_TOTAL_OPTIONS_BUYER" hidden="1">"c3026"</definedName>
    <definedName name="IQ_TR_TOTAL_PREFERRED" hidden="1">"c2321"</definedName>
    <definedName name="IQ_TR_TOTAL_REG_AMT" hidden="1">"c2261"</definedName>
    <definedName name="IQ_TR_TOTAL_STOCK" hidden="1">"c2323"</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"c1345"</definedName>
    <definedName name="IQ_TRADE_PRINCIPAL" hidden="1">"c1309"</definedName>
    <definedName name="IQ_TRADING_ASSETS" hidden="1">"c1310"</definedName>
    <definedName name="IQ_TRADING_CURRENCY" hidden="1">"c2212"</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IT" hidden="1">"c1317"</definedName>
    <definedName name="IQ_TREASURY_OTHER_EQUITY_UTI" hidden="1">"c1318"</definedName>
    <definedName name="IQ_TREASURY_STOCK" hidden="1">"c1438"</definedName>
    <definedName name="IQ_TRUST_INC" hidden="1">"c1319"</definedName>
    <definedName name="IQ_TRUST_PREF" hidden="1">"c1320"</definedName>
    <definedName name="IQ_TRUST_PREFERRED" hidden="1">"c3029"</definedName>
    <definedName name="IQ_TRUST_PREFERRED_PCT" hidden="1">"c3030"</definedName>
    <definedName name="IQ_UFCF_10YR_ANN_GROWTH" hidden="1">"c1948"</definedName>
    <definedName name="IQ_UFCF_1YR_ANN_GROWTH" hidden="1">"c1943"</definedName>
    <definedName name="IQ_UFCF_2YR_ANN_GROWTH" hidden="1">"c1944"</definedName>
    <definedName name="IQ_UFCF_3YR_ANN_GROWTH" hidden="1">"c1945"</definedName>
    <definedName name="IQ_UFCF_5YR_ANN_GROWTH" hidden="1">"c1946"</definedName>
    <definedName name="IQ_UFCF_7YR_ANN_GROWTH" hidden="1">"c1947"</definedName>
    <definedName name="IQ_UFCF_MARGIN" hidden="1">"c1962"</definedName>
    <definedName name="IQ_UNAMORT_DISC" hidden="1">"c2513"</definedName>
    <definedName name="IQ_UNAMORT_DISC_PCT" hidden="1">"c2514"</definedName>
    <definedName name="IQ_UNAMORT_PREMIUM" hidden="1">"c2511"</definedName>
    <definedName name="IQ_UNAMORT_PREMIUM_PCT" hidden="1">"c2512"</definedName>
    <definedName name="IQ_UNDRAWN_CP" hidden="1">"c2518"</definedName>
    <definedName name="IQ_UNDRAWN_CREDIT" hidden="1">"c3032"</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IT" hidden="1">"c1327"</definedName>
    <definedName name="IQ_UNEARN_REV_CURRENT_UTI" hidden="1">"c1328"</definedName>
    <definedName name="IQ_UNEARN_REV_LT" hidden="1">"c1329"</definedName>
    <definedName name="IQ_UNLEVERED_FCF" hidden="1">"c1908"</definedName>
    <definedName name="IQ_UNPAID_CLAIMS" hidden="1">"c1330"</definedName>
    <definedName name="IQ_UNREALIZED_GAIN" hidden="1">"c1619"</definedName>
    <definedName name="IQ_UNSECURED_DEBT" hidden="1">"c2548"</definedName>
    <definedName name="IQ_UNSECURED_DEBT_PCT" hidden="1">"c2549"</definedName>
    <definedName name="IQ_UNUSUAL_EXP" hidden="1">"c1456"</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TIL_PPE_NET" hidden="1">"c1620"</definedName>
    <definedName name="IQ_UTIL_REV" hidden="1">"c2091"</definedName>
    <definedName name="IQ_UV_PENSION_LIAB" hidden="1">"c1332"</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UME" hidden="1">"c1333"</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IGHTED_AVG_PRICE" hidden="1">"c1334"</definedName>
    <definedName name="IQ_WIP_INV" hidden="1">"c1335"</definedName>
    <definedName name="IQ_WORKMEN_WRITTEN" hidden="1">"c1336"</definedName>
    <definedName name="IQ_XDIV_DATE" hidden="1">"c2203"</definedName>
    <definedName name="IQ_YEARHIGH" hidden="1">"c1337"</definedName>
    <definedName name="IQ_YEARHIGH_DATE" hidden="1">"c2250"</definedName>
    <definedName name="IQ_YEARLOW" hidden="1">"c1338"</definedName>
    <definedName name="IQ_YEARLOW_DATE" hidden="1">"c2251"</definedName>
    <definedName name="IQ_YTD" hidden="1">3000</definedName>
    <definedName name="IQ_Z_SCORE" hidden="1">"c1339"</definedName>
    <definedName name="j" localSheetId="12" hidden="1">{"Total Assets",#N/A,FALSE,"HI Lexington";"Management Contracts",#N/A,FALSE,"HI Lexington";"Franchise Agreements",#N/A,FALSE,"HI Lexington";"Owned Hotel Total",#N/A,FALSE,"HI Lexington";"Total Revenue",#N/A,FALSE,"HI Lexington";"Operating Cost Breakdown",#N/A,FALSE,"HI Lexington";"Allocated Cost Breakdown",#N/A,FALSE,"HI Lexington";"Capex Breakdown",#N/A,FALSE,"HI Lexington";"D&amp;A Breakdown",#N/A,FALSE,"HI Lexington";"Overhead D&amp;A Allocation",#N/A,FALSE,"HI Lexington";"CTP Breakdown",#N/A,FALSE,"HI Lexington"}</definedName>
    <definedName name="j" localSheetId="7" hidden="1">{"Total Assets",#N/A,FALSE,"HI Lexington";"Management Contracts",#N/A,FALSE,"HI Lexington";"Franchise Agreements",#N/A,FALSE,"HI Lexington";"Owned Hotel Total",#N/A,FALSE,"HI Lexington";"Total Revenue",#N/A,FALSE,"HI Lexington";"Operating Cost Breakdown",#N/A,FALSE,"HI Lexington";"Allocated Cost Breakdown",#N/A,FALSE,"HI Lexington";"Capex Breakdown",#N/A,FALSE,"HI Lexington";"D&amp;A Breakdown",#N/A,FALSE,"HI Lexington";"Overhead D&amp;A Allocation",#N/A,FALSE,"HI Lexington";"CTP Breakdown",#N/A,FALSE,"HI Lexington"}</definedName>
    <definedName name="j" localSheetId="8" hidden="1">{"Total Assets",#N/A,FALSE,"HI Lexington";"Management Contracts",#N/A,FALSE,"HI Lexington";"Franchise Agreements",#N/A,FALSE,"HI Lexington";"Owned Hotel Total",#N/A,FALSE,"HI Lexington";"Total Revenue",#N/A,FALSE,"HI Lexington";"Operating Cost Breakdown",#N/A,FALSE,"HI Lexington";"Allocated Cost Breakdown",#N/A,FALSE,"HI Lexington";"Capex Breakdown",#N/A,FALSE,"HI Lexington";"D&amp;A Breakdown",#N/A,FALSE,"HI Lexington";"Overhead D&amp;A Allocation",#N/A,FALSE,"HI Lexington";"CTP Breakdown",#N/A,FALSE,"HI Lexington"}</definedName>
    <definedName name="j" hidden="1">{"Total Assets",#N/A,FALSE,"HI Lexington";"Management Contracts",#N/A,FALSE,"HI Lexington";"Franchise Agreements",#N/A,FALSE,"HI Lexington";"Owned Hotel Total",#N/A,FALSE,"HI Lexington";"Total Revenue",#N/A,FALSE,"HI Lexington";"Operating Cost Breakdown",#N/A,FALSE,"HI Lexington";"Allocated Cost Breakdown",#N/A,FALSE,"HI Lexington";"Capex Breakdown",#N/A,FALSE,"HI Lexington";"D&amp;A Breakdown",#N/A,FALSE,"HI Lexington";"Overhead D&amp;A Allocation",#N/A,FALSE,"HI Lexington";"CTP Breakdown",#N/A,FALSE,"HI Lexington"}</definedName>
    <definedName name="likme">HIDDEN!#REF!</definedName>
    <definedName name="men">HIDDEN!#REF!</definedName>
    <definedName name="n" localSheetId="2">[3]PPE!#REF!</definedName>
    <definedName name="n">[3]PPE!#REF!</definedName>
    <definedName name="Nozare">HIDDEN!#REF!</definedName>
    <definedName name="nozare1">HIDDEN!#REF!</definedName>
    <definedName name="nozareIZV">HIDDEN!#REF!</definedName>
    <definedName name="pasv1">HIDDEN!#REF!</definedName>
    <definedName name="pasvaldibas">HIDDEN!#REF!</definedName>
    <definedName name="Payment_Number" localSheetId="2">ROW()-Header_Row</definedName>
    <definedName name="Payment_Number" localSheetId="7">ROW()-Header_Row</definedName>
    <definedName name="Payment_Number" localSheetId="8">ROW()-Header_Row</definedName>
    <definedName name="Payment_Number">ROW()-Header_Row</definedName>
    <definedName name="_xlnm.Print_Area" localSheetId="2">'1. DL budžets'!$A$2:$P$16</definedName>
    <definedName name="_xlnm.Print_Area" localSheetId="11">'10. AL soc.ekonom. anal.'!$A$2:$T$28</definedName>
    <definedName name="_xlnm.Print_Area" localSheetId="12">'11. RL Kapitāla naudas plūsma'!$A$2:$U$42</definedName>
    <definedName name="_xlnm.Print_Area" localSheetId="13">'12. RL Investīciju n.pl.'!$B$2:$T$47</definedName>
    <definedName name="_xlnm.Print_Area" localSheetId="14">'13. RL Sociālekonomiskā an.'!$A$2:$U$62</definedName>
    <definedName name="_xlnm.Print_Area" localSheetId="31">'14. Kontroles lapa'!$A$1:$E$3</definedName>
    <definedName name="_xlnm.Print_Area" localSheetId="32">'15. PIV 2.pielikums Fin. plāns'!$A$2:$G$10</definedName>
    <definedName name="_xlnm.Print_Area" localSheetId="33">'16. PIV 3.pielikums'!$A$2:$L$17</definedName>
    <definedName name="_xlnm.Print_Area" localSheetId="34">'17.PIV 4. pielikums finanšu an.'!$A$2:$G$31</definedName>
    <definedName name="_xlnm.Print_Area" localSheetId="35">'18. PIV 4.pielikums Ekonom. an.'!$A$2:$D$34</definedName>
    <definedName name="_xlnm.Print_Area" localSheetId="3">'2. DL invest.n.pl.BEZ pr.'!$A$2:$T$25</definedName>
    <definedName name="_xlnm.Print_Area" localSheetId="4">'3. DL invest.n.pl.AR pr.'!$A$2:$U$34</definedName>
    <definedName name="_xlnm.Print_Area" localSheetId="5">'4.DL Finansiālā ilgtspēja'!$A$2:$U$20</definedName>
    <definedName name="_xlnm.Print_Area" localSheetId="6">'5. DL soc.econom. analīze'!$A$2:$S$33</definedName>
    <definedName name="_xlnm.Print_Area" localSheetId="7">'6.DL  jut. analīze-Inv.'!$A$2:$V$56</definedName>
    <definedName name="_xlnm.Print_Area" localSheetId="8">'7.DL jut. analīze-Soc.'!$A$3:$V$89</definedName>
    <definedName name="_xlnm.Print_Area" localSheetId="9">'8. AL budžets kopā'!$A$2:$Q$16</definedName>
    <definedName name="_xlnm.Print_Area" localSheetId="10">'9. AL alternatīvu anal.'!$A$2:$P$17</definedName>
    <definedName name="_xlnm.Print_Area" localSheetId="28">'INVEST 1'!$A$1:$O$53</definedName>
    <definedName name="_xlnm.Print_Area" localSheetId="29">'INVEST 2'!$A$1:$AX$53</definedName>
    <definedName name="_xlnm.Print_Area" localSheetId="30">'INVEST 3'!$A$1:$BF$18,'INVEST 3'!$X$22</definedName>
    <definedName name="_xlnm.Print_Area" localSheetId="1">Titullapa!$A$1:$E$115</definedName>
    <definedName name="q" localSheetId="2">[3]PPE!#REF!</definedName>
    <definedName name="q">[3]PPE!#REF!</definedName>
    <definedName name="SA">[7]Blad1!$C$5</definedName>
    <definedName name="SAM">HIDDEN!#REF!</definedName>
    <definedName name="sum_of_cash_flows" localSheetId="2">#REF!</definedName>
    <definedName name="sum_of_cash_flows">#REF!</definedName>
    <definedName name="TEST0" localSheetId="2">#REF!</definedName>
    <definedName name="TEST0">#REF!</definedName>
    <definedName name="TEST1" localSheetId="2">#REF!</definedName>
    <definedName name="TEST1">#REF!</definedName>
    <definedName name="TEST1___0" localSheetId="2">#REF!</definedName>
    <definedName name="TEST1___0">#REF!</definedName>
    <definedName name="TEST2" localSheetId="2">#REF!</definedName>
    <definedName name="TEST2">#REF!</definedName>
    <definedName name="TEST2___0" localSheetId="2">#REF!</definedName>
    <definedName name="TEST2___0">#REF!</definedName>
    <definedName name="TEST3" localSheetId="2">#REF!</definedName>
    <definedName name="TEST3">#REF!</definedName>
    <definedName name="TEST3___0" localSheetId="2">#REF!</definedName>
    <definedName name="TEST3___0">#REF!</definedName>
    <definedName name="TEST4" localSheetId="2">#REF!</definedName>
    <definedName name="TEST4">#REF!</definedName>
    <definedName name="TEST4___0" localSheetId="2">#REF!</definedName>
    <definedName name="TEST4___0">#REF!</definedName>
    <definedName name="TEST5" localSheetId="2">#REF!</definedName>
    <definedName name="TEST5">#REF!</definedName>
    <definedName name="TEST5___0" localSheetId="2">#REF!</definedName>
    <definedName name="TEST5___0">#REF!</definedName>
    <definedName name="TESTHKEY" localSheetId="2">#REF!</definedName>
    <definedName name="TESTHKEY">#REF!</definedName>
    <definedName name="TESTHKEY___0" localSheetId="2">#REF!</definedName>
    <definedName name="TESTHKEY___0">#REF!</definedName>
    <definedName name="TESTKEYS" localSheetId="2">#REF!</definedName>
    <definedName name="TESTKEYS">#REF!</definedName>
    <definedName name="TESTKEYS___0" localSheetId="2">[5]предопл!#REF!</definedName>
    <definedName name="TESTKEYS___0">[5]предопл!#REF!</definedName>
    <definedName name="TESTKEYS___26" localSheetId="2">#REF!</definedName>
    <definedName name="TESTKEYS___26">#REF!</definedName>
    <definedName name="TESTKEYS___39" localSheetId="2">#REF!</definedName>
    <definedName name="TESTKEYS___39">#REF!</definedName>
    <definedName name="TESTKEYS___40" localSheetId="2">#REF!</definedName>
    <definedName name="TESTKEYS___40">#REF!</definedName>
    <definedName name="TESTVKEY" localSheetId="2">#REF!</definedName>
    <definedName name="TESTVKEY">#REF!</definedName>
    <definedName name="TESTVKEY___0" localSheetId="2">[5]предопл!#REF!</definedName>
    <definedName name="TESTVKEY___0">[5]предопл!#REF!</definedName>
    <definedName name="TESTVKEY___26" localSheetId="2">#REF!</definedName>
    <definedName name="TESTVKEY___26">#REF!</definedName>
    <definedName name="TESTVKEY___39" localSheetId="2">#REF!</definedName>
    <definedName name="TESTVKEY___39">#REF!</definedName>
    <definedName name="TESTVKEY___40" localSheetId="2">#REF!</definedName>
    <definedName name="TESTVKEY___40">#REF!</definedName>
    <definedName name="vlook1">HIDDEN!#REF!</definedName>
    <definedName name="wrn.Adjusted._.Financials." localSheetId="12" hidden="1">{"Adjusted Balance Sheet",#N/A,FALSE,"HI Lexington";"Adjusted Income Statement",#N/A,FALSE,"HI Lexington"}</definedName>
    <definedName name="wrn.Adjusted._.Financials." localSheetId="7" hidden="1">{"Adjusted Balance Sheet",#N/A,FALSE,"HI Lexington";"Adjusted Income Statement",#N/A,FALSE,"HI Lexington"}</definedName>
    <definedName name="wrn.Adjusted._.Financials." localSheetId="8" hidden="1">{"Adjusted Balance Sheet",#N/A,FALSE,"HI Lexington";"Adjusted Income Statement",#N/A,FALSE,"HI Lexington"}</definedName>
    <definedName name="wrn.Adjusted._.Financials." hidden="1">{"Adjusted Balance Sheet",#N/A,FALSE,"HI Lexington";"Adjusted Income Statement",#N/A,FALSE,"HI Lexington"}</definedName>
    <definedName name="wrn.All._.Bass._.Schedules." localSheetId="12" hidden="1">{"Adjusted Balance Sheet",#N/A,FALSE,"Asia Management Contracts";"Adjusted Income Statement",#N/A,FALSE,"Asia Management Contracts";"Total Revenue",#N/A,FALSE,"Asia Management Contracts";"Operating Cost Breakdown",#N/A,FALSE,"Asia Management Contracts";"Allocated Cost Breakdown",#N/A,FALSE,"Asia Management Contracts";"D&amp;A Breakdown",#N/A,FALSE,"Asia Management Contracts";"Overhead D&amp;A Allocation",#N/A,FALSE,"Asia Management Contracts";"Capex Breakdown",#N/A,FALSE,"Asia Management Contracts";"CTP Breakdown",#N/A,FALSE,"Asia Management Contracts";"Total Assets",#N/A,FALSE,"Asia Management Contracts";"Owned Hotel Total",#N/A,FALSE,"Asia Management Contracts";"Franchise Agreements",#N/A,FALSE,"Asia Management Contracts";"Management Contracts",#N/A,FALSE,"Asia Management Contracts";"Unconsolidated Affiliates",#N/A,FALSE,"Asia Management Contracts";"Midland Hotel",#N/A,FALSE,"Asia Management Contracts";"Staybridge Suites",#N/A,FALSE,"Asia Management Contracts";"IC Stephen Austin",#N/A,FALSE,"Asia Management Contracts";"HI South Bend",#N/A,FALSE,"Asia Management Contracts";"HI San Antonio",#N/A,FALSE,"Asia Management Contracts";"HI Memphis East",#N/A,FALSE,"Asia Management Contracts";"HI Lexington",#N/A,FALSE,"Asia Management Contracts";"HI Atlanta",#N/A,FALSE,"Asia Management Contracts";"HI Anaheim",#N/A,FALSE,"Asia Management Contracts";"CP White Plains",#N/A,FALSE,"Asia Management Contracts";"CP United Nations",#N/A,FALSE,"Asia Management Contracts";"CP Santiago",#N/A,FALSE,"Asia Management Contracts";"CP Redondo Beach",#N/A,FALSE,"Asia Management Contracts";"CP LAX",#N/A,FALSE,"Asia Management Contracts";"CP Houston Galleria",#N/A,FALSE,"Asia Management Contracts";"Americas Franchise",#N/A,FALSE,"Asia Management Contracts";"Americas Franchise 2",#N/A,FALSE,"Asia Management Contracts";"Asia Franchise 1",#N/A,FALSE,"Asia Management Contracts";"Asia Franchise 2",#N/A,FALSE,"Asia Management Contracts";"EMEA Franchise",#N/A,FALSE,"Asia Management Contracts";"EMEA Franchise 2",#N/A,FALSE,"Asia Management Contracts";"Bristol Management 1",#N/A,FALSE,"Asia Management Contracts";"Bristol Management 2",#N/A,FALSE,"Asia Management Contracts";"Asia Management 1",#N/A,FALSE,"Asia Management Contracts";"Asia Management 2",#N/A,FALSE,"Asia Management Contracts";"Americas Managed 1",#N/A,FALSE,"Asia Management Contracts";"Americas Managed 2",#N/A,FALSE,"Asia Management Contracts";"Asia Other Royalty 1",#N/A,FALSE,"Asia Management Contracts";"Asia Other Royalty 2",#N/A,FALSE,"Asia Management Contracts";"EMEA Cost Allocation",#N/A,FALSE,"Asia Cost Allocation";"Asia cost allocation",#N/A,FALSE,"Asia Cost Allocation"}</definedName>
    <definedName name="wrn.All._.Bass._.Schedules." localSheetId="7" hidden="1">{"Adjusted Balance Sheet",#N/A,FALSE,"Asia Management Contracts";"Adjusted Income Statement",#N/A,FALSE,"Asia Management Contracts";"Total Revenue",#N/A,FALSE,"Asia Management Contracts";"Operating Cost Breakdown",#N/A,FALSE,"Asia Management Contracts";"Allocated Cost Breakdown",#N/A,FALSE,"Asia Management Contracts";"D&amp;A Breakdown",#N/A,FALSE,"Asia Management Contracts";"Overhead D&amp;A Allocation",#N/A,FALSE,"Asia Management Contracts";"Capex Breakdown",#N/A,FALSE,"Asia Management Contracts";"CTP Breakdown",#N/A,FALSE,"Asia Management Contracts";"Total Assets",#N/A,FALSE,"Asia Management Contracts";"Owned Hotel Total",#N/A,FALSE,"Asia Management Contracts";"Franchise Agreements",#N/A,FALSE,"Asia Management Contracts";"Management Contracts",#N/A,FALSE,"Asia Management Contracts";"Unconsolidated Affiliates",#N/A,FALSE,"Asia Management Contracts";"Midland Hotel",#N/A,FALSE,"Asia Management Contracts";"Staybridge Suites",#N/A,FALSE,"Asia Management Contracts";"IC Stephen Austin",#N/A,FALSE,"Asia Management Contracts";"HI South Bend",#N/A,FALSE,"Asia Management Contracts";"HI San Antonio",#N/A,FALSE,"Asia Management Contracts";"HI Memphis East",#N/A,FALSE,"Asia Management Contracts";"HI Lexington",#N/A,FALSE,"Asia Management Contracts";"HI Atlanta",#N/A,FALSE,"Asia Management Contracts";"HI Anaheim",#N/A,FALSE,"Asia Management Contracts";"CP White Plains",#N/A,FALSE,"Asia Management Contracts";"CP United Nations",#N/A,FALSE,"Asia Management Contracts";"CP Santiago",#N/A,FALSE,"Asia Management Contracts";"CP Redondo Beach",#N/A,FALSE,"Asia Management Contracts";"CP LAX",#N/A,FALSE,"Asia Management Contracts";"CP Houston Galleria",#N/A,FALSE,"Asia Management Contracts";"Americas Franchise",#N/A,FALSE,"Asia Management Contracts";"Americas Franchise 2",#N/A,FALSE,"Asia Management Contracts";"Asia Franchise 1",#N/A,FALSE,"Asia Management Contracts";"Asia Franchise 2",#N/A,FALSE,"Asia Management Contracts";"EMEA Franchise",#N/A,FALSE,"Asia Management Contracts";"EMEA Franchise 2",#N/A,FALSE,"Asia Management Contracts";"Bristol Management 1",#N/A,FALSE,"Asia Management Contracts";"Bristol Management 2",#N/A,FALSE,"Asia Management Contracts";"Asia Management 1",#N/A,FALSE,"Asia Management Contracts";"Asia Management 2",#N/A,FALSE,"Asia Management Contracts";"Americas Managed 1",#N/A,FALSE,"Asia Management Contracts";"Americas Managed 2",#N/A,FALSE,"Asia Management Contracts";"Asia Other Royalty 1",#N/A,FALSE,"Asia Management Contracts";"Asia Other Royalty 2",#N/A,FALSE,"Asia Management Contracts";"EMEA Cost Allocation",#N/A,FALSE,"Asia Cost Allocation";"Asia cost allocation",#N/A,FALSE,"Asia Cost Allocation"}</definedName>
    <definedName name="wrn.All._.Bass._.Schedules." localSheetId="8" hidden="1">{"Adjusted Balance Sheet",#N/A,FALSE,"Asia Management Contracts";"Adjusted Income Statement",#N/A,FALSE,"Asia Management Contracts";"Total Revenue",#N/A,FALSE,"Asia Management Contracts";"Operating Cost Breakdown",#N/A,FALSE,"Asia Management Contracts";"Allocated Cost Breakdown",#N/A,FALSE,"Asia Management Contracts";"D&amp;A Breakdown",#N/A,FALSE,"Asia Management Contracts";"Overhead D&amp;A Allocation",#N/A,FALSE,"Asia Management Contracts";"Capex Breakdown",#N/A,FALSE,"Asia Management Contracts";"CTP Breakdown",#N/A,FALSE,"Asia Management Contracts";"Total Assets",#N/A,FALSE,"Asia Management Contracts";"Owned Hotel Total",#N/A,FALSE,"Asia Management Contracts";"Franchise Agreements",#N/A,FALSE,"Asia Management Contracts";"Management Contracts",#N/A,FALSE,"Asia Management Contracts";"Unconsolidated Affiliates",#N/A,FALSE,"Asia Management Contracts";"Midland Hotel",#N/A,FALSE,"Asia Management Contracts";"Staybridge Suites",#N/A,FALSE,"Asia Management Contracts";"IC Stephen Austin",#N/A,FALSE,"Asia Management Contracts";"HI South Bend",#N/A,FALSE,"Asia Management Contracts";"HI San Antonio",#N/A,FALSE,"Asia Management Contracts";"HI Memphis East",#N/A,FALSE,"Asia Management Contracts";"HI Lexington",#N/A,FALSE,"Asia Management Contracts";"HI Atlanta",#N/A,FALSE,"Asia Management Contracts";"HI Anaheim",#N/A,FALSE,"Asia Management Contracts";"CP White Plains",#N/A,FALSE,"Asia Management Contracts";"CP United Nations",#N/A,FALSE,"Asia Management Contracts";"CP Santiago",#N/A,FALSE,"Asia Management Contracts";"CP Redondo Beach",#N/A,FALSE,"Asia Management Contracts";"CP LAX",#N/A,FALSE,"Asia Management Contracts";"CP Houston Galleria",#N/A,FALSE,"Asia Management Contracts";"Americas Franchise",#N/A,FALSE,"Asia Management Contracts";"Americas Franchise 2",#N/A,FALSE,"Asia Management Contracts";"Asia Franchise 1",#N/A,FALSE,"Asia Management Contracts";"Asia Franchise 2",#N/A,FALSE,"Asia Management Contracts";"EMEA Franchise",#N/A,FALSE,"Asia Management Contracts";"EMEA Franchise 2",#N/A,FALSE,"Asia Management Contracts";"Bristol Management 1",#N/A,FALSE,"Asia Management Contracts";"Bristol Management 2",#N/A,FALSE,"Asia Management Contracts";"Asia Management 1",#N/A,FALSE,"Asia Management Contracts";"Asia Management 2",#N/A,FALSE,"Asia Management Contracts";"Americas Managed 1",#N/A,FALSE,"Asia Management Contracts";"Americas Managed 2",#N/A,FALSE,"Asia Management Contracts";"Asia Other Royalty 1",#N/A,FALSE,"Asia Management Contracts";"Asia Other Royalty 2",#N/A,FALSE,"Asia Management Contracts";"EMEA Cost Allocation",#N/A,FALSE,"Asia Cost Allocation";"Asia cost allocation",#N/A,FALSE,"Asia Cost Allocation"}</definedName>
    <definedName name="wrn.All._.Bass._.Schedules." hidden="1">{"Adjusted Balance Sheet",#N/A,FALSE,"Asia Management Contracts";"Adjusted Income Statement",#N/A,FALSE,"Asia Management Contracts";"Total Revenue",#N/A,FALSE,"Asia Management Contracts";"Operating Cost Breakdown",#N/A,FALSE,"Asia Management Contracts";"Allocated Cost Breakdown",#N/A,FALSE,"Asia Management Contracts";"D&amp;A Breakdown",#N/A,FALSE,"Asia Management Contracts";"Overhead D&amp;A Allocation",#N/A,FALSE,"Asia Management Contracts";"Capex Breakdown",#N/A,FALSE,"Asia Management Contracts";"CTP Breakdown",#N/A,FALSE,"Asia Management Contracts";"Total Assets",#N/A,FALSE,"Asia Management Contracts";"Owned Hotel Total",#N/A,FALSE,"Asia Management Contracts";"Franchise Agreements",#N/A,FALSE,"Asia Management Contracts";"Management Contracts",#N/A,FALSE,"Asia Management Contracts";"Unconsolidated Affiliates",#N/A,FALSE,"Asia Management Contracts";"Midland Hotel",#N/A,FALSE,"Asia Management Contracts";"Staybridge Suites",#N/A,FALSE,"Asia Management Contracts";"IC Stephen Austin",#N/A,FALSE,"Asia Management Contracts";"HI South Bend",#N/A,FALSE,"Asia Management Contracts";"HI San Antonio",#N/A,FALSE,"Asia Management Contracts";"HI Memphis East",#N/A,FALSE,"Asia Management Contracts";"HI Lexington",#N/A,FALSE,"Asia Management Contracts";"HI Atlanta",#N/A,FALSE,"Asia Management Contracts";"HI Anaheim",#N/A,FALSE,"Asia Management Contracts";"CP White Plains",#N/A,FALSE,"Asia Management Contracts";"CP United Nations",#N/A,FALSE,"Asia Management Contracts";"CP Santiago",#N/A,FALSE,"Asia Management Contracts";"CP Redondo Beach",#N/A,FALSE,"Asia Management Contracts";"CP LAX",#N/A,FALSE,"Asia Management Contracts";"CP Houston Galleria",#N/A,FALSE,"Asia Management Contracts";"Americas Franchise",#N/A,FALSE,"Asia Management Contracts";"Americas Franchise 2",#N/A,FALSE,"Asia Management Contracts";"Asia Franchise 1",#N/A,FALSE,"Asia Management Contracts";"Asia Franchise 2",#N/A,FALSE,"Asia Management Contracts";"EMEA Franchise",#N/A,FALSE,"Asia Management Contracts";"EMEA Franchise 2",#N/A,FALSE,"Asia Management Contracts";"Bristol Management 1",#N/A,FALSE,"Asia Management Contracts";"Bristol Management 2",#N/A,FALSE,"Asia Management Contracts";"Asia Management 1",#N/A,FALSE,"Asia Management Contracts";"Asia Management 2",#N/A,FALSE,"Asia Management Contracts";"Americas Managed 1",#N/A,FALSE,"Asia Management Contracts";"Americas Managed 2",#N/A,FALSE,"Asia Management Contracts";"Asia Other Royalty 1",#N/A,FALSE,"Asia Management Contracts";"Asia Other Royalty 2",#N/A,FALSE,"Asia Management Contracts";"EMEA Cost Allocation",#N/A,FALSE,"Asia Cost Allocation";"Asia cost allocation",#N/A,FALSE,"Asia Cost Allocation"}</definedName>
    <definedName name="wrn.Bass._.Exhibits." localSheetId="12" hidden="1">{"Adjusted Balance Sheet",#N/A,FALSE,"Asia Cost Allocation";"Adjusted Income Statement",#N/A,FALSE,"Asia Cost Allocation";"Americas Franchise",#N/A,FALSE,"Asia Cost Allocation";"Americas Franchise 2",#N/A,FALSE,"Asia Cost Allocation";"EMEA Franchise",#N/A,FALSE,"Asia Cost Allocation";"EMEA Franchise 2",#N/A,FALSE,"Asia Cost Allocation";"Asia Franchise 1",#N/A,FALSE,"Asia Cost Allocation";"Asia Franchise 2",#N/A,FALSE,"Asia Cost Allocation";"Americas Managed 1",#N/A,FALSE,"Asia Cost Allocation";"Americas Managed 2",#N/A,FALSE,"Asia Cost Allocation";"Asia Management 1",#N/A,FALSE,"Asia Cost Allocation";"Asia Management 2",#N/A,FALSE,"Asia Cost Allocation";"Bristol Management 1",#N/A,FALSE,"Asia Cost Allocation";"Bristol Management 2",#N/A,FALSE,"Asia Cost Allocation";"Asia Other Royalty 1",#N/A,FALSE,"Asia Cost Allocation";"Asia Other Royalty 2",#N/A,FALSE,"Asia Cost Allocation";"HI Atlanta",#N/A,FALSE,"Asia Cost Allocation";"HI San Antonio",#N/A,FALSE,"Asia Cost Allocation";"HI Lexington",#N/A,FALSE,"Asia Cost Allocation";"HI South Bend",#N/A,FALSE,"Asia Cost Allocation";"HI Memphis East",#N/A,FALSE,"Asia Cost Allocation";"HI Anaheim",#N/A,FALSE,"Asia Cost Allocation";"CP United Nations",#N/A,FALSE,"Asia Cost Allocation";"CP Houston Galleria",#N/A,FALSE,"Asia Cost Allocation";"CP Redondo Beach",#N/A,FALSE,"Asia Cost Allocation";"CP White Plains",#N/A,FALSE,"Asia Cost Allocation";"CP Santiago",#N/A,FALSE,"Asia Cost Allocation";"CP LAX",#N/A,FALSE,"Asia Cost Allocation";"IC Stephen Austin",#N/A,FALSE,"Asia Cost Allocation";"Staybridge Suites",#N/A,FALSE,"Asia Cost Allocation";"Unconsolidated Affiliates",#N/A,FALSE,"Asia Cost Allocation";"Midland Hotel",#N/A,FALSE,"Asia Cost Allocation";"Asia cost allocation",#N/A,FALSE,"Asia Cost Allocation";"EMEA Cost Allocation",#N/A,FALSE,"Asia Cost Allocation"}</definedName>
    <definedName name="wrn.Bass._.Exhibits." localSheetId="7" hidden="1">{"Adjusted Balance Sheet",#N/A,FALSE,"Asia Cost Allocation";"Adjusted Income Statement",#N/A,FALSE,"Asia Cost Allocation";"Americas Franchise",#N/A,FALSE,"Asia Cost Allocation";"Americas Franchise 2",#N/A,FALSE,"Asia Cost Allocation";"EMEA Franchise",#N/A,FALSE,"Asia Cost Allocation";"EMEA Franchise 2",#N/A,FALSE,"Asia Cost Allocation";"Asia Franchise 1",#N/A,FALSE,"Asia Cost Allocation";"Asia Franchise 2",#N/A,FALSE,"Asia Cost Allocation";"Americas Managed 1",#N/A,FALSE,"Asia Cost Allocation";"Americas Managed 2",#N/A,FALSE,"Asia Cost Allocation";"Asia Management 1",#N/A,FALSE,"Asia Cost Allocation";"Asia Management 2",#N/A,FALSE,"Asia Cost Allocation";"Bristol Management 1",#N/A,FALSE,"Asia Cost Allocation";"Bristol Management 2",#N/A,FALSE,"Asia Cost Allocation";"Asia Other Royalty 1",#N/A,FALSE,"Asia Cost Allocation";"Asia Other Royalty 2",#N/A,FALSE,"Asia Cost Allocation";"HI Atlanta",#N/A,FALSE,"Asia Cost Allocation";"HI San Antonio",#N/A,FALSE,"Asia Cost Allocation";"HI Lexington",#N/A,FALSE,"Asia Cost Allocation";"HI South Bend",#N/A,FALSE,"Asia Cost Allocation";"HI Memphis East",#N/A,FALSE,"Asia Cost Allocation";"HI Anaheim",#N/A,FALSE,"Asia Cost Allocation";"CP United Nations",#N/A,FALSE,"Asia Cost Allocation";"CP Houston Galleria",#N/A,FALSE,"Asia Cost Allocation";"CP Redondo Beach",#N/A,FALSE,"Asia Cost Allocation";"CP White Plains",#N/A,FALSE,"Asia Cost Allocation";"CP Santiago",#N/A,FALSE,"Asia Cost Allocation";"CP LAX",#N/A,FALSE,"Asia Cost Allocation";"IC Stephen Austin",#N/A,FALSE,"Asia Cost Allocation";"Staybridge Suites",#N/A,FALSE,"Asia Cost Allocation";"Unconsolidated Affiliates",#N/A,FALSE,"Asia Cost Allocation";"Midland Hotel",#N/A,FALSE,"Asia Cost Allocation";"Asia cost allocation",#N/A,FALSE,"Asia Cost Allocation";"EMEA Cost Allocation",#N/A,FALSE,"Asia Cost Allocation"}</definedName>
    <definedName name="wrn.Bass._.Exhibits." localSheetId="8" hidden="1">{"Adjusted Balance Sheet",#N/A,FALSE,"Asia Cost Allocation";"Adjusted Income Statement",#N/A,FALSE,"Asia Cost Allocation";"Americas Franchise",#N/A,FALSE,"Asia Cost Allocation";"Americas Franchise 2",#N/A,FALSE,"Asia Cost Allocation";"EMEA Franchise",#N/A,FALSE,"Asia Cost Allocation";"EMEA Franchise 2",#N/A,FALSE,"Asia Cost Allocation";"Asia Franchise 1",#N/A,FALSE,"Asia Cost Allocation";"Asia Franchise 2",#N/A,FALSE,"Asia Cost Allocation";"Americas Managed 1",#N/A,FALSE,"Asia Cost Allocation";"Americas Managed 2",#N/A,FALSE,"Asia Cost Allocation";"Asia Management 1",#N/A,FALSE,"Asia Cost Allocation";"Asia Management 2",#N/A,FALSE,"Asia Cost Allocation";"Bristol Management 1",#N/A,FALSE,"Asia Cost Allocation";"Bristol Management 2",#N/A,FALSE,"Asia Cost Allocation";"Asia Other Royalty 1",#N/A,FALSE,"Asia Cost Allocation";"Asia Other Royalty 2",#N/A,FALSE,"Asia Cost Allocation";"HI Atlanta",#N/A,FALSE,"Asia Cost Allocation";"HI San Antonio",#N/A,FALSE,"Asia Cost Allocation";"HI Lexington",#N/A,FALSE,"Asia Cost Allocation";"HI South Bend",#N/A,FALSE,"Asia Cost Allocation";"HI Memphis East",#N/A,FALSE,"Asia Cost Allocation";"HI Anaheim",#N/A,FALSE,"Asia Cost Allocation";"CP United Nations",#N/A,FALSE,"Asia Cost Allocation";"CP Houston Galleria",#N/A,FALSE,"Asia Cost Allocation";"CP Redondo Beach",#N/A,FALSE,"Asia Cost Allocation";"CP White Plains",#N/A,FALSE,"Asia Cost Allocation";"CP Santiago",#N/A,FALSE,"Asia Cost Allocation";"CP LAX",#N/A,FALSE,"Asia Cost Allocation";"IC Stephen Austin",#N/A,FALSE,"Asia Cost Allocation";"Staybridge Suites",#N/A,FALSE,"Asia Cost Allocation";"Unconsolidated Affiliates",#N/A,FALSE,"Asia Cost Allocation";"Midland Hotel",#N/A,FALSE,"Asia Cost Allocation";"Asia cost allocation",#N/A,FALSE,"Asia Cost Allocation";"EMEA Cost Allocation",#N/A,FALSE,"Asia Cost Allocation"}</definedName>
    <definedName name="wrn.Bass._.Exhibits." hidden="1">{"Adjusted Balance Sheet",#N/A,FALSE,"Asia Cost Allocation";"Adjusted Income Statement",#N/A,FALSE,"Asia Cost Allocation";"Americas Franchise",#N/A,FALSE,"Asia Cost Allocation";"Americas Franchise 2",#N/A,FALSE,"Asia Cost Allocation";"EMEA Franchise",#N/A,FALSE,"Asia Cost Allocation";"EMEA Franchise 2",#N/A,FALSE,"Asia Cost Allocation";"Asia Franchise 1",#N/A,FALSE,"Asia Cost Allocation";"Asia Franchise 2",#N/A,FALSE,"Asia Cost Allocation";"Americas Managed 1",#N/A,FALSE,"Asia Cost Allocation";"Americas Managed 2",#N/A,FALSE,"Asia Cost Allocation";"Asia Management 1",#N/A,FALSE,"Asia Cost Allocation";"Asia Management 2",#N/A,FALSE,"Asia Cost Allocation";"Bristol Management 1",#N/A,FALSE,"Asia Cost Allocation";"Bristol Management 2",#N/A,FALSE,"Asia Cost Allocation";"Asia Other Royalty 1",#N/A,FALSE,"Asia Cost Allocation";"Asia Other Royalty 2",#N/A,FALSE,"Asia Cost Allocation";"HI Atlanta",#N/A,FALSE,"Asia Cost Allocation";"HI San Antonio",#N/A,FALSE,"Asia Cost Allocation";"HI Lexington",#N/A,FALSE,"Asia Cost Allocation";"HI South Bend",#N/A,FALSE,"Asia Cost Allocation";"HI Memphis East",#N/A,FALSE,"Asia Cost Allocation";"HI Anaheim",#N/A,FALSE,"Asia Cost Allocation";"CP United Nations",#N/A,FALSE,"Asia Cost Allocation";"CP Houston Galleria",#N/A,FALSE,"Asia Cost Allocation";"CP Redondo Beach",#N/A,FALSE,"Asia Cost Allocation";"CP White Plains",#N/A,FALSE,"Asia Cost Allocation";"CP Santiago",#N/A,FALSE,"Asia Cost Allocation";"CP LAX",#N/A,FALSE,"Asia Cost Allocation";"IC Stephen Austin",#N/A,FALSE,"Asia Cost Allocation";"Staybridge Suites",#N/A,FALSE,"Asia Cost Allocation";"Unconsolidated Affiliates",#N/A,FALSE,"Asia Cost Allocation";"Midland Hotel",#N/A,FALSE,"Asia Cost Allocation";"Asia cost allocation",#N/A,FALSE,"Asia Cost Allocation";"EMEA Cost Allocation",#N/A,FALSE,"Asia Cost Allocation"}</definedName>
    <definedName name="wrn.Cost._.Allocations." localSheetId="12" hidden="1">{"Asia cost allocation",#N/A,FALSE,"HI Lexington";"EMEA Cost Allocation",#N/A,FALSE,"HI Lexington"}</definedName>
    <definedName name="wrn.Cost._.Allocations." localSheetId="7" hidden="1">{"Asia cost allocation",#N/A,FALSE,"HI Lexington";"EMEA Cost Allocation",#N/A,FALSE,"HI Lexington"}</definedName>
    <definedName name="wrn.Cost._.Allocations." localSheetId="8" hidden="1">{"Asia cost allocation",#N/A,FALSE,"HI Lexington";"EMEA Cost Allocation",#N/A,FALSE,"HI Lexington"}</definedName>
    <definedName name="wrn.Cost._.Allocations." hidden="1">{"Asia cost allocation",#N/A,FALSE,"HI Lexington";"EMEA Cost Allocation",#N/A,FALSE,"HI Lexington"}</definedName>
    <definedName name="wrn.customer._.input." localSheetId="12" hidden="1">{"customer input",#N/A,FALSE,"Customer Input"}</definedName>
    <definedName name="wrn.customer._.input." localSheetId="7" hidden="1">{"customer input",#N/A,FALSE,"Customer Input"}</definedName>
    <definedName name="wrn.customer._.input." localSheetId="8" hidden="1">{"customer input",#N/A,FALSE,"Customer Input"}</definedName>
    <definedName name="wrn.customer._.input." hidden="1">{"customer input",#N/A,FALSE,"Customer Input"}</definedName>
    <definedName name="wrn.customer._.value." localSheetId="12" hidden="1">{"Customer Value",#N/A,FALSE,"Customer Value Analysis"}</definedName>
    <definedName name="wrn.customer._.value." localSheetId="7" hidden="1">{"Customer Value",#N/A,FALSE,"Customer Value Analysis"}</definedName>
    <definedName name="wrn.customer._.value." localSheetId="8" hidden="1">{"Customer Value",#N/A,FALSE,"Customer Value Analysis"}</definedName>
    <definedName name="wrn.customer._.value." hidden="1">{"Customer Value",#N/A,FALSE,"Customer Value Analysis"}</definedName>
    <definedName name="wrn.DCIS." localSheetId="12" hidden="1">{"DCIS",#N/A,FALSE,"IS DCIS ";"DCIS 6_30_96",#N/A,FALSE,"IS DCIS ";"DCIS 6_30_97",#N/A,FALSE,"IS DCIS ";"DCIS LTM",#N/A,FALSE,"IS DCIS "}</definedName>
    <definedName name="wrn.DCIS." localSheetId="7" hidden="1">{"DCIS",#N/A,FALSE,"IS DCIS ";"DCIS 6_30_96",#N/A,FALSE,"IS DCIS ";"DCIS 6_30_97",#N/A,FALSE,"IS DCIS ";"DCIS LTM",#N/A,FALSE,"IS DCIS "}</definedName>
    <definedName name="wrn.DCIS." localSheetId="8" hidden="1">{"DCIS",#N/A,FALSE,"IS DCIS ";"DCIS 6_30_96",#N/A,FALSE,"IS DCIS ";"DCIS 6_30_97",#N/A,FALSE,"IS DCIS ";"DCIS LTM",#N/A,FALSE,"IS DCIS "}</definedName>
    <definedName name="wrn.DCIS." hidden="1">{"DCIS",#N/A,FALSE,"IS DCIS ";"DCIS 6_30_96",#N/A,FALSE,"IS DCIS ";"DCIS 6_30_97",#N/A,FALSE,"IS DCIS ";"DCIS LTM",#N/A,FALSE,"IS DCIS "}</definedName>
    <definedName name="wrn.DMPS." localSheetId="12" hidden="1">{"DMPS 1996",#N/A,FALSE,"IS DMPS";"DMPS 6_30_96",#N/A,FALSE,"IS DMPS";"DMPS 6_30_97",#N/A,FALSE,"IS DMPS";"DMPS LTM",#N/A,FALSE,"IS DMPS"}</definedName>
    <definedName name="wrn.DMPS." localSheetId="7" hidden="1">{"DMPS 1996",#N/A,FALSE,"IS DMPS";"DMPS 6_30_96",#N/A,FALSE,"IS DMPS";"DMPS 6_30_97",#N/A,FALSE,"IS DMPS";"DMPS LTM",#N/A,FALSE,"IS DMPS"}</definedName>
    <definedName name="wrn.DMPS." localSheetId="8" hidden="1">{"DMPS 1996",#N/A,FALSE,"IS DMPS";"DMPS 6_30_96",#N/A,FALSE,"IS DMPS";"DMPS 6_30_97",#N/A,FALSE,"IS DMPS";"DMPS LTM",#N/A,FALSE,"IS DMPS"}</definedName>
    <definedName name="wrn.DMPS." hidden="1">{"DMPS 1996",#N/A,FALSE,"IS DMPS";"DMPS 6_30_96",#N/A,FALSE,"IS DMPS";"DMPS 6_30_97",#N/A,FALSE,"IS DMPS";"DMPS LTM",#N/A,FALSE,"IS DMPS"}</definedName>
    <definedName name="wrn.Exhibits." localSheetId="12" hidden="1">{"View Dollar IS",#N/A,FALSE,"Historical Income Statement";"View Common IS",#N/A,FALSE,"Historical Income Statement";"View Dollar BS",#N/A,FALSE,"Historical Balance Sheet";"View Common BS",#N/A,FALSE,"Historical Balance Sheet";"View Inventory",#N/A,FALSE,"Inventory Analysis";"View Workforce",#N/A,FALSE,"Workforce Analysis";"View Trademark BP",#N/A,FALSE,"Best Power Trademark Analysis";"View Distribution Channel",#N/A,FALSE,"Distribution Channel Analysis";"Technology Summary Sheet",#N/A,FALSE,"Technology";"Technology 2",#N/A,FALSE,"Technology";"Technology 3",#N/A,FALSE,"Technology";"Technology 4",#N/A,FALSE,"Technology"}</definedName>
    <definedName name="wrn.Exhibits." localSheetId="7" hidden="1">{"View Dollar IS",#N/A,FALSE,"Historical Income Statement";"View Common IS",#N/A,FALSE,"Historical Income Statement";"View Dollar BS",#N/A,FALSE,"Historical Balance Sheet";"View Common BS",#N/A,FALSE,"Historical Balance Sheet";"View Inventory",#N/A,FALSE,"Inventory Analysis";"View Workforce",#N/A,FALSE,"Workforce Analysis";"View Trademark BP",#N/A,FALSE,"Best Power Trademark Analysis";"View Distribution Channel",#N/A,FALSE,"Distribution Channel Analysis";"Technology Summary Sheet",#N/A,FALSE,"Technology";"Technology 2",#N/A,FALSE,"Technology";"Technology 3",#N/A,FALSE,"Technology";"Technology 4",#N/A,FALSE,"Technology"}</definedName>
    <definedName name="wrn.Exhibits." localSheetId="8" hidden="1">{"View Dollar IS",#N/A,FALSE,"Historical Income Statement";"View Common IS",#N/A,FALSE,"Historical Income Statement";"View Dollar BS",#N/A,FALSE,"Historical Balance Sheet";"View Common BS",#N/A,FALSE,"Historical Balance Sheet";"View Inventory",#N/A,FALSE,"Inventory Analysis";"View Workforce",#N/A,FALSE,"Workforce Analysis";"View Trademark BP",#N/A,FALSE,"Best Power Trademark Analysis";"View Distribution Channel",#N/A,FALSE,"Distribution Channel Analysis";"Technology Summary Sheet",#N/A,FALSE,"Technology";"Technology 2",#N/A,FALSE,"Technology";"Technology 3",#N/A,FALSE,"Technology";"Technology 4",#N/A,FALSE,"Technology"}</definedName>
    <definedName name="wrn.Exhibits." hidden="1">{"View Dollar IS",#N/A,FALSE,"Historical Income Statement";"View Common IS",#N/A,FALSE,"Historical Income Statement";"View Dollar BS",#N/A,FALSE,"Historical Balance Sheet";"View Common BS",#N/A,FALSE,"Historical Balance Sheet";"View Inventory",#N/A,FALSE,"Inventory Analysis";"View Workforce",#N/A,FALSE,"Workforce Analysis";"View Trademark BP",#N/A,FALSE,"Best Power Trademark Analysis";"View Distribution Channel",#N/A,FALSE,"Distribution Channel Analysis";"Technology Summary Sheet",#N/A,FALSE,"Technology";"Technology 2",#N/A,FALSE,"Technology";"Technology 3",#N/A,FALSE,"Technology";"Technology 4",#N/A,FALSE,"Technology"}</definedName>
    <definedName name="wrn.FD._.Residual." localSheetId="12" hidden="1">{"FD residual 12_96",#N/A,FALSE,"FD residual-revised";"FD Residual 6_97",#N/A,FALSE,"FD residual-revised";"FD Residual 6_96",#N/A,FALSE,"FD residual-revised";"FD Residual LTM",#N/A,FALSE,"FD residual-revised"}</definedName>
    <definedName name="wrn.FD._.Residual." localSheetId="7" hidden="1">{"FD residual 12_96",#N/A,FALSE,"FD residual-revised";"FD Residual 6_97",#N/A,FALSE,"FD residual-revised";"FD Residual 6_96",#N/A,FALSE,"FD residual-revised";"FD Residual LTM",#N/A,FALSE,"FD residual-revised"}</definedName>
    <definedName name="wrn.FD._.Residual." localSheetId="8" hidden="1">{"FD residual 12_96",#N/A,FALSE,"FD residual-revised";"FD Residual 6_97",#N/A,FALSE,"FD residual-revised";"FD Residual 6_96",#N/A,FALSE,"FD residual-revised";"FD Residual LTM",#N/A,FALSE,"FD residual-revised"}</definedName>
    <definedName name="wrn.FD._.Residual." hidden="1">{"FD residual 12_96",#N/A,FALSE,"FD residual-revised";"FD Residual 6_97",#N/A,FALSE,"FD residual-revised";"FD Residual 6_96",#N/A,FALSE,"FD residual-revised";"FD Residual LTM",#N/A,FALSE,"FD residual-revised"}</definedName>
    <definedName name="wrn.Franchise._.Agreements." localSheetId="12" hidden="1">{"Americas Franchise",#N/A,FALSE,"HI Lexington";"Americas Franchise 2",#N/A,FALSE,"HI Lexington";"Asia Franchise 1",#N/A,FALSE,"HI Lexington";"Asia Franchise 2",#N/A,FALSE,"HI Lexington";"EMEA Franchise",#N/A,FALSE,"HI Lexington";"EMEA Franchise 2",#N/A,FALSE,"HI Lexington"}</definedName>
    <definedName name="wrn.Franchise._.Agreements." localSheetId="7" hidden="1">{"Americas Franchise",#N/A,FALSE,"HI Lexington";"Americas Franchise 2",#N/A,FALSE,"HI Lexington";"Asia Franchise 1",#N/A,FALSE,"HI Lexington";"Asia Franchise 2",#N/A,FALSE,"HI Lexington";"EMEA Franchise",#N/A,FALSE,"HI Lexington";"EMEA Franchise 2",#N/A,FALSE,"HI Lexington"}</definedName>
    <definedName name="wrn.Franchise._.Agreements." localSheetId="8" hidden="1">{"Americas Franchise",#N/A,FALSE,"HI Lexington";"Americas Franchise 2",#N/A,FALSE,"HI Lexington";"Asia Franchise 1",#N/A,FALSE,"HI Lexington";"Asia Franchise 2",#N/A,FALSE,"HI Lexington";"EMEA Franchise",#N/A,FALSE,"HI Lexington";"EMEA Franchise 2",#N/A,FALSE,"HI Lexington"}</definedName>
    <definedName name="wrn.Franchise._.Agreements." hidden="1">{"Americas Franchise",#N/A,FALSE,"HI Lexington";"Americas Franchise 2",#N/A,FALSE,"HI Lexington";"Asia Franchise 1",#N/A,FALSE,"HI Lexington";"Asia Franchise 2",#N/A,FALSE,"HI Lexington";"EMEA Franchise",#N/A,FALSE,"HI Lexington";"EMEA Franchise 2",#N/A,FALSE,"HI Lexington"}</definedName>
    <definedName name="wrn.Management._.Contracts." localSheetId="12" hidden="1">{"Americas Managed 1",#N/A,FALSE,"HI Lexington";"Americas Managed 2",#N/A,FALSE,"HI Lexington";"Asia Management 1",#N/A,FALSE,"HI Lexington";"Asia Management 2",#N/A,FALSE,"HI Lexington";"Bristol Management 1",#N/A,FALSE,"HI Lexington";"Bristol Management 2",#N/A,FALSE,"HI Lexington";"Asia Other Royalty 1",#N/A,FALSE,"HI Lexington";"Asia Other Royalty 2",#N/A,FALSE,"HI Lexington"}</definedName>
    <definedName name="wrn.Management._.Contracts." localSheetId="7" hidden="1">{"Americas Managed 1",#N/A,FALSE,"HI Lexington";"Americas Managed 2",#N/A,FALSE,"HI Lexington";"Asia Management 1",#N/A,FALSE,"HI Lexington";"Asia Management 2",#N/A,FALSE,"HI Lexington";"Bristol Management 1",#N/A,FALSE,"HI Lexington";"Bristol Management 2",#N/A,FALSE,"HI Lexington";"Asia Other Royalty 1",#N/A,FALSE,"HI Lexington";"Asia Other Royalty 2",#N/A,FALSE,"HI Lexington"}</definedName>
    <definedName name="wrn.Management._.Contracts." localSheetId="8" hidden="1">{"Americas Managed 1",#N/A,FALSE,"HI Lexington";"Americas Managed 2",#N/A,FALSE,"HI Lexington";"Asia Management 1",#N/A,FALSE,"HI Lexington";"Asia Management 2",#N/A,FALSE,"HI Lexington";"Bristol Management 1",#N/A,FALSE,"HI Lexington";"Bristol Management 2",#N/A,FALSE,"HI Lexington";"Asia Other Royalty 1",#N/A,FALSE,"HI Lexington";"Asia Other Royalty 2",#N/A,FALSE,"HI Lexington"}</definedName>
    <definedName name="wrn.Management._.Contracts." hidden="1">{"Americas Managed 1",#N/A,FALSE,"HI Lexington";"Americas Managed 2",#N/A,FALSE,"HI Lexington";"Asia Management 1",#N/A,FALSE,"HI Lexington";"Asia Management 2",#N/A,FALSE,"HI Lexington";"Bristol Management 1",#N/A,FALSE,"HI Lexington";"Bristol Management 2",#N/A,FALSE,"HI Lexington";"Asia Other Royalty 1",#N/A,FALSE,"HI Lexington";"Asia Other Royalty 2",#N/A,FALSE,"HI Lexington"}</definedName>
    <definedName name="wrn.Owned._.Hotels." localSheetId="12" hidden="1">{"Staybridge Suites",#N/A,FALSE,"Inputs";"IC Stephen Austin",#N/A,FALSE,"Inputs";"HI South Bend",#N/A,FALSE,"Inputs";"HI San Antonio",#N/A,FALSE,"Inputs";"HI Memphis East",#N/A,FALSE,"Inputs";"HI Lexington",#N/A,FALSE,"Inputs";"HI Atlanta",#N/A,FALSE,"Inputs";"HI Anaheim",#N/A,FALSE,"Inputs";"CP White Plains",#N/A,FALSE,"Inputs";"CP United Nations",#N/A,FALSE,"Inputs";"CP Santiago",#N/A,FALSE,"Inputs";"CP Redondo Beach",#N/A,FALSE,"Inputs";"CP LAX",#N/A,FALSE,"Inputs";"CP Houston Galleria",#N/A,FALSE,"Inputs"}</definedName>
    <definedName name="wrn.Owned._.Hotels." localSheetId="7" hidden="1">{"Staybridge Suites",#N/A,FALSE,"Inputs";"IC Stephen Austin",#N/A,FALSE,"Inputs";"HI South Bend",#N/A,FALSE,"Inputs";"HI San Antonio",#N/A,FALSE,"Inputs";"HI Memphis East",#N/A,FALSE,"Inputs";"HI Lexington",#N/A,FALSE,"Inputs";"HI Atlanta",#N/A,FALSE,"Inputs";"HI Anaheim",#N/A,FALSE,"Inputs";"CP White Plains",#N/A,FALSE,"Inputs";"CP United Nations",#N/A,FALSE,"Inputs";"CP Santiago",#N/A,FALSE,"Inputs";"CP Redondo Beach",#N/A,FALSE,"Inputs";"CP LAX",#N/A,FALSE,"Inputs";"CP Houston Galleria",#N/A,FALSE,"Inputs"}</definedName>
    <definedName name="wrn.Owned._.Hotels." localSheetId="8" hidden="1">{"Staybridge Suites",#N/A,FALSE,"Inputs";"IC Stephen Austin",#N/A,FALSE,"Inputs";"HI South Bend",#N/A,FALSE,"Inputs";"HI San Antonio",#N/A,FALSE,"Inputs";"HI Memphis East",#N/A,FALSE,"Inputs";"HI Lexington",#N/A,FALSE,"Inputs";"HI Atlanta",#N/A,FALSE,"Inputs";"HI Anaheim",#N/A,FALSE,"Inputs";"CP White Plains",#N/A,FALSE,"Inputs";"CP United Nations",#N/A,FALSE,"Inputs";"CP Santiago",#N/A,FALSE,"Inputs";"CP Redondo Beach",#N/A,FALSE,"Inputs";"CP LAX",#N/A,FALSE,"Inputs";"CP Houston Galleria",#N/A,FALSE,"Inputs"}</definedName>
    <definedName name="wrn.Owned._.Hotels." hidden="1">{"Staybridge Suites",#N/A,FALSE,"Inputs";"IC Stephen Austin",#N/A,FALSE,"Inputs";"HI South Bend",#N/A,FALSE,"Inputs";"HI San Antonio",#N/A,FALSE,"Inputs";"HI Memphis East",#N/A,FALSE,"Inputs";"HI Lexington",#N/A,FALSE,"Inputs";"HI Atlanta",#N/A,FALSE,"Inputs";"HI Anaheim",#N/A,FALSE,"Inputs";"CP White Plains",#N/A,FALSE,"Inputs";"CP United Nations",#N/A,FALSE,"Inputs";"CP Santiago",#N/A,FALSE,"Inputs";"CP Redondo Beach",#N/A,FALSE,"Inputs";"CP LAX",#N/A,FALSE,"Inputs";"CP Houston Galleria",#N/A,FALSE,"Inputs"}</definedName>
    <definedName name="wrn.PI." localSheetId="12" hidden="1">{"PI96",#N/A,FALSE,"IS P Inst. ";"PI697",#N/A,FALSE,"IS P Inst. ";"PI696",#N/A,FALSE,"IS P Inst. ";"PILTM",#N/A,FALSE,"IS P Inst. "}</definedName>
    <definedName name="wrn.PI." localSheetId="7" hidden="1">{"PI96",#N/A,FALSE,"IS P Inst. ";"PI697",#N/A,FALSE,"IS P Inst. ";"PI696",#N/A,FALSE,"IS P Inst. ";"PILTM",#N/A,FALSE,"IS P Inst. "}</definedName>
    <definedName name="wrn.PI." localSheetId="8" hidden="1">{"PI96",#N/A,FALSE,"IS P Inst. ";"PI697",#N/A,FALSE,"IS P Inst. ";"PI696",#N/A,FALSE,"IS P Inst. ";"PILTM",#N/A,FALSE,"IS P Inst. "}</definedName>
    <definedName name="wrn.PI." hidden="1">{"PI96",#N/A,FALSE,"IS P Inst. ";"PI697",#N/A,FALSE,"IS P Inst. ";"PI696",#N/A,FALSE,"IS P Inst. ";"PILTM",#N/A,FALSE,"IS P Inst. "}</definedName>
    <definedName name="wrn.Revised._.Mancos." localSheetId="12" hidden="1">{"Asia Other Revised 1",#N/A,FALSE,"ROR";"Asia Other Royalty Revised 2",#N/A,FALSE,"ROR";"Americas Managed Revised 1",#N/A,FALSE,"ROR";"Americas Managed Revised 2",#N/A,FALSE,"ROR";"Bristom Mancos Revised 1",#N/A,FALSE,"ROR";"Bristol Manco Revised 2",#N/A,FALSE,"ROR";"Asia Mancos 1 Revised",#N/A,FALSE,"ROR";"Asia Mancos 2 Revised",#N/A,FALSE,"ROR"}</definedName>
    <definedName name="wrn.Revised._.Mancos." localSheetId="7" hidden="1">{"Asia Other Revised 1",#N/A,FALSE,"ROR";"Asia Other Royalty Revised 2",#N/A,FALSE,"ROR";"Americas Managed Revised 1",#N/A,FALSE,"ROR";"Americas Managed Revised 2",#N/A,FALSE,"ROR";"Bristom Mancos Revised 1",#N/A,FALSE,"ROR";"Bristol Manco Revised 2",#N/A,FALSE,"ROR";"Asia Mancos 1 Revised",#N/A,FALSE,"ROR";"Asia Mancos 2 Revised",#N/A,FALSE,"ROR"}</definedName>
    <definedName name="wrn.Revised._.Mancos." localSheetId="8" hidden="1">{"Asia Other Revised 1",#N/A,FALSE,"ROR";"Asia Other Royalty Revised 2",#N/A,FALSE,"ROR";"Americas Managed Revised 1",#N/A,FALSE,"ROR";"Americas Managed Revised 2",#N/A,FALSE,"ROR";"Bristom Mancos Revised 1",#N/A,FALSE,"ROR";"Bristol Manco Revised 2",#N/A,FALSE,"ROR";"Asia Mancos 1 Revised",#N/A,FALSE,"ROR";"Asia Mancos 2 Revised",#N/A,FALSE,"ROR"}</definedName>
    <definedName name="wrn.Revised._.Mancos." hidden="1">{"Asia Other Revised 1",#N/A,FALSE,"ROR";"Asia Other Royalty Revised 2",#N/A,FALSE,"ROR";"Americas Managed Revised 1",#N/A,FALSE,"ROR";"Americas Managed Revised 2",#N/A,FALSE,"ROR";"Bristom Mancos Revised 1",#N/A,FALSE,"ROR";"Bristol Manco Revised 2",#N/A,FALSE,"ROR";"Asia Mancos 1 Revised",#N/A,FALSE,"ROR";"Asia Mancos 2 Revised",#N/A,FALSE,"ROR"}</definedName>
    <definedName name="wrn.Support._.Schedules." localSheetId="12" hidden="1">{"Total Assets",#N/A,FALSE,"HI Lexington";"Management Contracts",#N/A,FALSE,"HI Lexington";"Franchise Agreements",#N/A,FALSE,"HI Lexington";"Owned Hotel Total",#N/A,FALSE,"HI Lexington";"Total Revenue",#N/A,FALSE,"HI Lexington";"Operating Cost Breakdown",#N/A,FALSE,"HI Lexington";"Allocated Cost Breakdown",#N/A,FALSE,"HI Lexington";"Capex Breakdown",#N/A,FALSE,"HI Lexington";"D&amp;A Breakdown",#N/A,FALSE,"HI Lexington";"Overhead D&amp;A Allocation",#N/A,FALSE,"HI Lexington";"CTP Breakdown",#N/A,FALSE,"HI Lexington"}</definedName>
    <definedName name="wrn.Support._.Schedules." localSheetId="7" hidden="1">{"Total Assets",#N/A,FALSE,"HI Lexington";"Management Contracts",#N/A,FALSE,"HI Lexington";"Franchise Agreements",#N/A,FALSE,"HI Lexington";"Owned Hotel Total",#N/A,FALSE,"HI Lexington";"Total Revenue",#N/A,FALSE,"HI Lexington";"Operating Cost Breakdown",#N/A,FALSE,"HI Lexington";"Allocated Cost Breakdown",#N/A,FALSE,"HI Lexington";"Capex Breakdown",#N/A,FALSE,"HI Lexington";"D&amp;A Breakdown",#N/A,FALSE,"HI Lexington";"Overhead D&amp;A Allocation",#N/A,FALSE,"HI Lexington";"CTP Breakdown",#N/A,FALSE,"HI Lexington"}</definedName>
    <definedName name="wrn.Support._.Schedules." localSheetId="8" hidden="1">{"Total Assets",#N/A,FALSE,"HI Lexington";"Management Contracts",#N/A,FALSE,"HI Lexington";"Franchise Agreements",#N/A,FALSE,"HI Lexington";"Owned Hotel Total",#N/A,FALSE,"HI Lexington";"Total Revenue",#N/A,FALSE,"HI Lexington";"Operating Cost Breakdown",#N/A,FALSE,"HI Lexington";"Allocated Cost Breakdown",#N/A,FALSE,"HI Lexington";"Capex Breakdown",#N/A,FALSE,"HI Lexington";"D&amp;A Breakdown",#N/A,FALSE,"HI Lexington";"Overhead D&amp;A Allocation",#N/A,FALSE,"HI Lexington";"CTP Breakdown",#N/A,FALSE,"HI Lexington"}</definedName>
    <definedName name="wrn.Support._.Schedules." hidden="1">{"Total Assets",#N/A,FALSE,"HI Lexington";"Management Contracts",#N/A,FALSE,"HI Lexington";"Franchise Agreements",#N/A,FALSE,"HI Lexington";"Owned Hotel Total",#N/A,FALSE,"HI Lexington";"Total Revenue",#N/A,FALSE,"HI Lexington";"Operating Cost Breakdown",#N/A,FALSE,"HI Lexington";"Allocated Cost Breakdown",#N/A,FALSE,"HI Lexington";"Capex Breakdown",#N/A,FALSE,"HI Lexington";"D&amp;A Breakdown",#N/A,FALSE,"HI Lexington";"Overhead D&amp;A Allocation",#N/A,FALSE,"HI Lexington";"CTP Breakdown",#N/A,FALSE,"HI Lexington"}</definedName>
    <definedName name="wrn.Tax._.Amortization." localSheetId="12" hidden="1">{"tax page one",#N/A,FALSE,"Tax-amortization";"tax page two",#N/A,FALSE,"Tax-amortization (2)"}</definedName>
    <definedName name="wrn.Tax._.Amortization." localSheetId="7" hidden="1">{"tax page one",#N/A,FALSE,"Tax-amortization";"tax page two",#N/A,FALSE,"Tax-amortization (2)"}</definedName>
    <definedName name="wrn.Tax._.Amortization." localSheetId="8" hidden="1">{"tax page one",#N/A,FALSE,"Tax-amortization";"tax page two",#N/A,FALSE,"Tax-amortization (2)"}</definedName>
    <definedName name="wrn.Tax._.Amortization." hidden="1">{"tax page one",#N/A,FALSE,"Tax-amortization";"tax page two",#N/A,FALSE,"Tax-amortization (2)"}</definedName>
    <definedName name="wrn.Telecheck._.Residual." localSheetId="12" hidden="1">{"Telecheck 96",#N/A,FALSE,"Telecheck";"Telecheck 6_97",#N/A,FALSE,"Telecheck";"Telecheck 6_96",#N/A,FALSE,"Telecheck";"Telecheck LTM",#N/A,FALSE,"Telecheck"}</definedName>
    <definedName name="wrn.Telecheck._.Residual." localSheetId="7" hidden="1">{"Telecheck 96",#N/A,FALSE,"Telecheck";"Telecheck 6_97",#N/A,FALSE,"Telecheck";"Telecheck 6_96",#N/A,FALSE,"Telecheck";"Telecheck LTM",#N/A,FALSE,"Telecheck"}</definedName>
    <definedName name="wrn.Telecheck._.Residual." localSheetId="8" hidden="1">{"Telecheck 96",#N/A,FALSE,"Telecheck";"Telecheck 6_97",#N/A,FALSE,"Telecheck";"Telecheck 6_96",#N/A,FALSE,"Telecheck";"Telecheck LTM",#N/A,FALSE,"Telecheck"}</definedName>
    <definedName name="wrn.Telecheck._.Residual." hidden="1">{"Telecheck 96",#N/A,FALSE,"Telecheck";"Telecheck 6_97",#N/A,FALSE,"Telecheck";"Telecheck 6_96",#N/A,FALSE,"Telecheck";"Telecheck LTM",#N/A,FALSE,"Telecheck"}</definedName>
    <definedName name="wrn.Unconsoliated._.Affiliates." localSheetId="12" hidden="1">{"Unconsolidated Affiliates",#N/A,FALSE,"HI Lexington";"Midland Hotel",#N/A,FALSE,"HI Lexington"}</definedName>
    <definedName name="wrn.Unconsoliated._.Affiliates." localSheetId="7" hidden="1">{"Unconsolidated Affiliates",#N/A,FALSE,"HI Lexington";"Midland Hotel",#N/A,FALSE,"HI Lexington"}</definedName>
    <definedName name="wrn.Unconsoliated._.Affiliates." localSheetId="8" hidden="1">{"Unconsolidated Affiliates",#N/A,FALSE,"HI Lexington";"Midland Hotel",#N/A,FALSE,"HI Lexington"}</definedName>
    <definedName name="wrn.Unconsoliated._.Affiliates." hidden="1">{"Unconsolidated Affiliates",#N/A,FALSE,"HI Lexington";"Midland Hotel",#N/A,FALSE,"HI Lexington"}</definedName>
    <definedName name="wrn.WU._.residual." localSheetId="12" hidden="1">{"WU 6mths 6_30_97",#N/A,FALSE,"IS P Inst. ";"WU LTM 6_97",#N/A,FALSE,"IS P Inst. ";"WU residual 6_30_97",#N/A,FALSE,"IS P Inst. ";"WU residual 96",#N/A,FALSE,"IS P Inst. "}</definedName>
    <definedName name="wrn.WU._.residual." localSheetId="7" hidden="1">{"WU 6mths 6_30_97",#N/A,FALSE,"IS P Inst. ";"WU LTM 6_97",#N/A,FALSE,"IS P Inst. ";"WU residual 6_30_97",#N/A,FALSE,"IS P Inst. ";"WU residual 96",#N/A,FALSE,"IS P Inst. "}</definedName>
    <definedName name="wrn.WU._.residual." localSheetId="8" hidden="1">{"WU 6mths 6_30_97",#N/A,FALSE,"IS P Inst. ";"WU LTM 6_97",#N/A,FALSE,"IS P Inst. ";"WU residual 6_30_97",#N/A,FALSE,"IS P Inst. ";"WU residual 96",#N/A,FALSE,"IS P Inst. "}</definedName>
    <definedName name="wrn.WU._.residual." hidden="1">{"WU 6mths 6_30_97",#N/A,FALSE,"IS P Inst. ";"WU LTM 6_97",#N/A,FALSE,"IS P Inst. ";"WU residual 6_30_97",#N/A,FALSE,"IS P Inst. ";"WU residual 96",#N/A,FALSE,"IS P Inst. "}</definedName>
    <definedName name="YearStart1" localSheetId="2">#REF!</definedName>
    <definedName name="YearStart1">#REF!</definedName>
    <definedName name="YearStart2" localSheetId="2">#REF!</definedName>
    <definedName name="YearStart2">#REF!</definedName>
    <definedName name="YearStart3" localSheetId="2">#REF!</definedName>
    <definedName name="YearStart3">#REF!</definedName>
    <definedName name="YearStart4" localSheetId="2">#REF!</definedName>
    <definedName name="YearStart4">#REF!</definedName>
    <definedName name="YearStart5" localSheetId="2">#REF!</definedName>
    <definedName name="YearStart5">#REF!</definedName>
    <definedName name="YearStart6" localSheetId="2">#REF!</definedName>
    <definedName name="YearStart6">#REF!</definedName>
    <definedName name="YearStart7" localSheetId="2">#REF!</definedName>
    <definedName name="YearStart7">#REF!</definedName>
    <definedName name="ГТД" localSheetId="2">#REF!</definedName>
    <definedName name="ГТД">#REF!</definedName>
    <definedName name="доп2" localSheetId="2">#REF!</definedName>
    <definedName name="доп2">#REF!</definedName>
    <definedName name="Жовт">[8]списки!$I$1:$I$3</definedName>
    <definedName name="зачем">[9]списки!$E$1:$E$5</definedName>
    <definedName name="Ира">[8]списки!$G$1:$G$3</definedName>
    <definedName name="кого">[9]списки!$I$1:$I$3</definedName>
    <definedName name="ктоо">[9]списки!$C$1:$C$5</definedName>
    <definedName name="оля" localSheetId="2">#REF!</definedName>
    <definedName name="оля">#REF!</definedName>
    <definedName name="ооо" localSheetId="2">#REF!</definedName>
    <definedName name="ооо">#REF!</definedName>
    <definedName name="сэс">[8]списки!$C$1:$C$5</definedName>
    <definedName name="тов.баланс" localSheetId="2">#REF!</definedName>
    <definedName name="тов.баланс">#REF!</definedName>
    <definedName name="что">[9]списки!$G$1:$G$3</definedName>
  </definedNames>
  <calcPr calcId="152511" iterate="1"/>
</workbook>
</file>

<file path=xl/calcChain.xml><?xml version="1.0" encoding="utf-8"?>
<calcChain xmlns="http://schemas.openxmlformats.org/spreadsheetml/2006/main">
  <c r="G61" i="1265" l="1"/>
  <c r="G46" i="1258"/>
  <c r="H41" i="1259"/>
  <c r="I15" i="1324" l="1"/>
  <c r="H24" i="1258" l="1"/>
  <c r="I24" i="1258"/>
  <c r="J24" i="1258"/>
  <c r="K24" i="1258"/>
  <c r="L24" i="1258"/>
  <c r="M24" i="1258"/>
  <c r="N24" i="1258"/>
  <c r="O24" i="1258"/>
  <c r="P24" i="1258"/>
  <c r="Q24" i="1258"/>
  <c r="R24" i="1258"/>
  <c r="S24" i="1258"/>
  <c r="H23" i="1258"/>
  <c r="I23" i="1258"/>
  <c r="J23" i="1258"/>
  <c r="K23" i="1258"/>
  <c r="L23" i="1258"/>
  <c r="M23" i="1258"/>
  <c r="N23" i="1258"/>
  <c r="O23" i="1258"/>
  <c r="P23" i="1258"/>
  <c r="Q23" i="1258"/>
  <c r="R23" i="1258"/>
  <c r="S23" i="1258"/>
  <c r="H10" i="1258"/>
  <c r="I10" i="1258"/>
  <c r="J10" i="1258"/>
  <c r="K10" i="1258"/>
  <c r="L10" i="1258"/>
  <c r="M10" i="1258"/>
  <c r="N10" i="1258"/>
  <c r="O10" i="1258"/>
  <c r="P10" i="1258"/>
  <c r="Q10" i="1258"/>
  <c r="R10" i="1258"/>
  <c r="S10" i="1258"/>
  <c r="H11" i="1258"/>
  <c r="I11" i="1258"/>
  <c r="J11" i="1258"/>
  <c r="K11" i="1258"/>
  <c r="L11" i="1258"/>
  <c r="M11" i="1258"/>
  <c r="N11" i="1258"/>
  <c r="O11" i="1258"/>
  <c r="P11" i="1258"/>
  <c r="Q11" i="1258"/>
  <c r="R11" i="1258"/>
  <c r="S11" i="1258"/>
  <c r="C11" i="1258"/>
  <c r="C10" i="1258"/>
  <c r="J8" i="1328"/>
  <c r="C16" i="1323" l="1"/>
  <c r="Q18" i="1323"/>
  <c r="Q44" i="1323" s="1"/>
  <c r="P18" i="1323"/>
  <c r="P44" i="1323" s="1"/>
  <c r="O18" i="1323"/>
  <c r="O44" i="1323" s="1"/>
  <c r="N18" i="1323"/>
  <c r="N44" i="1323" s="1"/>
  <c r="M18" i="1323"/>
  <c r="M44" i="1323" s="1"/>
  <c r="L18" i="1323"/>
  <c r="L44" i="1323" s="1"/>
  <c r="K18" i="1323"/>
  <c r="K44" i="1323" s="1"/>
  <c r="J18" i="1323"/>
  <c r="J44" i="1323" s="1"/>
  <c r="I18" i="1323"/>
  <c r="I44" i="1323" s="1"/>
  <c r="H18" i="1323"/>
  <c r="H44" i="1323" s="1"/>
  <c r="G18" i="1323"/>
  <c r="G44" i="1323" s="1"/>
  <c r="F18" i="1323"/>
  <c r="F44" i="1323" s="1"/>
  <c r="E18" i="1323"/>
  <c r="E44" i="1323" s="1"/>
  <c r="D18" i="1323"/>
  <c r="D44" i="1323" s="1"/>
  <c r="C18" i="1323"/>
  <c r="C44" i="1323" s="1"/>
  <c r="D16" i="1323"/>
  <c r="E16" i="1323" s="1"/>
  <c r="F16" i="1323" s="1"/>
  <c r="G16" i="1323" s="1"/>
  <c r="H16" i="1323" s="1"/>
  <c r="I16" i="1323" s="1"/>
  <c r="J16" i="1323" s="1"/>
  <c r="K16" i="1323" s="1"/>
  <c r="L16" i="1323" s="1"/>
  <c r="M16" i="1323" s="1"/>
  <c r="N16" i="1323" s="1"/>
  <c r="O16" i="1323" s="1"/>
  <c r="P16" i="1323" s="1"/>
  <c r="Q16" i="1323" s="1"/>
  <c r="I15" i="1312" l="1"/>
  <c r="J15" i="1312"/>
  <c r="K15" i="1312"/>
  <c r="L15" i="1312"/>
  <c r="M15" i="1312"/>
  <c r="N15" i="1312"/>
  <c r="O15" i="1312"/>
  <c r="P15" i="1312"/>
  <c r="F15" i="1312"/>
  <c r="B15" i="1312"/>
  <c r="G15" i="1328"/>
  <c r="I16" i="1324" s="1"/>
  <c r="F15" i="1328"/>
  <c r="H16" i="1324" s="1"/>
  <c r="J16" i="1324" s="1"/>
  <c r="F16" i="1265"/>
  <c r="E16" i="1258"/>
  <c r="F15" i="1259"/>
  <c r="G56" i="1269"/>
  <c r="G31" i="1271"/>
  <c r="D15" i="1328" l="1"/>
  <c r="G15" i="1312"/>
  <c r="D15" i="1312" s="1"/>
  <c r="B3" i="1311"/>
  <c r="C3" i="1311"/>
  <c r="K3" i="1312"/>
  <c r="I3" i="1312"/>
  <c r="K6" i="1328" l="1"/>
  <c r="I8" i="1328" l="1"/>
  <c r="I16" i="1328" s="1"/>
  <c r="J16" i="1328"/>
  <c r="F5" i="1321" l="1"/>
  <c r="E5" i="1321"/>
  <c r="K3" i="1328"/>
  <c r="C51" i="1323" l="1"/>
  <c r="D51" i="1323" s="1"/>
  <c r="E51" i="1323" s="1"/>
  <c r="F51" i="1323" s="1"/>
  <c r="G51" i="1323" s="1"/>
  <c r="H51" i="1323" s="1"/>
  <c r="I51" i="1323" s="1"/>
  <c r="J51" i="1323" s="1"/>
  <c r="K51" i="1323" s="1"/>
  <c r="L51" i="1323" s="1"/>
  <c r="M51" i="1323" s="1"/>
  <c r="N51" i="1323" s="1"/>
  <c r="O51" i="1323" s="1"/>
  <c r="P51" i="1323" s="1"/>
  <c r="Q51" i="1323" s="1"/>
  <c r="Q53" i="1323"/>
  <c r="Q79" i="1323" s="1"/>
  <c r="P53" i="1323"/>
  <c r="P79" i="1323" s="1"/>
  <c r="O53" i="1323"/>
  <c r="O79" i="1323" s="1"/>
  <c r="N53" i="1323"/>
  <c r="N79" i="1323" s="1"/>
  <c r="M53" i="1323"/>
  <c r="M79" i="1323" s="1"/>
  <c r="L53" i="1323"/>
  <c r="L79" i="1323" s="1"/>
  <c r="K53" i="1323"/>
  <c r="K79" i="1323" s="1"/>
  <c r="J53" i="1323"/>
  <c r="J79" i="1323" s="1"/>
  <c r="I53" i="1323"/>
  <c r="I79" i="1323" s="1"/>
  <c r="H53" i="1323"/>
  <c r="H79" i="1323" s="1"/>
  <c r="G53" i="1323"/>
  <c r="G79" i="1323" s="1"/>
  <c r="F53" i="1323"/>
  <c r="F79" i="1323" s="1"/>
  <c r="E53" i="1323"/>
  <c r="E79" i="1323" s="1"/>
  <c r="D53" i="1323"/>
  <c r="D79" i="1323" s="1"/>
  <c r="C53" i="1323"/>
  <c r="C79" i="1323" s="1"/>
  <c r="D21" i="1314" l="1"/>
  <c r="D18" i="1314"/>
  <c r="N30" i="1260"/>
  <c r="C21" i="1321" l="1"/>
  <c r="C20" i="1321"/>
  <c r="C19" i="1321"/>
  <c r="C18" i="1321"/>
  <c r="C17" i="1321"/>
  <c r="C6" i="1314" l="1"/>
  <c r="B6" i="1314"/>
  <c r="S31" i="1320"/>
  <c r="D6" i="1314" s="1"/>
  <c r="I9" i="1312" l="1"/>
  <c r="J9" i="1312"/>
  <c r="K9" i="1312"/>
  <c r="L9" i="1312"/>
  <c r="M9" i="1312"/>
  <c r="N9" i="1312"/>
  <c r="O9" i="1312"/>
  <c r="P9" i="1312"/>
  <c r="I10" i="1312"/>
  <c r="J10" i="1312"/>
  <c r="K10" i="1312"/>
  <c r="L10" i="1312"/>
  <c r="M10" i="1312"/>
  <c r="N10" i="1312"/>
  <c r="O10" i="1312"/>
  <c r="P10" i="1312"/>
  <c r="I11" i="1312"/>
  <c r="J11" i="1312"/>
  <c r="K11" i="1312"/>
  <c r="L11" i="1312"/>
  <c r="M11" i="1312"/>
  <c r="N11" i="1312"/>
  <c r="O11" i="1312"/>
  <c r="P11" i="1312"/>
  <c r="I12" i="1312"/>
  <c r="J12" i="1312"/>
  <c r="K12" i="1312"/>
  <c r="L12" i="1312"/>
  <c r="M12" i="1312"/>
  <c r="N12" i="1312"/>
  <c r="O12" i="1312"/>
  <c r="P12" i="1312"/>
  <c r="I13" i="1312"/>
  <c r="J13" i="1312"/>
  <c r="K13" i="1312"/>
  <c r="L13" i="1312"/>
  <c r="M13" i="1312"/>
  <c r="N13" i="1312"/>
  <c r="O13" i="1312"/>
  <c r="P13" i="1312"/>
  <c r="J14" i="1312"/>
  <c r="K14" i="1312"/>
  <c r="L14" i="1312"/>
  <c r="M14" i="1312"/>
  <c r="N14" i="1312"/>
  <c r="O14" i="1312"/>
  <c r="P14" i="1312"/>
  <c r="B14" i="1312"/>
  <c r="B15" i="1324" s="1"/>
  <c r="B13" i="1312"/>
  <c r="B14" i="1324" s="1"/>
  <c r="B12" i="1312"/>
  <c r="B13" i="1324" s="1"/>
  <c r="B11" i="1312"/>
  <c r="B12" i="1324" s="1"/>
  <c r="B10" i="1312"/>
  <c r="B11" i="1324" s="1"/>
  <c r="B9" i="1312"/>
  <c r="B10" i="1324" s="1"/>
  <c r="B8" i="1312"/>
  <c r="B9" i="1324" s="1"/>
  <c r="B7" i="1312"/>
  <c r="B8" i="1324" s="1"/>
  <c r="B6" i="1312"/>
  <c r="B7" i="1324" s="1"/>
  <c r="B5" i="1312"/>
  <c r="B6" i="1324" s="1"/>
  <c r="J8" i="1312"/>
  <c r="J16" i="1312" s="1"/>
  <c r="J7" i="1312"/>
  <c r="K7" i="1312"/>
  <c r="L7" i="1312"/>
  <c r="M7" i="1312"/>
  <c r="N7" i="1312"/>
  <c r="O7" i="1312"/>
  <c r="P7" i="1312"/>
  <c r="I7" i="1312"/>
  <c r="J6" i="1312"/>
  <c r="J5" i="1312"/>
  <c r="L5" i="1312"/>
  <c r="N5" i="1312"/>
  <c r="P5" i="1312"/>
  <c r="I8" i="1312"/>
  <c r="I16" i="1312" s="1"/>
  <c r="K8" i="1328"/>
  <c r="L8" i="1328"/>
  <c r="M8" i="1328"/>
  <c r="N8" i="1328"/>
  <c r="O8" i="1328"/>
  <c r="P8" i="1328"/>
  <c r="F9" i="1328"/>
  <c r="G9" i="1328"/>
  <c r="F10" i="1328"/>
  <c r="G10" i="1328"/>
  <c r="F11" i="1328"/>
  <c r="G11" i="1328"/>
  <c r="F12" i="1328"/>
  <c r="G12" i="1328"/>
  <c r="F13" i="1328"/>
  <c r="G13" i="1328"/>
  <c r="P8" i="1312" l="1"/>
  <c r="D12" i="1328"/>
  <c r="K8" i="1312"/>
  <c r="F8" i="1328"/>
  <c r="M8" i="1312"/>
  <c r="N8" i="1312"/>
  <c r="L8" i="1312"/>
  <c r="H29" i="1260"/>
  <c r="G29" i="1260"/>
  <c r="O8" i="1312"/>
  <c r="G8" i="1328"/>
  <c r="D13" i="1328"/>
  <c r="D11" i="1328"/>
  <c r="D10" i="1328"/>
  <c r="D9" i="1328"/>
  <c r="D8" i="1328" l="1"/>
  <c r="G5" i="1328"/>
  <c r="F7" i="1328"/>
  <c r="G7" i="1328"/>
  <c r="D7" i="1328" l="1"/>
  <c r="H9" i="1259"/>
  <c r="J9" i="1259"/>
  <c r="L9" i="1259"/>
  <c r="N9" i="1259"/>
  <c r="P9" i="1259"/>
  <c r="R9" i="1259"/>
  <c r="T9" i="1259"/>
  <c r="G9" i="1259"/>
  <c r="S10" i="1259"/>
  <c r="T10" i="1259"/>
  <c r="I9" i="1259"/>
  <c r="K9" i="1259"/>
  <c r="M9" i="1259"/>
  <c r="O9" i="1259"/>
  <c r="Q9" i="1259"/>
  <c r="S9" i="1259"/>
  <c r="F9" i="1259"/>
  <c r="U10" i="1264" l="1"/>
  <c r="U16" i="1264"/>
  <c r="U9" i="1259"/>
  <c r="S29" i="1320"/>
  <c r="I25" i="1269"/>
  <c r="J25" i="1269"/>
  <c r="K25" i="1269"/>
  <c r="L25" i="1269"/>
  <c r="M25" i="1269"/>
  <c r="N25" i="1269"/>
  <c r="O25" i="1269"/>
  <c r="P25" i="1269"/>
  <c r="Q25" i="1269"/>
  <c r="R25" i="1269"/>
  <c r="S25" i="1269"/>
  <c r="T25" i="1269"/>
  <c r="U25" i="1269"/>
  <c r="H25" i="1269"/>
  <c r="G25" i="1269"/>
  <c r="G24" i="1269"/>
  <c r="H20" i="1269"/>
  <c r="H21" i="1269"/>
  <c r="H22" i="1269"/>
  <c r="H23" i="1269"/>
  <c r="H24" i="1269"/>
  <c r="G20" i="1269"/>
  <c r="G21" i="1269"/>
  <c r="G22" i="1269"/>
  <c r="G23" i="1269"/>
  <c r="L24" i="1269"/>
  <c r="C33" i="1265"/>
  <c r="C34" i="1265"/>
  <c r="C35" i="1265"/>
  <c r="C36" i="1265"/>
  <c r="C37" i="1265"/>
  <c r="C38" i="1265"/>
  <c r="C39" i="1265"/>
  <c r="C40" i="1265"/>
  <c r="C32" i="1265"/>
  <c r="C21" i="1265"/>
  <c r="C22" i="1265"/>
  <c r="C23" i="1265"/>
  <c r="C24" i="1265"/>
  <c r="C25" i="1265"/>
  <c r="C26" i="1265"/>
  <c r="C27" i="1265"/>
  <c r="C28" i="1265"/>
  <c r="C20" i="1265"/>
  <c r="I20" i="1271"/>
  <c r="O41" i="1269"/>
  <c r="H38" i="1269"/>
  <c r="I38" i="1269"/>
  <c r="J38" i="1269"/>
  <c r="K38" i="1269"/>
  <c r="L38" i="1269"/>
  <c r="M38" i="1269"/>
  <c r="N38" i="1269"/>
  <c r="O38" i="1269"/>
  <c r="P38" i="1269"/>
  <c r="Q38" i="1269"/>
  <c r="R38" i="1269"/>
  <c r="S38" i="1269"/>
  <c r="T38" i="1269"/>
  <c r="U38" i="1269"/>
  <c r="H39" i="1269"/>
  <c r="I39" i="1269"/>
  <c r="J39" i="1269"/>
  <c r="K39" i="1269"/>
  <c r="L39" i="1269"/>
  <c r="M39" i="1269"/>
  <c r="N39" i="1269"/>
  <c r="O39" i="1269"/>
  <c r="P39" i="1269"/>
  <c r="Q39" i="1269"/>
  <c r="R39" i="1269"/>
  <c r="S39" i="1269"/>
  <c r="T39" i="1269"/>
  <c r="U39" i="1269"/>
  <c r="H40" i="1269"/>
  <c r="I40" i="1269"/>
  <c r="J40" i="1269"/>
  <c r="K40" i="1269"/>
  <c r="L40" i="1269"/>
  <c r="M40" i="1269"/>
  <c r="N40" i="1269"/>
  <c r="O40" i="1269"/>
  <c r="P40" i="1269"/>
  <c r="Q40" i="1269"/>
  <c r="R40" i="1269"/>
  <c r="S40" i="1269"/>
  <c r="T40" i="1269"/>
  <c r="U40" i="1269"/>
  <c r="H41" i="1269"/>
  <c r="I41" i="1269"/>
  <c r="J41" i="1269"/>
  <c r="K41" i="1269"/>
  <c r="L41" i="1269"/>
  <c r="M41" i="1269"/>
  <c r="N41" i="1269"/>
  <c r="P41" i="1269"/>
  <c r="Q41" i="1269"/>
  <c r="R41" i="1269"/>
  <c r="S41" i="1269"/>
  <c r="T41" i="1269"/>
  <c r="U41" i="1269"/>
  <c r="H42" i="1269"/>
  <c r="I42" i="1269"/>
  <c r="J42" i="1269"/>
  <c r="K42" i="1269"/>
  <c r="L42" i="1269"/>
  <c r="M42" i="1269"/>
  <c r="N42" i="1269"/>
  <c r="O42" i="1269"/>
  <c r="P42" i="1269"/>
  <c r="Q42" i="1269"/>
  <c r="R42" i="1269"/>
  <c r="S42" i="1269"/>
  <c r="T42" i="1269"/>
  <c r="U42" i="1269"/>
  <c r="H43" i="1269"/>
  <c r="I43" i="1269"/>
  <c r="J43" i="1269"/>
  <c r="K43" i="1269"/>
  <c r="L43" i="1269"/>
  <c r="M43" i="1269"/>
  <c r="N43" i="1269"/>
  <c r="O43" i="1269"/>
  <c r="P43" i="1269"/>
  <c r="Q43" i="1269"/>
  <c r="R43" i="1269"/>
  <c r="S43" i="1269"/>
  <c r="T43" i="1269"/>
  <c r="U43" i="1269"/>
  <c r="G39" i="1269"/>
  <c r="G40" i="1269"/>
  <c r="G41" i="1269"/>
  <c r="G42" i="1269"/>
  <c r="G43" i="1269"/>
  <c r="G38" i="1269"/>
  <c r="G29" i="1269"/>
  <c r="H29" i="1269"/>
  <c r="I29" i="1269"/>
  <c r="J29" i="1269"/>
  <c r="K29" i="1269"/>
  <c r="L29" i="1269"/>
  <c r="M29" i="1269"/>
  <c r="N29" i="1269"/>
  <c r="O29" i="1269"/>
  <c r="P29" i="1269"/>
  <c r="Q29" i="1269"/>
  <c r="R29" i="1269"/>
  <c r="S29" i="1269"/>
  <c r="T29" i="1269"/>
  <c r="U29" i="1269"/>
  <c r="G30" i="1269"/>
  <c r="H30" i="1269"/>
  <c r="I30" i="1269"/>
  <c r="J30" i="1269"/>
  <c r="K30" i="1269"/>
  <c r="L30" i="1269"/>
  <c r="M30" i="1269"/>
  <c r="N30" i="1269"/>
  <c r="O30" i="1269"/>
  <c r="P30" i="1269"/>
  <c r="Q30" i="1269"/>
  <c r="R30" i="1269"/>
  <c r="S30" i="1269"/>
  <c r="T30" i="1269"/>
  <c r="U30" i="1269"/>
  <c r="G31" i="1269"/>
  <c r="H31" i="1269"/>
  <c r="I31" i="1269"/>
  <c r="J31" i="1269"/>
  <c r="K31" i="1269"/>
  <c r="L31" i="1269"/>
  <c r="M31" i="1269"/>
  <c r="N31" i="1269"/>
  <c r="O31" i="1269"/>
  <c r="P31" i="1269"/>
  <c r="Q31" i="1269"/>
  <c r="R31" i="1269"/>
  <c r="S31" i="1269"/>
  <c r="T31" i="1269"/>
  <c r="U31" i="1269"/>
  <c r="G32" i="1269"/>
  <c r="H32" i="1269"/>
  <c r="I32" i="1269"/>
  <c r="J32" i="1269"/>
  <c r="K32" i="1269"/>
  <c r="L32" i="1269"/>
  <c r="M32" i="1269"/>
  <c r="N32" i="1269"/>
  <c r="O32" i="1269"/>
  <c r="P32" i="1269"/>
  <c r="Q32" i="1269"/>
  <c r="R32" i="1269"/>
  <c r="S32" i="1269"/>
  <c r="T32" i="1269"/>
  <c r="U32" i="1269"/>
  <c r="G33" i="1269"/>
  <c r="H33" i="1269"/>
  <c r="I33" i="1269"/>
  <c r="J33" i="1269"/>
  <c r="K33" i="1269"/>
  <c r="L33" i="1269"/>
  <c r="M33" i="1269"/>
  <c r="N33" i="1269"/>
  <c r="O33" i="1269"/>
  <c r="P33" i="1269"/>
  <c r="Q33" i="1269"/>
  <c r="R33" i="1269"/>
  <c r="S33" i="1269"/>
  <c r="T33" i="1269"/>
  <c r="U33" i="1269"/>
  <c r="G34" i="1269"/>
  <c r="H34" i="1269"/>
  <c r="I34" i="1269"/>
  <c r="J34" i="1269"/>
  <c r="K34" i="1269"/>
  <c r="L34" i="1269"/>
  <c r="M34" i="1269"/>
  <c r="N34" i="1269"/>
  <c r="O34" i="1269"/>
  <c r="P34" i="1269"/>
  <c r="Q34" i="1269"/>
  <c r="R34" i="1269"/>
  <c r="S34" i="1269"/>
  <c r="T34" i="1269"/>
  <c r="U34" i="1269"/>
  <c r="G35" i="1269"/>
  <c r="H35" i="1269"/>
  <c r="I35" i="1269"/>
  <c r="J35" i="1269"/>
  <c r="K35" i="1269"/>
  <c r="L35" i="1269"/>
  <c r="M35" i="1269"/>
  <c r="N35" i="1269"/>
  <c r="O35" i="1269"/>
  <c r="P35" i="1269"/>
  <c r="Q35" i="1269"/>
  <c r="R35" i="1269"/>
  <c r="S35" i="1269"/>
  <c r="T35" i="1269"/>
  <c r="U35" i="1269"/>
  <c r="G36" i="1269"/>
  <c r="H36" i="1269"/>
  <c r="I36" i="1269"/>
  <c r="J36" i="1269"/>
  <c r="K36" i="1269"/>
  <c r="L36" i="1269"/>
  <c r="M36" i="1269"/>
  <c r="N36" i="1269"/>
  <c r="O36" i="1269"/>
  <c r="P36" i="1269"/>
  <c r="Q36" i="1269"/>
  <c r="R36" i="1269"/>
  <c r="S36" i="1269"/>
  <c r="T36" i="1269"/>
  <c r="U36" i="1269"/>
  <c r="C39" i="1269"/>
  <c r="C40" i="1269"/>
  <c r="C41" i="1269"/>
  <c r="C42" i="1269"/>
  <c r="C38" i="1269"/>
  <c r="I20" i="1269"/>
  <c r="J20" i="1269"/>
  <c r="K20" i="1269"/>
  <c r="L20" i="1269"/>
  <c r="M20" i="1269"/>
  <c r="N20" i="1269"/>
  <c r="O20" i="1269"/>
  <c r="P20" i="1269"/>
  <c r="Q20" i="1269"/>
  <c r="R20" i="1269"/>
  <c r="S20" i="1269"/>
  <c r="T20" i="1269"/>
  <c r="U20" i="1269"/>
  <c r="I21" i="1269"/>
  <c r="J21" i="1269"/>
  <c r="K21" i="1269"/>
  <c r="L21" i="1269"/>
  <c r="M21" i="1269"/>
  <c r="N21" i="1269"/>
  <c r="O21" i="1269"/>
  <c r="P21" i="1269"/>
  <c r="Q21" i="1269"/>
  <c r="R21" i="1269"/>
  <c r="S21" i="1269"/>
  <c r="T21" i="1269"/>
  <c r="U21" i="1269"/>
  <c r="I22" i="1269"/>
  <c r="J22" i="1269"/>
  <c r="K22" i="1269"/>
  <c r="L22" i="1269"/>
  <c r="M22" i="1269"/>
  <c r="N22" i="1269"/>
  <c r="O22" i="1269"/>
  <c r="P22" i="1269"/>
  <c r="Q22" i="1269"/>
  <c r="R22" i="1269"/>
  <c r="S22" i="1269"/>
  <c r="T22" i="1269"/>
  <c r="U22" i="1269"/>
  <c r="I23" i="1269"/>
  <c r="J23" i="1269"/>
  <c r="K23" i="1269"/>
  <c r="L23" i="1269"/>
  <c r="M23" i="1269"/>
  <c r="N23" i="1269"/>
  <c r="O23" i="1269"/>
  <c r="P23" i="1269"/>
  <c r="Q23" i="1269"/>
  <c r="R23" i="1269"/>
  <c r="S23" i="1269"/>
  <c r="T23" i="1269"/>
  <c r="U23" i="1269"/>
  <c r="I24" i="1269"/>
  <c r="J24" i="1269"/>
  <c r="K24" i="1269"/>
  <c r="M24" i="1269"/>
  <c r="N24" i="1269"/>
  <c r="O24" i="1269"/>
  <c r="P24" i="1269"/>
  <c r="Q24" i="1269"/>
  <c r="R24" i="1269"/>
  <c r="S24" i="1269"/>
  <c r="T24" i="1269"/>
  <c r="U24" i="1269"/>
  <c r="G10" i="1269"/>
  <c r="H10" i="1269"/>
  <c r="I10" i="1269"/>
  <c r="J10" i="1269"/>
  <c r="K10" i="1269"/>
  <c r="L10" i="1269"/>
  <c r="M10" i="1269"/>
  <c r="N10" i="1269"/>
  <c r="O10" i="1269"/>
  <c r="P10" i="1269"/>
  <c r="Q10" i="1269"/>
  <c r="R10" i="1269"/>
  <c r="S10" i="1269"/>
  <c r="T10" i="1269"/>
  <c r="U10" i="1269"/>
  <c r="G11" i="1269"/>
  <c r="H11" i="1269"/>
  <c r="I11" i="1269"/>
  <c r="J11" i="1269"/>
  <c r="K11" i="1269"/>
  <c r="L11" i="1269"/>
  <c r="M11" i="1269"/>
  <c r="N11" i="1269"/>
  <c r="O11" i="1269"/>
  <c r="P11" i="1269"/>
  <c r="Q11" i="1269"/>
  <c r="R11" i="1269"/>
  <c r="S11" i="1269"/>
  <c r="T11" i="1269"/>
  <c r="U11" i="1269"/>
  <c r="G12" i="1269"/>
  <c r="H12" i="1269"/>
  <c r="I12" i="1269"/>
  <c r="J12" i="1269"/>
  <c r="K12" i="1269"/>
  <c r="L12" i="1269"/>
  <c r="M12" i="1269"/>
  <c r="N12" i="1269"/>
  <c r="O12" i="1269"/>
  <c r="P12" i="1269"/>
  <c r="Q12" i="1269"/>
  <c r="R12" i="1269"/>
  <c r="S12" i="1269"/>
  <c r="T12" i="1269"/>
  <c r="U12" i="1269"/>
  <c r="G13" i="1269"/>
  <c r="H13" i="1269"/>
  <c r="I13" i="1269"/>
  <c r="J13" i="1269"/>
  <c r="K13" i="1269"/>
  <c r="L13" i="1269"/>
  <c r="M13" i="1269"/>
  <c r="N13" i="1269"/>
  <c r="O13" i="1269"/>
  <c r="P13" i="1269"/>
  <c r="Q13" i="1269"/>
  <c r="R13" i="1269"/>
  <c r="S13" i="1269"/>
  <c r="T13" i="1269"/>
  <c r="U13" i="1269"/>
  <c r="G14" i="1269"/>
  <c r="H14" i="1269"/>
  <c r="I14" i="1269"/>
  <c r="J14" i="1269"/>
  <c r="K14" i="1269"/>
  <c r="L14" i="1269"/>
  <c r="M14" i="1269"/>
  <c r="N14" i="1269"/>
  <c r="O14" i="1269"/>
  <c r="P14" i="1269"/>
  <c r="Q14" i="1269"/>
  <c r="R14" i="1269"/>
  <c r="S14" i="1269"/>
  <c r="T14" i="1269"/>
  <c r="U14" i="1269"/>
  <c r="G15" i="1269"/>
  <c r="H15" i="1269"/>
  <c r="I15" i="1269"/>
  <c r="J15" i="1269"/>
  <c r="K15" i="1269"/>
  <c r="L15" i="1269"/>
  <c r="M15" i="1269"/>
  <c r="N15" i="1269"/>
  <c r="O15" i="1269"/>
  <c r="P15" i="1269"/>
  <c r="Q15" i="1269"/>
  <c r="R15" i="1269"/>
  <c r="S15" i="1269"/>
  <c r="T15" i="1269"/>
  <c r="U15" i="1269"/>
  <c r="G16" i="1269"/>
  <c r="H16" i="1269"/>
  <c r="I16" i="1269"/>
  <c r="J16" i="1269"/>
  <c r="K16" i="1269"/>
  <c r="L16" i="1269"/>
  <c r="M16" i="1269"/>
  <c r="N16" i="1269"/>
  <c r="O16" i="1269"/>
  <c r="P16" i="1269"/>
  <c r="Q16" i="1269"/>
  <c r="R16" i="1269"/>
  <c r="S16" i="1269"/>
  <c r="T16" i="1269"/>
  <c r="U16" i="1269"/>
  <c r="G17" i="1269"/>
  <c r="H17" i="1269"/>
  <c r="I17" i="1269"/>
  <c r="J17" i="1269"/>
  <c r="K17" i="1269"/>
  <c r="L17" i="1269"/>
  <c r="M17" i="1269"/>
  <c r="N17" i="1269"/>
  <c r="O17" i="1269"/>
  <c r="P17" i="1269"/>
  <c r="Q17" i="1269"/>
  <c r="R17" i="1269"/>
  <c r="S17" i="1269"/>
  <c r="T17" i="1269"/>
  <c r="U17" i="1269"/>
  <c r="G28" i="1269"/>
  <c r="G19" i="1269"/>
  <c r="C29" i="1269"/>
  <c r="C30" i="1269"/>
  <c r="C31" i="1269"/>
  <c r="C32" i="1269"/>
  <c r="C33" i="1269"/>
  <c r="C34" i="1269"/>
  <c r="C35" i="1269"/>
  <c r="C36" i="1269"/>
  <c r="C28" i="1269"/>
  <c r="C13" i="1269"/>
  <c r="C14" i="1269"/>
  <c r="C15" i="1269"/>
  <c r="C16" i="1269"/>
  <c r="C17" i="1269"/>
  <c r="C20" i="1269"/>
  <c r="C21" i="1269"/>
  <c r="C22" i="1269"/>
  <c r="C23" i="1269"/>
  <c r="C24" i="1269"/>
  <c r="C19" i="1269"/>
  <c r="C10" i="1269"/>
  <c r="C11" i="1269"/>
  <c r="C12" i="1269"/>
  <c r="C9" i="1269"/>
  <c r="A18" i="1326"/>
  <c r="A19" i="1326"/>
  <c r="A20" i="1326"/>
  <c r="A21" i="1326"/>
  <c r="A22" i="1326"/>
  <c r="A23" i="1326"/>
  <c r="A24" i="1326"/>
  <c r="A25" i="1326"/>
  <c r="A17" i="1326"/>
  <c r="A7" i="1326"/>
  <c r="A8" i="1326"/>
  <c r="A9" i="1326"/>
  <c r="A10" i="1326"/>
  <c r="A11" i="1326"/>
  <c r="A12" i="1326"/>
  <c r="A13" i="1326"/>
  <c r="A14" i="1326"/>
  <c r="A6" i="1326"/>
  <c r="L16" i="1320"/>
  <c r="C18" i="1271"/>
  <c r="C19" i="1271"/>
  <c r="C20" i="1271"/>
  <c r="C21" i="1271"/>
  <c r="C17" i="1271"/>
  <c r="C11" i="1271"/>
  <c r="C12" i="1271"/>
  <c r="C13" i="1271"/>
  <c r="C14" i="1271"/>
  <c r="C15" i="1271"/>
  <c r="C10" i="1271"/>
  <c r="C22" i="1321"/>
  <c r="C11" i="1321"/>
  <c r="C12" i="1321"/>
  <c r="C13" i="1321"/>
  <c r="C14" i="1321"/>
  <c r="C15" i="1321"/>
  <c r="C10" i="1321"/>
  <c r="H17" i="1271"/>
  <c r="I17" i="1271"/>
  <c r="J17" i="1271"/>
  <c r="K17" i="1271"/>
  <c r="L17" i="1271"/>
  <c r="M17" i="1271"/>
  <c r="N17" i="1271"/>
  <c r="O17" i="1271"/>
  <c r="P17" i="1271"/>
  <c r="Q17" i="1271"/>
  <c r="R17" i="1271"/>
  <c r="S17" i="1271"/>
  <c r="T17" i="1271"/>
  <c r="U17" i="1271"/>
  <c r="H18" i="1271"/>
  <c r="I18" i="1271"/>
  <c r="J18" i="1271"/>
  <c r="K18" i="1271"/>
  <c r="L18" i="1271"/>
  <c r="M18" i="1271"/>
  <c r="N18" i="1271"/>
  <c r="O18" i="1271"/>
  <c r="P18" i="1271"/>
  <c r="Q18" i="1271"/>
  <c r="R18" i="1271"/>
  <c r="S18" i="1271"/>
  <c r="T18" i="1271"/>
  <c r="U18" i="1271"/>
  <c r="H19" i="1271"/>
  <c r="I19" i="1271"/>
  <c r="J19" i="1271"/>
  <c r="K19" i="1271"/>
  <c r="L19" i="1271"/>
  <c r="M19" i="1271"/>
  <c r="N19" i="1271"/>
  <c r="O19" i="1271"/>
  <c r="P19" i="1271"/>
  <c r="Q19" i="1271"/>
  <c r="R19" i="1271"/>
  <c r="S19" i="1271"/>
  <c r="T19" i="1271"/>
  <c r="U19" i="1271"/>
  <c r="H20" i="1271"/>
  <c r="J20" i="1271"/>
  <c r="K20" i="1271"/>
  <c r="L20" i="1271"/>
  <c r="M20" i="1271"/>
  <c r="N20" i="1271"/>
  <c r="O20" i="1271"/>
  <c r="P20" i="1271"/>
  <c r="Q20" i="1271"/>
  <c r="R20" i="1271"/>
  <c r="S20" i="1271"/>
  <c r="T20" i="1271"/>
  <c r="U20" i="1271"/>
  <c r="H21" i="1271"/>
  <c r="I21" i="1271"/>
  <c r="J21" i="1271"/>
  <c r="K21" i="1271"/>
  <c r="L21" i="1271"/>
  <c r="M21" i="1271"/>
  <c r="N21" i="1271"/>
  <c r="O21" i="1271"/>
  <c r="P21" i="1271"/>
  <c r="Q21" i="1271"/>
  <c r="R21" i="1271"/>
  <c r="S21" i="1271"/>
  <c r="T21" i="1271"/>
  <c r="U21" i="1271"/>
  <c r="H22" i="1271"/>
  <c r="I22" i="1271"/>
  <c r="J22" i="1271"/>
  <c r="K22" i="1271"/>
  <c r="L22" i="1271"/>
  <c r="M22" i="1271"/>
  <c r="N22" i="1271"/>
  <c r="O22" i="1271"/>
  <c r="P22" i="1271"/>
  <c r="Q22" i="1271"/>
  <c r="R22" i="1271"/>
  <c r="S22" i="1271"/>
  <c r="T22" i="1271"/>
  <c r="U22" i="1271"/>
  <c r="G19" i="1271"/>
  <c r="G18" i="1271"/>
  <c r="G20" i="1271"/>
  <c r="G21" i="1271"/>
  <c r="G22" i="1271"/>
  <c r="G17" i="1271"/>
  <c r="G11" i="1271"/>
  <c r="H10" i="1271"/>
  <c r="I10" i="1271"/>
  <c r="J10" i="1271"/>
  <c r="K10" i="1271"/>
  <c r="L10" i="1271"/>
  <c r="M10" i="1271"/>
  <c r="N10" i="1271"/>
  <c r="O10" i="1271"/>
  <c r="P10" i="1271"/>
  <c r="Q10" i="1271"/>
  <c r="R10" i="1271"/>
  <c r="S10" i="1271"/>
  <c r="T10" i="1271"/>
  <c r="U10" i="1271"/>
  <c r="H11" i="1271"/>
  <c r="I11" i="1271"/>
  <c r="J11" i="1271"/>
  <c r="K11" i="1271"/>
  <c r="L11" i="1271"/>
  <c r="M11" i="1271"/>
  <c r="N11" i="1271"/>
  <c r="O11" i="1271"/>
  <c r="P11" i="1271"/>
  <c r="Q11" i="1271"/>
  <c r="R11" i="1271"/>
  <c r="S11" i="1271"/>
  <c r="T11" i="1271"/>
  <c r="U11" i="1271"/>
  <c r="H12" i="1271"/>
  <c r="I12" i="1271"/>
  <c r="J12" i="1271"/>
  <c r="K12" i="1271"/>
  <c r="L12" i="1271"/>
  <c r="M12" i="1271"/>
  <c r="N12" i="1271"/>
  <c r="O12" i="1271"/>
  <c r="P12" i="1271"/>
  <c r="Q12" i="1271"/>
  <c r="R12" i="1271"/>
  <c r="S12" i="1271"/>
  <c r="T12" i="1271"/>
  <c r="U12" i="1271"/>
  <c r="H13" i="1271"/>
  <c r="I13" i="1271"/>
  <c r="J13" i="1271"/>
  <c r="K13" i="1271"/>
  <c r="L13" i="1271"/>
  <c r="M13" i="1271"/>
  <c r="N13" i="1271"/>
  <c r="O13" i="1271"/>
  <c r="P13" i="1271"/>
  <c r="Q13" i="1271"/>
  <c r="R13" i="1271"/>
  <c r="S13" i="1271"/>
  <c r="T13" i="1271"/>
  <c r="U13" i="1271"/>
  <c r="H14" i="1271"/>
  <c r="I14" i="1271"/>
  <c r="J14" i="1271"/>
  <c r="K14" i="1271"/>
  <c r="L14" i="1271"/>
  <c r="M14" i="1271"/>
  <c r="N14" i="1271"/>
  <c r="O14" i="1271"/>
  <c r="P14" i="1271"/>
  <c r="Q14" i="1271"/>
  <c r="R14" i="1271"/>
  <c r="S14" i="1271"/>
  <c r="T14" i="1271"/>
  <c r="U14" i="1271"/>
  <c r="H15" i="1271"/>
  <c r="I15" i="1271"/>
  <c r="J15" i="1271"/>
  <c r="K15" i="1271"/>
  <c r="L15" i="1271"/>
  <c r="M15" i="1271"/>
  <c r="N15" i="1271"/>
  <c r="O15" i="1271"/>
  <c r="P15" i="1271"/>
  <c r="Q15" i="1271"/>
  <c r="R15" i="1271"/>
  <c r="S15" i="1271"/>
  <c r="T15" i="1271"/>
  <c r="U15" i="1271"/>
  <c r="G13" i="1271"/>
  <c r="G12" i="1271"/>
  <c r="G14" i="1271"/>
  <c r="G15" i="1271"/>
  <c r="G27" i="1271"/>
  <c r="G10" i="1271"/>
  <c r="S10" i="1320"/>
  <c r="S11" i="1320"/>
  <c r="S12" i="1320"/>
  <c r="S13" i="1320"/>
  <c r="S14" i="1320"/>
  <c r="S15" i="1320"/>
  <c r="S19" i="1320"/>
  <c r="S20" i="1320"/>
  <c r="S21" i="1320"/>
  <c r="S22" i="1320"/>
  <c r="S23" i="1320"/>
  <c r="S24" i="1320"/>
  <c r="S25" i="1320"/>
  <c r="D6" i="1320"/>
  <c r="D16" i="1320"/>
  <c r="U12" i="1260"/>
  <c r="U13" i="1260"/>
  <c r="U14" i="1260"/>
  <c r="U15" i="1260"/>
  <c r="U18" i="1260"/>
  <c r="U19" i="1260"/>
  <c r="U20" i="1260"/>
  <c r="U21" i="1260"/>
  <c r="G16" i="1260"/>
  <c r="G14" i="1264" s="1"/>
  <c r="H16" i="1260"/>
  <c r="H14" i="1264" s="1"/>
  <c r="I16" i="1260"/>
  <c r="I14" i="1264" s="1"/>
  <c r="J16" i="1260"/>
  <c r="J14" i="1264" s="1"/>
  <c r="K16" i="1260"/>
  <c r="K14" i="1264" s="1"/>
  <c r="L16" i="1260"/>
  <c r="L14" i="1264" s="1"/>
  <c r="M16" i="1260"/>
  <c r="M14" i="1264" s="1"/>
  <c r="N16" i="1260"/>
  <c r="N14" i="1264" s="1"/>
  <c r="O16" i="1260"/>
  <c r="O14" i="1264" s="1"/>
  <c r="P16" i="1260"/>
  <c r="P14" i="1264" s="1"/>
  <c r="Q16" i="1260"/>
  <c r="Q14" i="1264" s="1"/>
  <c r="R16" i="1260"/>
  <c r="R14" i="1264" s="1"/>
  <c r="S16" i="1260"/>
  <c r="S14" i="1264" s="1"/>
  <c r="T16" i="1260"/>
  <c r="T14" i="1264" s="1"/>
  <c r="F16" i="1260"/>
  <c r="F14" i="1264" s="1"/>
  <c r="F16" i="1321"/>
  <c r="G16" i="1321"/>
  <c r="H16" i="1321"/>
  <c r="I16" i="1321"/>
  <c r="J16" i="1321"/>
  <c r="K16" i="1321"/>
  <c r="L16" i="1321"/>
  <c r="M16" i="1321"/>
  <c r="N16" i="1321"/>
  <c r="O16" i="1321"/>
  <c r="P16" i="1321"/>
  <c r="Q16" i="1321"/>
  <c r="R16" i="1321"/>
  <c r="S16" i="1321"/>
  <c r="E16" i="1321"/>
  <c r="F9" i="1260"/>
  <c r="T19" i="1321"/>
  <c r="T20" i="1321"/>
  <c r="T21" i="1321"/>
  <c r="T13" i="1321"/>
  <c r="T14" i="1321"/>
  <c r="T15" i="1321"/>
  <c r="D22" i="1312"/>
  <c r="D3" i="1311"/>
  <c r="E3" i="1311" s="1"/>
  <c r="I5" i="1312" l="1"/>
  <c r="G14" i="1328"/>
  <c r="V20" i="1271"/>
  <c r="V25" i="1269"/>
  <c r="V14" i="1271"/>
  <c r="T16" i="1321"/>
  <c r="V32" i="1269"/>
  <c r="V12" i="1271"/>
  <c r="V15" i="1269"/>
  <c r="V20" i="1269"/>
  <c r="V29" i="1269"/>
  <c r="V43" i="1269"/>
  <c r="V39" i="1269"/>
  <c r="V15" i="1271"/>
  <c r="V31" i="1269"/>
  <c r="V42" i="1269"/>
  <c r="V40" i="1269"/>
  <c r="V10" i="1269"/>
  <c r="V17" i="1269"/>
  <c r="V22" i="1269"/>
  <c r="V22" i="1271"/>
  <c r="V13" i="1269"/>
  <c r="V34" i="1269"/>
  <c r="V33" i="1269"/>
  <c r="V16" i="1269"/>
  <c r="V12" i="1269"/>
  <c r="V14" i="1269"/>
  <c r="V23" i="1269"/>
  <c r="V36" i="1269"/>
  <c r="V24" i="1269"/>
  <c r="V21" i="1269"/>
  <c r="V30" i="1269"/>
  <c r="V41" i="1269"/>
  <c r="V11" i="1269"/>
  <c r="V35" i="1269"/>
  <c r="G37" i="1269"/>
  <c r="V13" i="1271"/>
  <c r="V21" i="1271"/>
  <c r="V19" i="1271"/>
  <c r="G5" i="1321"/>
  <c r="H5" i="1321" s="1"/>
  <c r="I5" i="1321" s="1"/>
  <c r="J5" i="1321" s="1"/>
  <c r="K5" i="1321" s="1"/>
  <c r="L5" i="1321" s="1"/>
  <c r="M5" i="1321" s="1"/>
  <c r="N5" i="1321" s="1"/>
  <c r="O5" i="1321" s="1"/>
  <c r="P5" i="1321" s="1"/>
  <c r="Q5" i="1321" s="1"/>
  <c r="R5" i="1321" s="1"/>
  <c r="S5" i="1321" s="1"/>
  <c r="G5" i="1312"/>
  <c r="G7" i="1312"/>
  <c r="G10" i="1312"/>
  <c r="G11" i="1312"/>
  <c r="G13" i="1312"/>
  <c r="I14" i="1324" s="1"/>
  <c r="M5" i="1328"/>
  <c r="O5" i="1312"/>
  <c r="K5" i="1328"/>
  <c r="K5" i="1312" l="1"/>
  <c r="K16" i="1328"/>
  <c r="M5" i="1312"/>
  <c r="F5" i="1328"/>
  <c r="F12" i="1312"/>
  <c r="F9" i="1312"/>
  <c r="G14" i="1312"/>
  <c r="G12" i="1312"/>
  <c r="G9" i="1312"/>
  <c r="F7" i="1312"/>
  <c r="F13" i="1312"/>
  <c r="H14" i="1324" s="1"/>
  <c r="J14" i="1324" s="1"/>
  <c r="F11" i="1312"/>
  <c r="F10" i="1312"/>
  <c r="M3" i="1328"/>
  <c r="O3" i="1328" s="1"/>
  <c r="M3" i="1312"/>
  <c r="O3" i="1312" s="1"/>
  <c r="P6" i="1328"/>
  <c r="O6" i="1328"/>
  <c r="N6" i="1328"/>
  <c r="M6" i="1328"/>
  <c r="M17" i="1328" s="1"/>
  <c r="L6" i="1328"/>
  <c r="K17" i="1328"/>
  <c r="I6" i="1312"/>
  <c r="P6" i="1312" l="1"/>
  <c r="P16" i="1312" s="1"/>
  <c r="H27" i="1260" s="1"/>
  <c r="G11" i="1258" s="1"/>
  <c r="G24" i="1258" s="1"/>
  <c r="P16" i="1328"/>
  <c r="M16" i="1328"/>
  <c r="L6" i="1312"/>
  <c r="L16" i="1312" s="1"/>
  <c r="F27" i="1260" s="1"/>
  <c r="E11" i="1258" s="1"/>
  <c r="E24" i="1258" s="1"/>
  <c r="L16" i="1328"/>
  <c r="C8" i="1311" s="1"/>
  <c r="N6" i="1312"/>
  <c r="N16" i="1312" s="1"/>
  <c r="G27" i="1260" s="1"/>
  <c r="F11" i="1258" s="1"/>
  <c r="F24" i="1258" s="1"/>
  <c r="N16" i="1328"/>
  <c r="O17" i="1328"/>
  <c r="O16" i="1328"/>
  <c r="K16" i="1312"/>
  <c r="F26" i="1260" s="1"/>
  <c r="E10" i="1258" s="1"/>
  <c r="E23" i="1258" s="1"/>
  <c r="O6" i="1312"/>
  <c r="O16" i="1312" s="1"/>
  <c r="M6" i="1312"/>
  <c r="M16" i="1312" s="1"/>
  <c r="K6" i="1312"/>
  <c r="F6" i="1328"/>
  <c r="D8" i="1311"/>
  <c r="E8" i="1311"/>
  <c r="F5" i="1312"/>
  <c r="B8" i="1311"/>
  <c r="G6" i="1328"/>
  <c r="G16" i="1328" s="1"/>
  <c r="G8" i="1312"/>
  <c r="E9" i="1311"/>
  <c r="C9" i="1311"/>
  <c r="F8" i="1312"/>
  <c r="D9" i="1311"/>
  <c r="T24" i="1258" l="1"/>
  <c r="G25" i="1260"/>
  <c r="G26" i="1260"/>
  <c r="F10" i="1258" s="1"/>
  <c r="F23" i="1258" s="1"/>
  <c r="H26" i="1260"/>
  <c r="G10" i="1258" s="1"/>
  <c r="G23" i="1258" s="1"/>
  <c r="T23" i="1258" s="1"/>
  <c r="D9" i="1325" s="1"/>
  <c r="U27" i="1260"/>
  <c r="T11" i="1258" s="1"/>
  <c r="F25" i="1260"/>
  <c r="C7" i="1311"/>
  <c r="C10" i="1311" s="1"/>
  <c r="F11" i="1259" s="1"/>
  <c r="E7" i="1311"/>
  <c r="E10" i="1311" s="1"/>
  <c r="H11" i="1259" s="1"/>
  <c r="D7" i="1311"/>
  <c r="D10" i="1311" s="1"/>
  <c r="G11" i="1259" s="1"/>
  <c r="D15" i="1314"/>
  <c r="F18" i="1312"/>
  <c r="D5" i="1328"/>
  <c r="G6" i="1312"/>
  <c r="G16" i="1312" s="1"/>
  <c r="F6" i="1312"/>
  <c r="D6" i="1328"/>
  <c r="U26" i="1260" l="1"/>
  <c r="C9" i="1325" s="1"/>
  <c r="H25" i="1260"/>
  <c r="T10" i="1258"/>
  <c r="G9" i="1311"/>
  <c r="F10" i="1311"/>
  <c r="F8" i="1311"/>
  <c r="F7" i="1311"/>
  <c r="F9" i="1311"/>
  <c r="B9" i="1311"/>
  <c r="U22" i="1260" l="1"/>
  <c r="N9" i="1258"/>
  <c r="O9" i="1258"/>
  <c r="P9" i="1258"/>
  <c r="Q9" i="1258"/>
  <c r="R9" i="1258"/>
  <c r="S9" i="1258"/>
  <c r="F24" i="1266"/>
  <c r="H28" i="1260"/>
  <c r="G28" i="1260"/>
  <c r="D8" i="1312" l="1"/>
  <c r="B31" i="1326"/>
  <c r="S4" i="1260" l="1"/>
  <c r="T4" i="1260"/>
  <c r="S5" i="1260"/>
  <c r="T5" i="1260"/>
  <c r="S3" i="1265" l="1"/>
  <c r="S3" i="1264" s="1"/>
  <c r="Q3" i="1320" s="1"/>
  <c r="O3" i="1263" s="1"/>
  <c r="R3" i="1258"/>
  <c r="R3" i="1266"/>
  <c r="S3" i="1259" s="1"/>
  <c r="T3" i="1269"/>
  <c r="T3" i="1265"/>
  <c r="T3" i="1264" s="1"/>
  <c r="R3" i="1320" s="1"/>
  <c r="P3" i="1263" s="1"/>
  <c r="S3" i="1258"/>
  <c r="S3" i="1266"/>
  <c r="T3" i="1259" s="1"/>
  <c r="U3" i="1269"/>
  <c r="U5" i="1271"/>
  <c r="S4" i="1266"/>
  <c r="T4" i="1259" s="1"/>
  <c r="S4" i="1258"/>
  <c r="U4" i="1269"/>
  <c r="T4" i="1269"/>
  <c r="T5" i="1271"/>
  <c r="R4" i="1266"/>
  <c r="S4" i="1259" s="1"/>
  <c r="R4" i="1258"/>
  <c r="G57" i="1269"/>
  <c r="G58" i="1269" s="1"/>
  <c r="H57" i="1269"/>
  <c r="I57" i="1269"/>
  <c r="I58" i="1269" s="1"/>
  <c r="J57" i="1269"/>
  <c r="J58" i="1269" s="1"/>
  <c r="K57" i="1269"/>
  <c r="K58" i="1269" s="1"/>
  <c r="L57" i="1269"/>
  <c r="L58" i="1269" s="1"/>
  <c r="M57" i="1269"/>
  <c r="M58" i="1269" s="1"/>
  <c r="N57" i="1269"/>
  <c r="N58" i="1269" s="1"/>
  <c r="O57" i="1269"/>
  <c r="O58" i="1269" s="1"/>
  <c r="P57" i="1269"/>
  <c r="P58" i="1269" s="1"/>
  <c r="Q57" i="1269"/>
  <c r="Q58" i="1269" s="1"/>
  <c r="R57" i="1269"/>
  <c r="R58" i="1269" s="1"/>
  <c r="S57" i="1269"/>
  <c r="S58" i="1269" s="1"/>
  <c r="T57" i="1269"/>
  <c r="T58" i="1269" s="1"/>
  <c r="U57" i="1269"/>
  <c r="U58" i="1269" s="1"/>
  <c r="H58" i="1269"/>
  <c r="S7" i="1320"/>
  <c r="S8" i="1320"/>
  <c r="T12" i="1321" l="1"/>
  <c r="T17" i="1321"/>
  <c r="T10" i="1321"/>
  <c r="T11" i="1321"/>
  <c r="G24" i="1266" l="1"/>
  <c r="H24" i="1266"/>
  <c r="I24" i="1266"/>
  <c r="J24" i="1266"/>
  <c r="K24" i="1266"/>
  <c r="L24" i="1266"/>
  <c r="M24" i="1266"/>
  <c r="N24" i="1266"/>
  <c r="O24" i="1266"/>
  <c r="P24" i="1266"/>
  <c r="Q24" i="1266"/>
  <c r="R24" i="1266"/>
  <c r="S24" i="1266"/>
  <c r="E24" i="1266"/>
  <c r="G51" i="1269" s="1"/>
  <c r="S17" i="1320" l="1"/>
  <c r="S16" i="1266"/>
  <c r="S22" i="1266" s="1"/>
  <c r="K9" i="1269"/>
  <c r="L9" i="1269"/>
  <c r="M9" i="1269"/>
  <c r="N9" i="1269"/>
  <c r="O9" i="1269"/>
  <c r="P9" i="1269"/>
  <c r="Q9" i="1269"/>
  <c r="R9" i="1269"/>
  <c r="S9" i="1269"/>
  <c r="T9" i="1269"/>
  <c r="U9" i="1269"/>
  <c r="M19" i="1269"/>
  <c r="U19" i="1269"/>
  <c r="K28" i="1269"/>
  <c r="L28" i="1269"/>
  <c r="M28" i="1269"/>
  <c r="N28" i="1269"/>
  <c r="O28" i="1269"/>
  <c r="P28" i="1269"/>
  <c r="Q28" i="1269"/>
  <c r="R28" i="1269"/>
  <c r="S28" i="1269"/>
  <c r="T28" i="1269"/>
  <c r="U28" i="1269"/>
  <c r="P46" i="1269"/>
  <c r="P45" i="1269" s="1"/>
  <c r="Q46" i="1269"/>
  <c r="Q45" i="1269" s="1"/>
  <c r="R46" i="1269"/>
  <c r="R45" i="1269" s="1"/>
  <c r="S46" i="1269"/>
  <c r="S45" i="1269" s="1"/>
  <c r="T46" i="1269"/>
  <c r="T45" i="1269" s="1"/>
  <c r="U46" i="1269"/>
  <c r="U45" i="1269" s="1"/>
  <c r="K51" i="1269"/>
  <c r="L51" i="1269"/>
  <c r="M51" i="1269"/>
  <c r="N51" i="1269"/>
  <c r="O51" i="1269"/>
  <c r="P51" i="1269"/>
  <c r="Q51" i="1269"/>
  <c r="R51" i="1269"/>
  <c r="S51" i="1269"/>
  <c r="T51" i="1269"/>
  <c r="U51" i="1269"/>
  <c r="P6" i="1320"/>
  <c r="Q8" i="1266" s="1"/>
  <c r="R6" i="1265" s="1"/>
  <c r="Q6" i="1320"/>
  <c r="R8" i="1266" s="1"/>
  <c r="R6" i="1320"/>
  <c r="S8" i="1266" s="1"/>
  <c r="T6" i="1265" s="1"/>
  <c r="P16" i="1320"/>
  <c r="Q13" i="1266" s="1"/>
  <c r="Q16" i="1320"/>
  <c r="R13" i="1266" s="1"/>
  <c r="S9" i="1265" s="1"/>
  <c r="R16" i="1320"/>
  <c r="S13" i="1266" s="1"/>
  <c r="T9" i="1265" s="1"/>
  <c r="G19" i="1266"/>
  <c r="G23" i="1266" s="1"/>
  <c r="M7" i="1263"/>
  <c r="K19" i="1269"/>
  <c r="O19" i="1269"/>
  <c r="Q19" i="1269"/>
  <c r="S19" i="1269"/>
  <c r="G16" i="1271"/>
  <c r="I19" i="1269"/>
  <c r="T22" i="1321"/>
  <c r="I19" i="1266"/>
  <c r="I23" i="1266" s="1"/>
  <c r="E19" i="1266"/>
  <c r="E23" i="1266" s="1"/>
  <c r="L61" i="1269"/>
  <c r="O61" i="1269"/>
  <c r="H19" i="1269"/>
  <c r="J19" i="1269"/>
  <c r="H51" i="1269"/>
  <c r="I51" i="1269"/>
  <c r="J51" i="1269"/>
  <c r="H28" i="1269"/>
  <c r="I28" i="1269"/>
  <c r="J28" i="1269"/>
  <c r="H9" i="1269"/>
  <c r="I9" i="1269"/>
  <c r="J9" i="1269"/>
  <c r="D11" i="1263"/>
  <c r="E11" i="1263"/>
  <c r="F11" i="1263"/>
  <c r="G11" i="1263"/>
  <c r="H11" i="1263"/>
  <c r="I11" i="1263"/>
  <c r="J11" i="1263"/>
  <c r="K11" i="1263"/>
  <c r="L11" i="1263"/>
  <c r="M11" i="1263"/>
  <c r="N11" i="1263"/>
  <c r="O11" i="1263"/>
  <c r="P11" i="1263"/>
  <c r="B11" i="1263"/>
  <c r="F7" i="1263"/>
  <c r="J7" i="1263"/>
  <c r="E7" i="1263"/>
  <c r="D7" i="1263"/>
  <c r="H7" i="1263"/>
  <c r="L7" i="1263"/>
  <c r="P7" i="1263"/>
  <c r="F12" i="1258"/>
  <c r="G12" i="1264" s="1"/>
  <c r="G7" i="1259" s="1"/>
  <c r="H12" i="1258"/>
  <c r="K27" i="1271"/>
  <c r="O30" i="1260"/>
  <c r="P30" i="1260"/>
  <c r="Q30" i="1260"/>
  <c r="R30" i="1260"/>
  <c r="Q12" i="1258" s="1"/>
  <c r="R12" i="1264" s="1"/>
  <c r="R7" i="1259" s="1"/>
  <c r="S30" i="1260"/>
  <c r="T30" i="1260"/>
  <c r="D5" i="1312"/>
  <c r="B8" i="1263"/>
  <c r="C8" i="1325"/>
  <c r="G4" i="1260"/>
  <c r="H4" i="1260"/>
  <c r="I4" i="1260"/>
  <c r="J4" i="1260"/>
  <c r="K4" i="1260"/>
  <c r="L4" i="1260"/>
  <c r="M4" i="1260"/>
  <c r="N4" i="1260"/>
  <c r="O4" i="1260"/>
  <c r="P4" i="1260"/>
  <c r="Q4" i="1260"/>
  <c r="R4" i="1260"/>
  <c r="F4" i="1260"/>
  <c r="P18" i="1265"/>
  <c r="P39" i="1265" s="1"/>
  <c r="Q18" i="1265"/>
  <c r="R18" i="1265"/>
  <c r="R39" i="1265" s="1"/>
  <c r="S18" i="1265"/>
  <c r="T18" i="1265"/>
  <c r="T39" i="1265" s="1"/>
  <c r="L16" i="1266"/>
  <c r="L22" i="1266" s="1"/>
  <c r="M16" i="1266"/>
  <c r="M22" i="1266" s="1"/>
  <c r="N16" i="1266"/>
  <c r="N22" i="1266" s="1"/>
  <c r="O16" i="1266"/>
  <c r="O22" i="1266" s="1"/>
  <c r="P16" i="1266"/>
  <c r="P22" i="1266" s="1"/>
  <c r="Q16" i="1266"/>
  <c r="Q22" i="1266" s="1"/>
  <c r="R16" i="1266"/>
  <c r="R22" i="1266" s="1"/>
  <c r="M18" i="1258"/>
  <c r="N18" i="1258"/>
  <c r="N22" i="1258" s="1"/>
  <c r="O18" i="1258"/>
  <c r="O22" i="1258" s="1"/>
  <c r="P18" i="1258"/>
  <c r="P22" i="1258" s="1"/>
  <c r="Q18" i="1258"/>
  <c r="Q22" i="1258" s="1"/>
  <c r="R18" i="1258"/>
  <c r="R22" i="1258" s="1"/>
  <c r="S18" i="1258"/>
  <c r="S22" i="1258" s="1"/>
  <c r="G18" i="1258"/>
  <c r="H18" i="1258"/>
  <c r="I18" i="1258"/>
  <c r="J18" i="1258"/>
  <c r="K18" i="1258"/>
  <c r="L18" i="1258"/>
  <c r="Q25" i="1271"/>
  <c r="Q24" i="1271" s="1"/>
  <c r="R25" i="1271"/>
  <c r="R24" i="1271" s="1"/>
  <c r="S25" i="1271"/>
  <c r="S24" i="1271" s="1"/>
  <c r="T25" i="1271"/>
  <c r="T24" i="1271" s="1"/>
  <c r="U25" i="1271"/>
  <c r="U24" i="1271" s="1"/>
  <c r="S9" i="1320"/>
  <c r="S18" i="1320"/>
  <c r="N9" i="1321"/>
  <c r="K12" i="1263" s="1"/>
  <c r="O9" i="1321"/>
  <c r="L12" i="1263" s="1"/>
  <c r="P9" i="1321"/>
  <c r="M12" i="1263" s="1"/>
  <c r="Q9" i="1321"/>
  <c r="N12" i="1263" s="1"/>
  <c r="R9" i="1321"/>
  <c r="O12" i="1263" s="1"/>
  <c r="S9" i="1321"/>
  <c r="P12" i="1263" s="1"/>
  <c r="I8" i="1324"/>
  <c r="I11" i="1324"/>
  <c r="I12" i="1324"/>
  <c r="D13" i="1312"/>
  <c r="P14" i="1324" s="1"/>
  <c r="H9" i="1324"/>
  <c r="S9" i="1260"/>
  <c r="T9" i="1260"/>
  <c r="U47" i="1269"/>
  <c r="H5" i="1260"/>
  <c r="I5" i="1260"/>
  <c r="J5" i="1260"/>
  <c r="K5" i="1260"/>
  <c r="L5" i="1260"/>
  <c r="M5" i="1260"/>
  <c r="N5" i="1260"/>
  <c r="O5" i="1260"/>
  <c r="P5" i="1260"/>
  <c r="Q5" i="1260"/>
  <c r="R5" i="1260"/>
  <c r="G5" i="1260"/>
  <c r="F5" i="1260"/>
  <c r="G18" i="1265"/>
  <c r="G9" i="1269"/>
  <c r="E6" i="1320"/>
  <c r="F8" i="1266" s="1"/>
  <c r="G6" i="1265" s="1"/>
  <c r="F6" i="1320"/>
  <c r="G6" i="1320"/>
  <c r="H8" i="1266" s="1"/>
  <c r="I6" i="1265" s="1"/>
  <c r="H6" i="1320"/>
  <c r="I8" i="1266" s="1"/>
  <c r="J6" i="1265" s="1"/>
  <c r="I6" i="1320"/>
  <c r="J8" i="1266" s="1"/>
  <c r="J6" i="1320"/>
  <c r="K8" i="1266" s="1"/>
  <c r="L6" i="1265" s="1"/>
  <c r="K6" i="1320"/>
  <c r="L8" i="1266" s="1"/>
  <c r="L6" i="1320"/>
  <c r="M8" i="1266" s="1"/>
  <c r="N6" i="1265" s="1"/>
  <c r="M6" i="1320"/>
  <c r="N8" i="1266" s="1"/>
  <c r="N6" i="1320"/>
  <c r="O8" i="1266" s="1"/>
  <c r="P6" i="1265" s="1"/>
  <c r="O6" i="1320"/>
  <c r="P8" i="1266" s="1"/>
  <c r="E16" i="1320"/>
  <c r="F13" i="1266" s="1"/>
  <c r="G9" i="1265" s="1"/>
  <c r="F16" i="1320"/>
  <c r="G13" i="1266" s="1"/>
  <c r="H9" i="1265" s="1"/>
  <c r="G16" i="1320"/>
  <c r="H16" i="1320"/>
  <c r="I13" i="1266" s="1"/>
  <c r="I16" i="1320"/>
  <c r="J13" i="1266" s="1"/>
  <c r="K9" i="1265" s="1"/>
  <c r="J16" i="1320"/>
  <c r="K13" i="1266" s="1"/>
  <c r="K16" i="1320"/>
  <c r="L13" i="1266" s="1"/>
  <c r="M9" i="1265" s="1"/>
  <c r="M13" i="1266"/>
  <c r="M16" i="1320"/>
  <c r="N13" i="1266" s="1"/>
  <c r="O9" i="1265" s="1"/>
  <c r="N16" i="1320"/>
  <c r="O13" i="1266" s="1"/>
  <c r="O16" i="1320"/>
  <c r="P13" i="1266" s="1"/>
  <c r="Q9" i="1265" s="1"/>
  <c r="E13" i="1266"/>
  <c r="F9" i="1265" s="1"/>
  <c r="E8" i="1266"/>
  <c r="F6" i="1265" s="1"/>
  <c r="T18" i="1321"/>
  <c r="M9" i="1321"/>
  <c r="J12" i="1263" s="1"/>
  <c r="L9" i="1321"/>
  <c r="I12" i="1263" s="1"/>
  <c r="K9" i="1321"/>
  <c r="H12" i="1263" s="1"/>
  <c r="J9" i="1321"/>
  <c r="I9" i="1321"/>
  <c r="F12" i="1263" s="1"/>
  <c r="H9" i="1321"/>
  <c r="E12" i="1263" s="1"/>
  <c r="G9" i="1321"/>
  <c r="D12" i="1263" s="1"/>
  <c r="F9" i="1321"/>
  <c r="C12" i="1263" s="1"/>
  <c r="E9" i="1321"/>
  <c r="P47" i="1269"/>
  <c r="R47" i="1269"/>
  <c r="S47" i="1269"/>
  <c r="G9" i="1260"/>
  <c r="C8" i="1263" s="1"/>
  <c r="I9" i="1260"/>
  <c r="K9" i="1260"/>
  <c r="M9" i="1260"/>
  <c r="N9" i="1260"/>
  <c r="N32" i="1260" s="1"/>
  <c r="O9" i="1260"/>
  <c r="P9" i="1260"/>
  <c r="Q9" i="1260"/>
  <c r="R9" i="1260"/>
  <c r="F18" i="1258"/>
  <c r="H18" i="1265"/>
  <c r="H40" i="1265" s="1"/>
  <c r="I18" i="1265"/>
  <c r="BD20" i="1310"/>
  <c r="BC20" i="1310"/>
  <c r="BC16" i="1310"/>
  <c r="BD15" i="1310"/>
  <c r="BC15" i="1310"/>
  <c r="BB13" i="1310"/>
  <c r="BA13" i="1310"/>
  <c r="AZ13" i="1310"/>
  <c r="AY13" i="1310"/>
  <c r="AX13" i="1310"/>
  <c r="AW13" i="1310"/>
  <c r="AV13" i="1310"/>
  <c r="AU13" i="1310"/>
  <c r="AT13" i="1310"/>
  <c r="AS13" i="1310"/>
  <c r="AR13" i="1310"/>
  <c r="AQ13" i="1310"/>
  <c r="AP13" i="1310"/>
  <c r="AO13" i="1310"/>
  <c r="AN13" i="1310"/>
  <c r="AM13" i="1310"/>
  <c r="AL13" i="1310"/>
  <c r="AK13" i="1310"/>
  <c r="AJ13" i="1310"/>
  <c r="AI13" i="1310"/>
  <c r="AH13" i="1310"/>
  <c r="AG13" i="1310"/>
  <c r="AF13" i="1310"/>
  <c r="AE13" i="1310"/>
  <c r="AD13" i="1310"/>
  <c r="AC13" i="1310"/>
  <c r="AB13" i="1310"/>
  <c r="AA13" i="1310"/>
  <c r="Z13" i="1310"/>
  <c r="Y13" i="1310"/>
  <c r="X13" i="1310"/>
  <c r="W13" i="1310"/>
  <c r="V13" i="1310"/>
  <c r="U13" i="1310"/>
  <c r="T13" i="1310"/>
  <c r="S13" i="1310"/>
  <c r="R13" i="1310"/>
  <c r="Q13" i="1310"/>
  <c r="P13" i="1310"/>
  <c r="O13" i="1310"/>
  <c r="N13" i="1310"/>
  <c r="M13" i="1310"/>
  <c r="L13" i="1310"/>
  <c r="K13" i="1310"/>
  <c r="J13" i="1310"/>
  <c r="I13" i="1310"/>
  <c r="H13" i="1310"/>
  <c r="G13" i="1310"/>
  <c r="F13" i="1310"/>
  <c r="BC12" i="1310"/>
  <c r="BB12" i="1310"/>
  <c r="AY12" i="1310"/>
  <c r="AV12" i="1310"/>
  <c r="AS12" i="1310"/>
  <c r="AP12" i="1310"/>
  <c r="AM12" i="1310"/>
  <c r="AJ12" i="1310"/>
  <c r="AG12" i="1310"/>
  <c r="AD12" i="1310"/>
  <c r="AA12" i="1310"/>
  <c r="X12" i="1310"/>
  <c r="U12" i="1310"/>
  <c r="R12" i="1310"/>
  <c r="O12" i="1310"/>
  <c r="L12" i="1310"/>
  <c r="I12" i="1310"/>
  <c r="F12" i="1310"/>
  <c r="BC11" i="1310"/>
  <c r="BB11" i="1310"/>
  <c r="BB10" i="1310" s="1"/>
  <c r="AY11" i="1310"/>
  <c r="AV11" i="1310"/>
  <c r="AS11" i="1310"/>
  <c r="AP11" i="1310"/>
  <c r="AM11" i="1310"/>
  <c r="AM10" i="1310" s="1"/>
  <c r="AJ11" i="1310"/>
  <c r="AG11" i="1310"/>
  <c r="AG10" i="1310" s="1"/>
  <c r="AD11" i="1310"/>
  <c r="AA11" i="1310"/>
  <c r="AA10" i="1310" s="1"/>
  <c r="X11" i="1310"/>
  <c r="U11" i="1310"/>
  <c r="R11" i="1310"/>
  <c r="O11" i="1310"/>
  <c r="L11" i="1310"/>
  <c r="I11" i="1310"/>
  <c r="F11" i="1310"/>
  <c r="BC10" i="1310"/>
  <c r="BC9" i="1310"/>
  <c r="BB9" i="1310"/>
  <c r="AY9" i="1310"/>
  <c r="AV9" i="1310"/>
  <c r="AS9" i="1310"/>
  <c r="AP9" i="1310"/>
  <c r="AM9" i="1310"/>
  <c r="AJ9" i="1310"/>
  <c r="AG9" i="1310"/>
  <c r="AD9" i="1310"/>
  <c r="AA9" i="1310"/>
  <c r="X9" i="1310"/>
  <c r="U9" i="1310"/>
  <c r="R9" i="1310"/>
  <c r="O9" i="1310"/>
  <c r="L9" i="1310"/>
  <c r="I9" i="1310"/>
  <c r="F9" i="1310"/>
  <c r="BC8" i="1310"/>
  <c r="BB8" i="1310"/>
  <c r="AY8" i="1310"/>
  <c r="AY7" i="1310" s="1"/>
  <c r="AV8" i="1310"/>
  <c r="AV7" i="1310" s="1"/>
  <c r="AS8" i="1310"/>
  <c r="AS7" i="1310" s="1"/>
  <c r="AP8" i="1310"/>
  <c r="AM8" i="1310"/>
  <c r="AM7" i="1310" s="1"/>
  <c r="AM6" i="1310" s="1"/>
  <c r="AJ8" i="1310"/>
  <c r="AG8" i="1310"/>
  <c r="AG7" i="1310" s="1"/>
  <c r="AG6" i="1310" s="1"/>
  <c r="AD8" i="1310"/>
  <c r="AA8" i="1310"/>
  <c r="AA7" i="1310" s="1"/>
  <c r="X8" i="1310"/>
  <c r="U8" i="1310"/>
  <c r="U7" i="1310" s="1"/>
  <c r="R8" i="1310"/>
  <c r="O8" i="1310"/>
  <c r="O7" i="1310" s="1"/>
  <c r="L8" i="1310"/>
  <c r="I8" i="1310"/>
  <c r="I7" i="1310" s="1"/>
  <c r="F8" i="1310"/>
  <c r="BC7" i="1310"/>
  <c r="BA6" i="1310"/>
  <c r="AZ6" i="1310"/>
  <c r="AX6" i="1310"/>
  <c r="AW6" i="1310"/>
  <c r="AU6" i="1310"/>
  <c r="AT6" i="1310"/>
  <c r="AR6" i="1310"/>
  <c r="AQ6" i="1310"/>
  <c r="AO6" i="1310"/>
  <c r="AN6" i="1310"/>
  <c r="AL6" i="1310"/>
  <c r="AK6" i="1310"/>
  <c r="AI6" i="1310"/>
  <c r="AH6" i="1310"/>
  <c r="AF6" i="1310"/>
  <c r="AE6" i="1310"/>
  <c r="AC6" i="1310"/>
  <c r="AB6" i="1310"/>
  <c r="Z6" i="1310"/>
  <c r="Y6" i="1310"/>
  <c r="W6" i="1310"/>
  <c r="V6" i="1310"/>
  <c r="T6" i="1310"/>
  <c r="S6" i="1310"/>
  <c r="Q6" i="1310"/>
  <c r="P6" i="1310"/>
  <c r="N6" i="1310"/>
  <c r="M6" i="1310"/>
  <c r="K6" i="1310"/>
  <c r="J6" i="1310"/>
  <c r="H6" i="1310"/>
  <c r="BC6" i="1310" s="1"/>
  <c r="G6" i="1310"/>
  <c r="BD5" i="1310"/>
  <c r="BC5" i="1310"/>
  <c r="AV54" i="1309"/>
  <c r="AU54" i="1309"/>
  <c r="AU51" i="1309"/>
  <c r="AV50" i="1309"/>
  <c r="AV48" i="1309" s="1"/>
  <c r="AU50" i="1309"/>
  <c r="AU48" i="1309" s="1"/>
  <c r="AT48" i="1309"/>
  <c r="AS48" i="1309"/>
  <c r="AR48" i="1309"/>
  <c r="AQ48" i="1309"/>
  <c r="AP48" i="1309"/>
  <c r="AO48" i="1309"/>
  <c r="AN48" i="1309"/>
  <c r="AM48" i="1309"/>
  <c r="AL48" i="1309"/>
  <c r="AK48" i="1309"/>
  <c r="AJ48" i="1309"/>
  <c r="AI48" i="1309"/>
  <c r="AH48" i="1309"/>
  <c r="AG48" i="1309"/>
  <c r="AF48" i="1309"/>
  <c r="AE48" i="1309"/>
  <c r="AD48" i="1309"/>
  <c r="AC48" i="1309"/>
  <c r="AB48" i="1309"/>
  <c r="AA48" i="1309"/>
  <c r="Z48" i="1309"/>
  <c r="Y48" i="1309"/>
  <c r="X48" i="1309"/>
  <c r="W48" i="1309"/>
  <c r="V48" i="1309"/>
  <c r="U48" i="1309"/>
  <c r="T48" i="1309"/>
  <c r="S48" i="1309"/>
  <c r="R48" i="1309"/>
  <c r="Q48" i="1309"/>
  <c r="P48" i="1309"/>
  <c r="O48" i="1309"/>
  <c r="N48" i="1309"/>
  <c r="M48" i="1309"/>
  <c r="L48" i="1309"/>
  <c r="K48" i="1309"/>
  <c r="J48" i="1309"/>
  <c r="I48" i="1309"/>
  <c r="H48" i="1309"/>
  <c r="G48" i="1309"/>
  <c r="AU47" i="1309"/>
  <c r="AT47" i="1309"/>
  <c r="AQ47" i="1309"/>
  <c r="AN47" i="1309"/>
  <c r="AK47" i="1309"/>
  <c r="AH47" i="1309"/>
  <c r="AE47" i="1309"/>
  <c r="AB47" i="1309"/>
  <c r="Y47" i="1309"/>
  <c r="V47" i="1309"/>
  <c r="S47" i="1309"/>
  <c r="P47" i="1309"/>
  <c r="M47" i="1309"/>
  <c r="J47" i="1309"/>
  <c r="G47" i="1309"/>
  <c r="AU46" i="1309"/>
  <c r="AT46" i="1309"/>
  <c r="AQ46" i="1309"/>
  <c r="AN46" i="1309"/>
  <c r="AK46" i="1309"/>
  <c r="AH46" i="1309"/>
  <c r="AE46" i="1309"/>
  <c r="AB46" i="1309"/>
  <c r="Y46" i="1309"/>
  <c r="V46" i="1309"/>
  <c r="S46" i="1309"/>
  <c r="P46" i="1309"/>
  <c r="M46" i="1309"/>
  <c r="J46" i="1309"/>
  <c r="G46" i="1309"/>
  <c r="AU45" i="1309"/>
  <c r="AT45" i="1309"/>
  <c r="AQ45" i="1309"/>
  <c r="AN45" i="1309"/>
  <c r="AK45" i="1309"/>
  <c r="AH45" i="1309"/>
  <c r="AE45" i="1309"/>
  <c r="AB45" i="1309"/>
  <c r="Y45" i="1309"/>
  <c r="V45" i="1309"/>
  <c r="S45" i="1309"/>
  <c r="P45" i="1309"/>
  <c r="M45" i="1309"/>
  <c r="J45" i="1309"/>
  <c r="G45" i="1309"/>
  <c r="AU44" i="1309"/>
  <c r="AT44" i="1309"/>
  <c r="AQ44" i="1309"/>
  <c r="AN44" i="1309"/>
  <c r="AK44" i="1309"/>
  <c r="AH44" i="1309"/>
  <c r="AE44" i="1309"/>
  <c r="AB44" i="1309"/>
  <c r="Y44" i="1309"/>
  <c r="V44" i="1309"/>
  <c r="S44" i="1309"/>
  <c r="P44" i="1309"/>
  <c r="M44" i="1309"/>
  <c r="G44" i="1309"/>
  <c r="AU43" i="1309"/>
  <c r="AT43" i="1309"/>
  <c r="AQ43" i="1309"/>
  <c r="AN43" i="1309"/>
  <c r="AK43" i="1309"/>
  <c r="AH43" i="1309"/>
  <c r="AE43" i="1309"/>
  <c r="AB43" i="1309"/>
  <c r="Y43" i="1309"/>
  <c r="V43" i="1309"/>
  <c r="S43" i="1309"/>
  <c r="P43" i="1309"/>
  <c r="M43" i="1309"/>
  <c r="G43" i="1309"/>
  <c r="AU42" i="1309"/>
  <c r="AT42" i="1309"/>
  <c r="AQ42" i="1309"/>
  <c r="AN42" i="1309"/>
  <c r="AK42" i="1309"/>
  <c r="AH42" i="1309"/>
  <c r="AE42" i="1309"/>
  <c r="AB42" i="1309"/>
  <c r="Y42" i="1309"/>
  <c r="V42" i="1309"/>
  <c r="S42" i="1309"/>
  <c r="P42" i="1309"/>
  <c r="M42" i="1309"/>
  <c r="J42" i="1309"/>
  <c r="G42" i="1309"/>
  <c r="AU41" i="1309"/>
  <c r="AT41" i="1309"/>
  <c r="AQ41" i="1309"/>
  <c r="AN41" i="1309"/>
  <c r="AK41" i="1309"/>
  <c r="AH41" i="1309"/>
  <c r="AE41" i="1309"/>
  <c r="AB41" i="1309"/>
  <c r="Y41" i="1309"/>
  <c r="V41" i="1309"/>
  <c r="S41" i="1309"/>
  <c r="P41" i="1309"/>
  <c r="M41" i="1309"/>
  <c r="J41" i="1309"/>
  <c r="G41" i="1309"/>
  <c r="AU40" i="1309"/>
  <c r="AT40" i="1309"/>
  <c r="AQ40" i="1309"/>
  <c r="AN40" i="1309"/>
  <c r="AK40" i="1309"/>
  <c r="AH40" i="1309"/>
  <c r="AE40" i="1309"/>
  <c r="AB40" i="1309"/>
  <c r="Y40" i="1309"/>
  <c r="V40" i="1309"/>
  <c r="S40" i="1309"/>
  <c r="P40" i="1309"/>
  <c r="M40" i="1309"/>
  <c r="J40" i="1309"/>
  <c r="G40" i="1309"/>
  <c r="AU39" i="1309"/>
  <c r="AT39" i="1309"/>
  <c r="AQ39" i="1309"/>
  <c r="AN39" i="1309"/>
  <c r="AK39" i="1309"/>
  <c r="AH39" i="1309"/>
  <c r="AE39" i="1309"/>
  <c r="AB39" i="1309"/>
  <c r="Y39" i="1309"/>
  <c r="V39" i="1309"/>
  <c r="S39" i="1309"/>
  <c r="P39" i="1309"/>
  <c r="M39" i="1309"/>
  <c r="J39" i="1309"/>
  <c r="G39" i="1309"/>
  <c r="AU38" i="1309"/>
  <c r="AU37" i="1309"/>
  <c r="AT37" i="1309"/>
  <c r="AQ37" i="1309"/>
  <c r="AN37" i="1309"/>
  <c r="AK37" i="1309"/>
  <c r="AH37" i="1309"/>
  <c r="AB37" i="1309"/>
  <c r="Y37" i="1309"/>
  <c r="V37" i="1309"/>
  <c r="S37" i="1309"/>
  <c r="P37" i="1309"/>
  <c r="M37" i="1309"/>
  <c r="J37" i="1309"/>
  <c r="G37" i="1309"/>
  <c r="AU36" i="1309"/>
  <c r="AT36" i="1309"/>
  <c r="AQ36" i="1309"/>
  <c r="AN36" i="1309"/>
  <c r="AK36" i="1309"/>
  <c r="AH36" i="1309"/>
  <c r="AE36" i="1309"/>
  <c r="AB36" i="1309"/>
  <c r="Y36" i="1309"/>
  <c r="V36" i="1309"/>
  <c r="S36" i="1309"/>
  <c r="P36" i="1309"/>
  <c r="M36" i="1309"/>
  <c r="J36" i="1309"/>
  <c r="G36" i="1309"/>
  <c r="AU35" i="1309"/>
  <c r="AT35" i="1309"/>
  <c r="AQ35" i="1309"/>
  <c r="AN35" i="1309"/>
  <c r="AK35" i="1309"/>
  <c r="AH35" i="1309"/>
  <c r="AB35" i="1309"/>
  <c r="Y35" i="1309"/>
  <c r="V35" i="1309"/>
  <c r="S35" i="1309"/>
  <c r="P35" i="1309"/>
  <c r="M35" i="1309"/>
  <c r="J35" i="1309"/>
  <c r="G35" i="1309"/>
  <c r="AU34" i="1309"/>
  <c r="AT34" i="1309"/>
  <c r="AQ34" i="1309"/>
  <c r="AN34" i="1309"/>
  <c r="AK34" i="1309"/>
  <c r="AH34" i="1309"/>
  <c r="AE34" i="1309"/>
  <c r="AB34" i="1309"/>
  <c r="Y34" i="1309"/>
  <c r="V34" i="1309"/>
  <c r="S34" i="1309"/>
  <c r="P34" i="1309"/>
  <c r="M34" i="1309"/>
  <c r="J34" i="1309"/>
  <c r="G34" i="1309"/>
  <c r="AU33" i="1309"/>
  <c r="AT33" i="1309"/>
  <c r="AQ33" i="1309"/>
  <c r="AN33" i="1309"/>
  <c r="AK33" i="1309"/>
  <c r="AH33" i="1309"/>
  <c r="AE33" i="1309"/>
  <c r="AB33" i="1309"/>
  <c r="V33" i="1309"/>
  <c r="S33" i="1309"/>
  <c r="P33" i="1309"/>
  <c r="M33" i="1309"/>
  <c r="J33" i="1309"/>
  <c r="G33" i="1309"/>
  <c r="AT32" i="1309"/>
  <c r="AQ32" i="1309"/>
  <c r="AN32" i="1309"/>
  <c r="AN30" i="1309" s="1"/>
  <c r="AK32" i="1309"/>
  <c r="AH32" i="1309"/>
  <c r="AB32" i="1309"/>
  <c r="V32" i="1309"/>
  <c r="S32" i="1309"/>
  <c r="P32" i="1309"/>
  <c r="M32" i="1309"/>
  <c r="J32" i="1309"/>
  <c r="G32" i="1309"/>
  <c r="AV31" i="1309"/>
  <c r="AU31" i="1309"/>
  <c r="AU30" i="1309"/>
  <c r="AU29" i="1309"/>
  <c r="AH29" i="1309"/>
  <c r="AB29" i="1309"/>
  <c r="Y29" i="1309"/>
  <c r="V29" i="1309"/>
  <c r="S29" i="1309"/>
  <c r="P29" i="1309"/>
  <c r="M29" i="1309"/>
  <c r="J29" i="1309"/>
  <c r="G29" i="1309"/>
  <c r="AU28" i="1309"/>
  <c r="AE28" i="1309"/>
  <c r="AV28" i="1309" s="1"/>
  <c r="AU27" i="1309"/>
  <c r="AH27" i="1309"/>
  <c r="AE27" i="1309"/>
  <c r="AB27" i="1309"/>
  <c r="Y27" i="1309"/>
  <c r="V27" i="1309"/>
  <c r="S27" i="1309"/>
  <c r="P27" i="1309"/>
  <c r="M27" i="1309"/>
  <c r="J27" i="1309"/>
  <c r="G27" i="1309"/>
  <c r="AU26" i="1309"/>
  <c r="AH26" i="1309"/>
  <c r="AE26" i="1309"/>
  <c r="AB26" i="1309"/>
  <c r="Y26" i="1309"/>
  <c r="V26" i="1309"/>
  <c r="S26" i="1309"/>
  <c r="P26" i="1309"/>
  <c r="M26" i="1309"/>
  <c r="J26" i="1309"/>
  <c r="G26" i="1309"/>
  <c r="AU25" i="1309"/>
  <c r="AH25" i="1309"/>
  <c r="AE25" i="1309"/>
  <c r="AB25" i="1309"/>
  <c r="Y25" i="1309"/>
  <c r="V25" i="1309"/>
  <c r="S25" i="1309"/>
  <c r="P25" i="1309"/>
  <c r="M25" i="1309"/>
  <c r="J25" i="1309"/>
  <c r="G25" i="1309"/>
  <c r="AU24" i="1309"/>
  <c r="AH24" i="1309"/>
  <c r="AE24" i="1309"/>
  <c r="AB24" i="1309"/>
  <c r="Y24" i="1309"/>
  <c r="V24" i="1309"/>
  <c r="S24" i="1309"/>
  <c r="P24" i="1309"/>
  <c r="M24" i="1309"/>
  <c r="J24" i="1309"/>
  <c r="G24" i="1309"/>
  <c r="AU23" i="1309"/>
  <c r="AH23" i="1309"/>
  <c r="AE23" i="1309"/>
  <c r="AB23" i="1309"/>
  <c r="Y23" i="1309"/>
  <c r="V23" i="1309"/>
  <c r="S23" i="1309"/>
  <c r="P23" i="1309"/>
  <c r="M23" i="1309"/>
  <c r="J23" i="1309"/>
  <c r="G23" i="1309"/>
  <c r="AU22" i="1309"/>
  <c r="AH22" i="1309"/>
  <c r="AE22" i="1309"/>
  <c r="AB22" i="1309"/>
  <c r="Y22" i="1309"/>
  <c r="V22" i="1309"/>
  <c r="S22" i="1309"/>
  <c r="P22" i="1309"/>
  <c r="M22" i="1309"/>
  <c r="J22" i="1309"/>
  <c r="G22" i="1309"/>
  <c r="AU21" i="1309"/>
  <c r="AH21" i="1309"/>
  <c r="AE21" i="1309"/>
  <c r="AB21" i="1309"/>
  <c r="Y21" i="1309"/>
  <c r="V21" i="1309"/>
  <c r="S21" i="1309"/>
  <c r="P21" i="1309"/>
  <c r="M21" i="1309"/>
  <c r="J21" i="1309"/>
  <c r="G21" i="1309"/>
  <c r="AU20" i="1309"/>
  <c r="AT20" i="1309"/>
  <c r="AQ20" i="1309"/>
  <c r="AN20" i="1309"/>
  <c r="AK20" i="1309"/>
  <c r="AU19" i="1309"/>
  <c r="AT19" i="1309"/>
  <c r="AK19" i="1309"/>
  <c r="AH19" i="1309"/>
  <c r="AE19" i="1309"/>
  <c r="AB19" i="1309"/>
  <c r="Y19" i="1309"/>
  <c r="V19" i="1309"/>
  <c r="S19" i="1309"/>
  <c r="P19" i="1309"/>
  <c r="M19" i="1309"/>
  <c r="J19" i="1309"/>
  <c r="G19" i="1309"/>
  <c r="AU18" i="1309"/>
  <c r="AT18" i="1309"/>
  <c r="AK18" i="1309"/>
  <c r="AH18" i="1309"/>
  <c r="AE18" i="1309"/>
  <c r="AB18" i="1309"/>
  <c r="Y18" i="1309"/>
  <c r="V18" i="1309"/>
  <c r="S18" i="1309"/>
  <c r="P18" i="1309"/>
  <c r="M18" i="1309"/>
  <c r="J18" i="1309"/>
  <c r="G18" i="1309"/>
  <c r="AU17" i="1309"/>
  <c r="AT17" i="1309"/>
  <c r="AK17" i="1309"/>
  <c r="AE17" i="1309"/>
  <c r="Y17" i="1309"/>
  <c r="V17" i="1309"/>
  <c r="AU16" i="1309"/>
  <c r="AT16" i="1309"/>
  <c r="AK16" i="1309"/>
  <c r="AE16" i="1309"/>
  <c r="AB16" i="1309"/>
  <c r="Y16" i="1309"/>
  <c r="V16" i="1309"/>
  <c r="P16" i="1309"/>
  <c r="M16" i="1309"/>
  <c r="J16" i="1309"/>
  <c r="G16" i="1309"/>
  <c r="AU15" i="1309"/>
  <c r="AT15" i="1309"/>
  <c r="AK15" i="1309"/>
  <c r="AH15" i="1309"/>
  <c r="AE15" i="1309"/>
  <c r="S15" i="1309"/>
  <c r="M15" i="1309"/>
  <c r="G15" i="1309"/>
  <c r="AU14" i="1309"/>
  <c r="AT14" i="1309"/>
  <c r="AK14" i="1309"/>
  <c r="AE14" i="1309"/>
  <c r="AB14" i="1309"/>
  <c r="Y14" i="1309"/>
  <c r="V14" i="1309"/>
  <c r="S14" i="1309"/>
  <c r="P14" i="1309"/>
  <c r="M14" i="1309"/>
  <c r="J14" i="1309"/>
  <c r="G14" i="1309"/>
  <c r="AU13" i="1309"/>
  <c r="AT13" i="1309"/>
  <c r="AK13" i="1309"/>
  <c r="AH13" i="1309"/>
  <c r="AE13" i="1309"/>
  <c r="AB13" i="1309"/>
  <c r="Y13" i="1309"/>
  <c r="V13" i="1309"/>
  <c r="S13" i="1309"/>
  <c r="P13" i="1309"/>
  <c r="M13" i="1309"/>
  <c r="J13" i="1309"/>
  <c r="G13" i="1309"/>
  <c r="AU12" i="1309"/>
  <c r="AQ12" i="1309"/>
  <c r="AN12" i="1309"/>
  <c r="AU11" i="1309"/>
  <c r="AH11" i="1309"/>
  <c r="AE11" i="1309"/>
  <c r="AB11" i="1309"/>
  <c r="Y11" i="1309"/>
  <c r="V11" i="1309"/>
  <c r="S11" i="1309"/>
  <c r="P11" i="1309"/>
  <c r="M11" i="1309"/>
  <c r="J11" i="1309"/>
  <c r="G11" i="1309"/>
  <c r="AU10" i="1309"/>
  <c r="AH10" i="1309"/>
  <c r="AE10" i="1309"/>
  <c r="AB10" i="1309"/>
  <c r="Y10" i="1309"/>
  <c r="V10" i="1309"/>
  <c r="S10" i="1309"/>
  <c r="P10" i="1309"/>
  <c r="M10" i="1309"/>
  <c r="J10" i="1309"/>
  <c r="G10" i="1309"/>
  <c r="AU9" i="1309"/>
  <c r="AH9" i="1309"/>
  <c r="AE9" i="1309"/>
  <c r="AB9" i="1309"/>
  <c r="Y9" i="1309"/>
  <c r="V9" i="1309"/>
  <c r="S9" i="1309"/>
  <c r="P9" i="1309"/>
  <c r="M9" i="1309"/>
  <c r="J9" i="1309"/>
  <c r="G9" i="1309"/>
  <c r="AU8" i="1309"/>
  <c r="AH8" i="1309"/>
  <c r="AE8" i="1309"/>
  <c r="AB8" i="1309"/>
  <c r="Y8" i="1309"/>
  <c r="V8" i="1309"/>
  <c r="S8" i="1309"/>
  <c r="P8" i="1309"/>
  <c r="M8" i="1309"/>
  <c r="J8" i="1309"/>
  <c r="G8" i="1309"/>
  <c r="AU7" i="1309"/>
  <c r="AT7" i="1309"/>
  <c r="AQ7" i="1309"/>
  <c r="AN7" i="1309"/>
  <c r="AK7" i="1309"/>
  <c r="AU6" i="1309"/>
  <c r="AL6" i="1309"/>
  <c r="AV5" i="1309"/>
  <c r="AU5" i="1309"/>
  <c r="N54" i="1308"/>
  <c r="M54" i="1308"/>
  <c r="M51" i="1308"/>
  <c r="N50" i="1308"/>
  <c r="M50" i="1308"/>
  <c r="M48" i="1308" s="1"/>
  <c r="L48" i="1308"/>
  <c r="K48" i="1308"/>
  <c r="J48" i="1308"/>
  <c r="I48" i="1308"/>
  <c r="H48" i="1308"/>
  <c r="G48" i="1308"/>
  <c r="F48" i="1308"/>
  <c r="M47" i="1308"/>
  <c r="L47" i="1308"/>
  <c r="I47" i="1308"/>
  <c r="F47" i="1308"/>
  <c r="M46" i="1308"/>
  <c r="L46" i="1308"/>
  <c r="I46" i="1308"/>
  <c r="F46" i="1308"/>
  <c r="M45" i="1308"/>
  <c r="L45" i="1308"/>
  <c r="I45" i="1308"/>
  <c r="F45" i="1308"/>
  <c r="M44" i="1308"/>
  <c r="L44" i="1308"/>
  <c r="I44" i="1308"/>
  <c r="F44" i="1308"/>
  <c r="M43" i="1308"/>
  <c r="L43" i="1308"/>
  <c r="I43" i="1308"/>
  <c r="M42" i="1308"/>
  <c r="L42" i="1308"/>
  <c r="I42" i="1308"/>
  <c r="F42" i="1308"/>
  <c r="M41" i="1308"/>
  <c r="L41" i="1308"/>
  <c r="I41" i="1308"/>
  <c r="F41" i="1308"/>
  <c r="M40" i="1308"/>
  <c r="L40" i="1308"/>
  <c r="I40" i="1308"/>
  <c r="F40" i="1308"/>
  <c r="M39" i="1308"/>
  <c r="L39" i="1308"/>
  <c r="I39" i="1308"/>
  <c r="F39" i="1308"/>
  <c r="M38" i="1308"/>
  <c r="M37" i="1308"/>
  <c r="I37" i="1308"/>
  <c r="F37" i="1308"/>
  <c r="M36" i="1308"/>
  <c r="L36" i="1308"/>
  <c r="F36" i="1308"/>
  <c r="M35" i="1308"/>
  <c r="F35" i="1308"/>
  <c r="M34" i="1308"/>
  <c r="L34" i="1308"/>
  <c r="I34" i="1308"/>
  <c r="F34" i="1308"/>
  <c r="M33" i="1308"/>
  <c r="L33" i="1308"/>
  <c r="I33" i="1308"/>
  <c r="F33" i="1308"/>
  <c r="M32" i="1308"/>
  <c r="L32" i="1308"/>
  <c r="I32" i="1308"/>
  <c r="F32" i="1308"/>
  <c r="N31" i="1308"/>
  <c r="M31" i="1308"/>
  <c r="M30" i="1308"/>
  <c r="M29" i="1308"/>
  <c r="L29" i="1308"/>
  <c r="I29" i="1308"/>
  <c r="F29" i="1308"/>
  <c r="N28" i="1308"/>
  <c r="M28" i="1308"/>
  <c r="M27" i="1308"/>
  <c r="L27" i="1308"/>
  <c r="I27" i="1308"/>
  <c r="F27" i="1308"/>
  <c r="M26" i="1308"/>
  <c r="L26" i="1308"/>
  <c r="I26" i="1308"/>
  <c r="F26" i="1308"/>
  <c r="M25" i="1308"/>
  <c r="L25" i="1308"/>
  <c r="I25" i="1308"/>
  <c r="F25" i="1308"/>
  <c r="M24" i="1308"/>
  <c r="L24" i="1308"/>
  <c r="I24" i="1308"/>
  <c r="F24" i="1308"/>
  <c r="M23" i="1308"/>
  <c r="L23" i="1308"/>
  <c r="I23" i="1308"/>
  <c r="F23" i="1308"/>
  <c r="M22" i="1308"/>
  <c r="L22" i="1308"/>
  <c r="I22" i="1308"/>
  <c r="F22" i="1308"/>
  <c r="M21" i="1308"/>
  <c r="L21" i="1308"/>
  <c r="I21" i="1308"/>
  <c r="F21" i="1308"/>
  <c r="F20" i="1308" s="1"/>
  <c r="M20" i="1308"/>
  <c r="M19" i="1308"/>
  <c r="L19" i="1308"/>
  <c r="I19" i="1308"/>
  <c r="F19" i="1308"/>
  <c r="M18" i="1308"/>
  <c r="L18" i="1308"/>
  <c r="I18" i="1308"/>
  <c r="F18" i="1308"/>
  <c r="M17" i="1308"/>
  <c r="L17" i="1308"/>
  <c r="I17" i="1308"/>
  <c r="M16" i="1308"/>
  <c r="L16" i="1308"/>
  <c r="I16" i="1308"/>
  <c r="F16" i="1308"/>
  <c r="N15" i="1308"/>
  <c r="M15" i="1308"/>
  <c r="M14" i="1308"/>
  <c r="L14" i="1308"/>
  <c r="I14" i="1308"/>
  <c r="F14" i="1308"/>
  <c r="M13" i="1308"/>
  <c r="L13" i="1308"/>
  <c r="I13" i="1308"/>
  <c r="F13" i="1308"/>
  <c r="M12" i="1308"/>
  <c r="M11" i="1308"/>
  <c r="L11" i="1308"/>
  <c r="I11" i="1308"/>
  <c r="F11" i="1308"/>
  <c r="M10" i="1308"/>
  <c r="L10" i="1308"/>
  <c r="I10" i="1308"/>
  <c r="F10" i="1308"/>
  <c r="M9" i="1308"/>
  <c r="L9" i="1308"/>
  <c r="I9" i="1308"/>
  <c r="F9" i="1308"/>
  <c r="M8" i="1308"/>
  <c r="L8" i="1308"/>
  <c r="I8" i="1308"/>
  <c r="I7" i="1308" s="1"/>
  <c r="F8" i="1308"/>
  <c r="M7" i="1308"/>
  <c r="N5" i="1308"/>
  <c r="M5" i="1308"/>
  <c r="F18" i="1265"/>
  <c r="P25" i="1271"/>
  <c r="P24" i="1271" s="1"/>
  <c r="F19" i="1275"/>
  <c r="C19" i="1275"/>
  <c r="C10" i="1275"/>
  <c r="R78" i="1294"/>
  <c r="S78" i="1294" s="1"/>
  <c r="S79" i="1294" s="1"/>
  <c r="R73" i="1294"/>
  <c r="S73" i="1294" s="1"/>
  <c r="R69" i="1294"/>
  <c r="S69" i="1294" s="1"/>
  <c r="P78" i="1294"/>
  <c r="P73" i="1294"/>
  <c r="P69" i="1294"/>
  <c r="R64" i="1294"/>
  <c r="S64" i="1294" s="1"/>
  <c r="P64" i="1294"/>
  <c r="Q64" i="1294" s="1"/>
  <c r="R60" i="1294"/>
  <c r="S60" i="1294" s="1"/>
  <c r="P60" i="1294"/>
  <c r="Q60" i="1294" s="1"/>
  <c r="R56" i="1294"/>
  <c r="S56" i="1294" s="1"/>
  <c r="P56" i="1294"/>
  <c r="Q56" i="1294" s="1"/>
  <c r="R51" i="1294"/>
  <c r="S51" i="1294" s="1"/>
  <c r="P51" i="1294"/>
  <c r="R47" i="1294"/>
  <c r="S47" i="1294" s="1"/>
  <c r="P47" i="1294"/>
  <c r="Q47" i="1294" s="1"/>
  <c r="R43" i="1294"/>
  <c r="P43" i="1294"/>
  <c r="Q43" i="1294" s="1"/>
  <c r="R40" i="1294"/>
  <c r="S40" i="1294" s="1"/>
  <c r="P40" i="1294"/>
  <c r="Q40" i="1294" s="1"/>
  <c r="R34" i="1294"/>
  <c r="S34" i="1294" s="1"/>
  <c r="P34" i="1294"/>
  <c r="Q34" i="1294" s="1"/>
  <c r="R29" i="1294"/>
  <c r="S29" i="1294" s="1"/>
  <c r="P29" i="1294"/>
  <c r="Q29" i="1294" s="1"/>
  <c r="R24" i="1294"/>
  <c r="S24" i="1294" s="1"/>
  <c r="P24" i="1294"/>
  <c r="R19" i="1294"/>
  <c r="S19" i="1294" s="1"/>
  <c r="P19" i="1294"/>
  <c r="Q19" i="1294" s="1"/>
  <c r="R14" i="1294"/>
  <c r="S14" i="1294" s="1"/>
  <c r="P14" i="1294"/>
  <c r="Q14" i="1294" s="1"/>
  <c r="G8" i="1293"/>
  <c r="P15" i="1294" s="1"/>
  <c r="R9" i="1294"/>
  <c r="P9" i="1294"/>
  <c r="R4" i="1294"/>
  <c r="S4" i="1294" s="1"/>
  <c r="P5" i="1294"/>
  <c r="P4" i="1294"/>
  <c r="Q4" i="1294" s="1"/>
  <c r="W4" i="1293"/>
  <c r="O78" i="1294"/>
  <c r="Q78" i="1294" s="1"/>
  <c r="Q79" i="1294" s="1"/>
  <c r="O75" i="1294"/>
  <c r="O74" i="1294"/>
  <c r="O73" i="1294"/>
  <c r="Q73" i="1294" s="1"/>
  <c r="O70" i="1294"/>
  <c r="Q70" i="1294" s="1"/>
  <c r="O69" i="1294"/>
  <c r="Q69" i="1294" s="1"/>
  <c r="O66" i="1294"/>
  <c r="O65" i="1294"/>
  <c r="O61" i="1294"/>
  <c r="Q61" i="1294" s="1"/>
  <c r="Q62" i="1294" s="1"/>
  <c r="O57" i="1294"/>
  <c r="O53" i="1294"/>
  <c r="O52" i="1294"/>
  <c r="O51" i="1294"/>
  <c r="Q51" i="1294" s="1"/>
  <c r="O48" i="1294"/>
  <c r="O44" i="1294"/>
  <c r="Q44" i="1294" s="1"/>
  <c r="Q45" i="1294" s="1"/>
  <c r="O40" i="1294"/>
  <c r="O39" i="1294"/>
  <c r="Q39" i="1294" s="1"/>
  <c r="O36" i="1294"/>
  <c r="O35" i="1294"/>
  <c r="O30" i="1294"/>
  <c r="O26" i="1294"/>
  <c r="O25" i="1294"/>
  <c r="O20" i="1294"/>
  <c r="O16" i="1294"/>
  <c r="O15" i="1294"/>
  <c r="O11" i="1294"/>
  <c r="O10" i="1294"/>
  <c r="O9" i="1294"/>
  <c r="Q9" i="1294" s="1"/>
  <c r="O6" i="1294"/>
  <c r="O5" i="1294"/>
  <c r="W36" i="1293"/>
  <c r="G36" i="1293"/>
  <c r="W34" i="1293"/>
  <c r="R74" i="1294" s="1"/>
  <c r="G34" i="1293"/>
  <c r="W33" i="1293"/>
  <c r="G33" i="1293"/>
  <c r="W32" i="1293"/>
  <c r="G32" i="1293"/>
  <c r="W31" i="1293"/>
  <c r="G31" i="1293"/>
  <c r="W30" i="1293"/>
  <c r="G30" i="1293"/>
  <c r="W28" i="1293"/>
  <c r="G28" i="1293"/>
  <c r="W25" i="1293"/>
  <c r="G25" i="1293"/>
  <c r="W23" i="1293"/>
  <c r="G23" i="1293"/>
  <c r="W21" i="1293"/>
  <c r="G21" i="1293"/>
  <c r="W19" i="1293"/>
  <c r="G19" i="1293"/>
  <c r="W18" i="1293"/>
  <c r="G18" i="1293"/>
  <c r="W16" i="1293"/>
  <c r="G16" i="1293"/>
  <c r="W14" i="1293"/>
  <c r="G14" i="1293"/>
  <c r="W12" i="1293"/>
  <c r="G12" i="1293"/>
  <c r="W10" i="1293"/>
  <c r="G10" i="1293"/>
  <c r="W8" i="1293"/>
  <c r="W6" i="1293"/>
  <c r="G6" i="1293"/>
  <c r="G4" i="1293"/>
  <c r="AG55" i="1292"/>
  <c r="BD54" i="1292"/>
  <c r="BD53" i="1292"/>
  <c r="BB52" i="1292"/>
  <c r="AY52" i="1292"/>
  <c r="AV52" i="1292"/>
  <c r="AS52" i="1292"/>
  <c r="AP52" i="1292"/>
  <c r="AM52" i="1292"/>
  <c r="AJ52" i="1292"/>
  <c r="AD52" i="1292"/>
  <c r="AA52" i="1292"/>
  <c r="X52" i="1292"/>
  <c r="U52" i="1292"/>
  <c r="R52" i="1292"/>
  <c r="O52" i="1292"/>
  <c r="L52" i="1292"/>
  <c r="I52" i="1292"/>
  <c r="F52" i="1292"/>
  <c r="BC51" i="1292"/>
  <c r="BB51" i="1292"/>
  <c r="AY51" i="1292"/>
  <c r="AV51" i="1292"/>
  <c r="AS51" i="1292"/>
  <c r="AP51" i="1292"/>
  <c r="AM51" i="1292"/>
  <c r="AJ51" i="1292"/>
  <c r="AD51" i="1292"/>
  <c r="AA51" i="1292"/>
  <c r="X51" i="1292"/>
  <c r="U51" i="1292"/>
  <c r="R51" i="1292"/>
  <c r="O51" i="1292"/>
  <c r="L51" i="1292"/>
  <c r="I51" i="1292"/>
  <c r="F51" i="1292"/>
  <c r="BD51" i="1292" s="1"/>
  <c r="BC50" i="1292"/>
  <c r="BB50" i="1292"/>
  <c r="AY50" i="1292"/>
  <c r="AV50" i="1292"/>
  <c r="AS50" i="1292"/>
  <c r="AP50" i="1292"/>
  <c r="AM50" i="1292"/>
  <c r="AJ50" i="1292"/>
  <c r="AD50" i="1292"/>
  <c r="AA50" i="1292"/>
  <c r="X50" i="1292"/>
  <c r="U50" i="1292"/>
  <c r="R50" i="1292"/>
  <c r="O50" i="1292"/>
  <c r="L50" i="1292"/>
  <c r="F50" i="1292"/>
  <c r="BD49" i="1292"/>
  <c r="BC49" i="1292"/>
  <c r="BD48" i="1292"/>
  <c r="BC48" i="1292"/>
  <c r="BB47" i="1292"/>
  <c r="AY47" i="1292"/>
  <c r="AV47" i="1292"/>
  <c r="AS47" i="1292"/>
  <c r="AP47" i="1292"/>
  <c r="AM47" i="1292"/>
  <c r="AJ47" i="1292"/>
  <c r="AD47" i="1292"/>
  <c r="AA47" i="1292"/>
  <c r="X47" i="1292"/>
  <c r="U47" i="1292"/>
  <c r="R47" i="1292"/>
  <c r="O47" i="1292"/>
  <c r="L47" i="1292"/>
  <c r="I47" i="1292"/>
  <c r="F47" i="1292"/>
  <c r="BC46" i="1292"/>
  <c r="AY46" i="1292"/>
  <c r="AV46" i="1292"/>
  <c r="AS46" i="1292"/>
  <c r="AP46" i="1292"/>
  <c r="AM46" i="1292"/>
  <c r="AJ46" i="1292"/>
  <c r="AD46" i="1292"/>
  <c r="AA46" i="1292"/>
  <c r="X46" i="1292"/>
  <c r="U46" i="1292"/>
  <c r="R46" i="1292"/>
  <c r="O46" i="1292"/>
  <c r="L46" i="1292"/>
  <c r="I46" i="1292"/>
  <c r="F46" i="1292"/>
  <c r="BC45" i="1292"/>
  <c r="AY45" i="1292"/>
  <c r="AY44" i="1292" s="1"/>
  <c r="AV45" i="1292"/>
  <c r="AV44" i="1292" s="1"/>
  <c r="AS45" i="1292"/>
  <c r="AS44" i="1292" s="1"/>
  <c r="AP45" i="1292"/>
  <c r="AP44" i="1292" s="1"/>
  <c r="AM45" i="1292"/>
  <c r="AJ45" i="1292"/>
  <c r="AD45" i="1292"/>
  <c r="AD44" i="1292" s="1"/>
  <c r="AA45" i="1292"/>
  <c r="AA44" i="1292" s="1"/>
  <c r="X45" i="1292"/>
  <c r="U45" i="1292"/>
  <c r="U44" i="1292" s="1"/>
  <c r="R45" i="1292"/>
  <c r="R44" i="1292" s="1"/>
  <c r="O45" i="1292"/>
  <c r="O44" i="1292" s="1"/>
  <c r="L45" i="1292"/>
  <c r="L44" i="1292" s="1"/>
  <c r="I45" i="1292"/>
  <c r="I44" i="1292" s="1"/>
  <c r="F45" i="1292"/>
  <c r="BB44" i="1292"/>
  <c r="BC43" i="1292"/>
  <c r="BB43" i="1292"/>
  <c r="AY43" i="1292"/>
  <c r="AV43" i="1292"/>
  <c r="AS43" i="1292"/>
  <c r="AP43" i="1292"/>
  <c r="AM43" i="1292"/>
  <c r="AJ43" i="1292"/>
  <c r="AG43" i="1292"/>
  <c r="AD43" i="1292"/>
  <c r="AA43" i="1292"/>
  <c r="X43" i="1292"/>
  <c r="U43" i="1292"/>
  <c r="R43" i="1292"/>
  <c r="O43" i="1292"/>
  <c r="L43" i="1292"/>
  <c r="I43" i="1292"/>
  <c r="F43" i="1292"/>
  <c r="BC42" i="1292"/>
  <c r="BB42" i="1292"/>
  <c r="AY42" i="1292"/>
  <c r="AV42" i="1292"/>
  <c r="AS42" i="1292"/>
  <c r="AP42" i="1292"/>
  <c r="AM42" i="1292"/>
  <c r="AJ42" i="1292"/>
  <c r="AG42" i="1292"/>
  <c r="AD42" i="1292"/>
  <c r="AA42" i="1292"/>
  <c r="X42" i="1292"/>
  <c r="U42" i="1292"/>
  <c r="R42" i="1292"/>
  <c r="O42" i="1292"/>
  <c r="L42" i="1292"/>
  <c r="F42" i="1292"/>
  <c r="BC41" i="1292"/>
  <c r="BB41" i="1292"/>
  <c r="AY41" i="1292"/>
  <c r="AV41" i="1292"/>
  <c r="AS41" i="1292"/>
  <c r="AP41" i="1292"/>
  <c r="AJ41" i="1292"/>
  <c r="AG41" i="1292"/>
  <c r="AD41" i="1292"/>
  <c r="AA41" i="1292"/>
  <c r="X41" i="1292"/>
  <c r="U41" i="1292"/>
  <c r="R41" i="1292"/>
  <c r="O41" i="1292"/>
  <c r="BC40" i="1292"/>
  <c r="BB40" i="1292"/>
  <c r="AY40" i="1292"/>
  <c r="AV40" i="1292"/>
  <c r="AS40" i="1292"/>
  <c r="AP40" i="1292"/>
  <c r="AM40" i="1292"/>
  <c r="AJ40" i="1292"/>
  <c r="AG40" i="1292"/>
  <c r="AD40" i="1292"/>
  <c r="AA40" i="1292"/>
  <c r="X40" i="1292"/>
  <c r="U40" i="1292"/>
  <c r="R40" i="1292"/>
  <c r="O40" i="1292"/>
  <c r="L40" i="1292"/>
  <c r="I40" i="1292"/>
  <c r="F40" i="1292"/>
  <c r="BC39" i="1292"/>
  <c r="BB39" i="1292"/>
  <c r="AY39" i="1292"/>
  <c r="AV39" i="1292"/>
  <c r="AS39" i="1292"/>
  <c r="AP39" i="1292"/>
  <c r="AM39" i="1292"/>
  <c r="AJ39" i="1292"/>
  <c r="AG39" i="1292"/>
  <c r="AD39" i="1292"/>
  <c r="AA39" i="1292"/>
  <c r="X39" i="1292"/>
  <c r="U39" i="1292"/>
  <c r="R39" i="1292"/>
  <c r="O39" i="1292"/>
  <c r="L39" i="1292"/>
  <c r="I39" i="1292"/>
  <c r="F39" i="1292"/>
  <c r="BC38" i="1292"/>
  <c r="BB38" i="1292"/>
  <c r="AY38" i="1292"/>
  <c r="AV38" i="1292"/>
  <c r="AS38" i="1292"/>
  <c r="AP38" i="1292"/>
  <c r="AM38" i="1292"/>
  <c r="AJ38" i="1292"/>
  <c r="AG38" i="1292"/>
  <c r="AD38" i="1292"/>
  <c r="AA38" i="1292"/>
  <c r="X38" i="1292"/>
  <c r="U38" i="1292"/>
  <c r="R38" i="1292"/>
  <c r="O38" i="1292"/>
  <c r="L38" i="1292"/>
  <c r="I38" i="1292"/>
  <c r="F38" i="1292"/>
  <c r="BC37" i="1292"/>
  <c r="BB37" i="1292"/>
  <c r="AY37" i="1292"/>
  <c r="AV37" i="1292"/>
  <c r="AS37" i="1292"/>
  <c r="AP37" i="1292"/>
  <c r="AM37" i="1292"/>
  <c r="AJ37" i="1292"/>
  <c r="AG37" i="1292"/>
  <c r="AD37" i="1292"/>
  <c r="AA37" i="1292"/>
  <c r="X37" i="1292"/>
  <c r="U37" i="1292"/>
  <c r="R37" i="1292"/>
  <c r="O37" i="1292"/>
  <c r="L37" i="1292"/>
  <c r="I37" i="1292"/>
  <c r="F37" i="1292"/>
  <c r="BC35" i="1292"/>
  <c r="U35" i="1292"/>
  <c r="BC34" i="1292"/>
  <c r="BB34" i="1292"/>
  <c r="AY34" i="1292"/>
  <c r="AV34" i="1292"/>
  <c r="AS34" i="1292"/>
  <c r="AP34" i="1292"/>
  <c r="AM34" i="1292"/>
  <c r="AJ34" i="1292"/>
  <c r="AG34" i="1292"/>
  <c r="AD34" i="1292"/>
  <c r="AA34" i="1292"/>
  <c r="U34" i="1292"/>
  <c r="R34" i="1292"/>
  <c r="O34" i="1292"/>
  <c r="L34" i="1292"/>
  <c r="I34" i="1292"/>
  <c r="F34" i="1292"/>
  <c r="BC33" i="1292"/>
  <c r="BB33" i="1292"/>
  <c r="AY33" i="1292"/>
  <c r="AV33" i="1292"/>
  <c r="AS33" i="1292"/>
  <c r="AP33" i="1292"/>
  <c r="AM33" i="1292"/>
  <c r="AJ33" i="1292"/>
  <c r="AG33" i="1292"/>
  <c r="AD33" i="1292"/>
  <c r="AA33" i="1292"/>
  <c r="X33" i="1292"/>
  <c r="X29" i="1292" s="1"/>
  <c r="U33" i="1292"/>
  <c r="R33" i="1292"/>
  <c r="O33" i="1292"/>
  <c r="L33" i="1292"/>
  <c r="I33" i="1292"/>
  <c r="F33" i="1292"/>
  <c r="BC32" i="1292"/>
  <c r="BB32" i="1292"/>
  <c r="AY32" i="1292"/>
  <c r="AV32" i="1292"/>
  <c r="AS32" i="1292"/>
  <c r="AP32" i="1292"/>
  <c r="AM32" i="1292"/>
  <c r="AJ32" i="1292"/>
  <c r="AG32" i="1292"/>
  <c r="AD32" i="1292"/>
  <c r="AA32" i="1292"/>
  <c r="U32" i="1292"/>
  <c r="R32" i="1292"/>
  <c r="O32" i="1292"/>
  <c r="L32" i="1292"/>
  <c r="I32" i="1292"/>
  <c r="F32" i="1292"/>
  <c r="BB31" i="1292"/>
  <c r="AY31" i="1292"/>
  <c r="AV31" i="1292"/>
  <c r="AS31" i="1292"/>
  <c r="AP31" i="1292"/>
  <c r="AM31" i="1292"/>
  <c r="AJ31" i="1292"/>
  <c r="AD31" i="1292"/>
  <c r="AF31" i="1292" s="1"/>
  <c r="AA31" i="1292"/>
  <c r="U31" i="1292"/>
  <c r="R31" i="1292"/>
  <c r="O31" i="1292"/>
  <c r="L31" i="1292"/>
  <c r="I31" i="1292"/>
  <c r="F31" i="1292"/>
  <c r="BC30" i="1292"/>
  <c r="AG30" i="1292"/>
  <c r="BD30" i="1292" s="1"/>
  <c r="BC28" i="1292"/>
  <c r="BB28" i="1292"/>
  <c r="AY28" i="1292"/>
  <c r="AV28" i="1292"/>
  <c r="AS28" i="1292"/>
  <c r="AP28" i="1292"/>
  <c r="AM28" i="1292"/>
  <c r="AJ28" i="1292"/>
  <c r="AD28" i="1292"/>
  <c r="AA28" i="1292"/>
  <c r="X28" i="1292"/>
  <c r="U28" i="1292"/>
  <c r="R28" i="1292"/>
  <c r="O28" i="1292"/>
  <c r="L28" i="1292"/>
  <c r="I28" i="1292"/>
  <c r="F28" i="1292"/>
  <c r="BC27" i="1292"/>
  <c r="BB27" i="1292"/>
  <c r="AG27" i="1292"/>
  <c r="BC26" i="1292"/>
  <c r="AG26" i="1292"/>
  <c r="BD26" i="1292" s="1"/>
  <c r="BC25" i="1292"/>
  <c r="AJ25" i="1292"/>
  <c r="AG25" i="1292"/>
  <c r="R25" i="1292"/>
  <c r="BC24" i="1292"/>
  <c r="BB24" i="1292"/>
  <c r="AY24" i="1292"/>
  <c r="AV24" i="1292"/>
  <c r="AS24" i="1292"/>
  <c r="AP24" i="1292"/>
  <c r="AM24" i="1292"/>
  <c r="AG24" i="1292"/>
  <c r="AD24" i="1292"/>
  <c r="AA24" i="1292"/>
  <c r="X24" i="1292"/>
  <c r="U24" i="1292"/>
  <c r="O24" i="1292"/>
  <c r="L24" i="1292"/>
  <c r="I24" i="1292"/>
  <c r="F24" i="1292"/>
  <c r="BC23" i="1292"/>
  <c r="BB23" i="1292"/>
  <c r="AY23" i="1292"/>
  <c r="AV23" i="1292"/>
  <c r="AS23" i="1292"/>
  <c r="AP23" i="1292"/>
  <c r="AM23" i="1292"/>
  <c r="AJ23" i="1292"/>
  <c r="AG23" i="1292"/>
  <c r="AD23" i="1292"/>
  <c r="AA23" i="1292"/>
  <c r="X23" i="1292"/>
  <c r="U23" i="1292"/>
  <c r="R23" i="1292"/>
  <c r="O23" i="1292"/>
  <c r="L23" i="1292"/>
  <c r="I23" i="1292"/>
  <c r="F23" i="1292"/>
  <c r="BC22" i="1292"/>
  <c r="BB22" i="1292"/>
  <c r="AY22" i="1292"/>
  <c r="AV22" i="1292"/>
  <c r="AS22" i="1292"/>
  <c r="AP22" i="1292"/>
  <c r="AM22" i="1292"/>
  <c r="AJ22" i="1292"/>
  <c r="AG22" i="1292"/>
  <c r="AD22" i="1292"/>
  <c r="AA22" i="1292"/>
  <c r="X22" i="1292"/>
  <c r="U22" i="1292"/>
  <c r="R22" i="1292"/>
  <c r="O22" i="1292"/>
  <c r="L22" i="1292"/>
  <c r="I22" i="1292"/>
  <c r="F22" i="1292"/>
  <c r="BC21" i="1292"/>
  <c r="BB21" i="1292"/>
  <c r="AY21" i="1292"/>
  <c r="AV21" i="1292"/>
  <c r="AS21" i="1292"/>
  <c r="AP21" i="1292"/>
  <c r="AM21" i="1292"/>
  <c r="AJ21" i="1292"/>
  <c r="AG21" i="1292"/>
  <c r="AD21" i="1292"/>
  <c r="AA21" i="1292"/>
  <c r="X21" i="1292"/>
  <c r="U21" i="1292"/>
  <c r="R21" i="1292"/>
  <c r="O21" i="1292"/>
  <c r="L21" i="1292"/>
  <c r="I21" i="1292"/>
  <c r="F21" i="1292"/>
  <c r="BC20" i="1292"/>
  <c r="BB20" i="1292"/>
  <c r="AY20" i="1292"/>
  <c r="AY19" i="1292" s="1"/>
  <c r="AV20" i="1292"/>
  <c r="AV19" i="1292" s="1"/>
  <c r="AS20" i="1292"/>
  <c r="AS19" i="1292" s="1"/>
  <c r="AP20" i="1292"/>
  <c r="AP19" i="1292" s="1"/>
  <c r="AM20" i="1292"/>
  <c r="AJ20" i="1292"/>
  <c r="AJ19" i="1292" s="1"/>
  <c r="AG20" i="1292"/>
  <c r="AD20" i="1292"/>
  <c r="AA20" i="1292"/>
  <c r="X20" i="1292"/>
  <c r="U20" i="1292"/>
  <c r="R20" i="1292"/>
  <c r="O20" i="1292"/>
  <c r="L20" i="1292"/>
  <c r="I20" i="1292"/>
  <c r="F20" i="1292"/>
  <c r="BC18" i="1292"/>
  <c r="BB18" i="1292"/>
  <c r="AY18" i="1292"/>
  <c r="AV18" i="1292"/>
  <c r="AS18" i="1292"/>
  <c r="AP18" i="1292"/>
  <c r="AM18" i="1292"/>
  <c r="AJ18" i="1292"/>
  <c r="AG18" i="1292"/>
  <c r="AD18" i="1292"/>
  <c r="AA18" i="1292"/>
  <c r="X18" i="1292"/>
  <c r="U18" i="1292"/>
  <c r="R18" i="1292"/>
  <c r="O18" i="1292"/>
  <c r="L18" i="1292"/>
  <c r="I18" i="1292"/>
  <c r="F18" i="1292"/>
  <c r="BC17" i="1292"/>
  <c r="BB17" i="1292"/>
  <c r="AY17" i="1292"/>
  <c r="AV17" i="1292"/>
  <c r="AS17" i="1292"/>
  <c r="AP17" i="1292"/>
  <c r="AM17" i="1292"/>
  <c r="AJ17" i="1292"/>
  <c r="AG17" i="1292"/>
  <c r="AD17" i="1292"/>
  <c r="AA17" i="1292"/>
  <c r="X17" i="1292"/>
  <c r="U17" i="1292"/>
  <c r="R17" i="1292"/>
  <c r="O17" i="1292"/>
  <c r="L17" i="1292"/>
  <c r="I17" i="1292"/>
  <c r="F17" i="1292"/>
  <c r="BC16" i="1292"/>
  <c r="BB16" i="1292"/>
  <c r="AY16" i="1292"/>
  <c r="AV16" i="1292"/>
  <c r="AS16" i="1292"/>
  <c r="AP16" i="1292"/>
  <c r="AG16" i="1292"/>
  <c r="X16" i="1292"/>
  <c r="U16" i="1292"/>
  <c r="BC15" i="1292"/>
  <c r="BB15" i="1292"/>
  <c r="AY15" i="1292"/>
  <c r="AS15" i="1292"/>
  <c r="AP15" i="1292"/>
  <c r="AM15" i="1292"/>
  <c r="AG15" i="1292"/>
  <c r="AD15" i="1292"/>
  <c r="AA15" i="1292"/>
  <c r="X15" i="1292"/>
  <c r="U15" i="1292"/>
  <c r="O15" i="1292"/>
  <c r="L15" i="1292"/>
  <c r="I15" i="1292"/>
  <c r="F15" i="1292"/>
  <c r="BC14" i="1292"/>
  <c r="AJ14" i="1292"/>
  <c r="AG14" i="1292"/>
  <c r="R14" i="1292"/>
  <c r="L14" i="1292"/>
  <c r="F14" i="1292"/>
  <c r="AG13" i="1292"/>
  <c r="F13" i="1292"/>
  <c r="BC12" i="1292"/>
  <c r="BB12" i="1292"/>
  <c r="AY12" i="1292"/>
  <c r="AV12" i="1292"/>
  <c r="AV11" i="1292" s="1"/>
  <c r="AS12" i="1292"/>
  <c r="AS11" i="1292" s="1"/>
  <c r="AP12" i="1292"/>
  <c r="AM12" i="1292"/>
  <c r="AM11" i="1292" s="1"/>
  <c r="AJ12" i="1292"/>
  <c r="AJ11" i="1292" s="1"/>
  <c r="AG12" i="1292"/>
  <c r="AD12" i="1292"/>
  <c r="AA12" i="1292"/>
  <c r="X12" i="1292"/>
  <c r="U12" i="1292"/>
  <c r="R12" i="1292"/>
  <c r="O12" i="1292"/>
  <c r="L12" i="1292"/>
  <c r="I12" i="1292"/>
  <c r="I11" i="1292" s="1"/>
  <c r="F12" i="1292"/>
  <c r="F11" i="1292" s="1"/>
  <c r="BC10" i="1292"/>
  <c r="BB10" i="1292"/>
  <c r="AY10" i="1292"/>
  <c r="AV10" i="1292"/>
  <c r="AS10" i="1292"/>
  <c r="AP10" i="1292"/>
  <c r="AM10" i="1292"/>
  <c r="AJ10" i="1292"/>
  <c r="AD10" i="1292"/>
  <c r="AA10" i="1292"/>
  <c r="X10" i="1292"/>
  <c r="U10" i="1292"/>
  <c r="R10" i="1292"/>
  <c r="O10" i="1292"/>
  <c r="L10" i="1292"/>
  <c r="I10" i="1292"/>
  <c r="F10" i="1292"/>
  <c r="BC9" i="1292"/>
  <c r="BB9" i="1292"/>
  <c r="AY9" i="1292"/>
  <c r="AV9" i="1292"/>
  <c r="AS9" i="1292"/>
  <c r="AP9" i="1292"/>
  <c r="AM9" i="1292"/>
  <c r="AJ9" i="1292"/>
  <c r="AD9" i="1292"/>
  <c r="AA9" i="1292"/>
  <c r="X9" i="1292"/>
  <c r="U9" i="1292"/>
  <c r="R9" i="1292"/>
  <c r="O9" i="1292"/>
  <c r="L9" i="1292"/>
  <c r="I9" i="1292"/>
  <c r="F9" i="1292"/>
  <c r="BC8" i="1292"/>
  <c r="BB8" i="1292"/>
  <c r="AY8" i="1292"/>
  <c r="AV8" i="1292"/>
  <c r="AS8" i="1292"/>
  <c r="AP8" i="1292"/>
  <c r="AM8" i="1292"/>
  <c r="AJ8" i="1292"/>
  <c r="AD8" i="1292"/>
  <c r="AA8" i="1292"/>
  <c r="X8" i="1292"/>
  <c r="U8" i="1292"/>
  <c r="R8" i="1292"/>
  <c r="O8" i="1292"/>
  <c r="L8" i="1292"/>
  <c r="I8" i="1292"/>
  <c r="F8" i="1292"/>
  <c r="BD5" i="1292"/>
  <c r="BC5" i="1292"/>
  <c r="L26" i="1286"/>
  <c r="L8" i="1286" s="1"/>
  <c r="J26" i="1286"/>
  <c r="H26" i="1286"/>
  <c r="H8" i="1286" s="1"/>
  <c r="G26" i="1286"/>
  <c r="F26" i="1286"/>
  <c r="D26" i="1286"/>
  <c r="D8" i="1286" s="1"/>
  <c r="C26" i="1286"/>
  <c r="C8" i="1286" s="1"/>
  <c r="B26" i="1286"/>
  <c r="K25" i="1286"/>
  <c r="I25" i="1286"/>
  <c r="E25" i="1286"/>
  <c r="K24" i="1286"/>
  <c r="I24" i="1286"/>
  <c r="E24" i="1286"/>
  <c r="K23" i="1286"/>
  <c r="I23" i="1286"/>
  <c r="E23" i="1286"/>
  <c r="K22" i="1286"/>
  <c r="I22" i="1286"/>
  <c r="E22" i="1286"/>
  <c r="K21" i="1286"/>
  <c r="I21" i="1286"/>
  <c r="E21" i="1286"/>
  <c r="K20" i="1286"/>
  <c r="I20" i="1286"/>
  <c r="E20" i="1286"/>
  <c r="K19" i="1286"/>
  <c r="I19" i="1286"/>
  <c r="E19" i="1286"/>
  <c r="K18" i="1286"/>
  <c r="I18" i="1286"/>
  <c r="E18" i="1286"/>
  <c r="K17" i="1286"/>
  <c r="I17" i="1286"/>
  <c r="E17" i="1286"/>
  <c r="K16" i="1286"/>
  <c r="I16" i="1286"/>
  <c r="E16" i="1286"/>
  <c r="K15" i="1286"/>
  <c r="I15" i="1286"/>
  <c r="E15" i="1286"/>
  <c r="K14" i="1286"/>
  <c r="I14" i="1286"/>
  <c r="E14" i="1286"/>
  <c r="K13" i="1286"/>
  <c r="I13" i="1286"/>
  <c r="E13" i="1286"/>
  <c r="K12" i="1286"/>
  <c r="I12" i="1286"/>
  <c r="E12" i="1286"/>
  <c r="K11" i="1286"/>
  <c r="I11" i="1286"/>
  <c r="E11" i="1286"/>
  <c r="K10" i="1286"/>
  <c r="I10" i="1286"/>
  <c r="E10" i="1286"/>
  <c r="K9" i="1286"/>
  <c r="I9" i="1286"/>
  <c r="E9" i="1286"/>
  <c r="C3" i="1272"/>
  <c r="E47" i="1285"/>
  <c r="F47" i="1285" s="1"/>
  <c r="F48" i="1285"/>
  <c r="E49" i="1285"/>
  <c r="F49" i="1285" s="1"/>
  <c r="E50" i="1285"/>
  <c r="F50" i="1285" s="1"/>
  <c r="F51" i="1285"/>
  <c r="F52" i="1285"/>
  <c r="F53" i="1285"/>
  <c r="E54" i="1285"/>
  <c r="F54" i="1285" s="1"/>
  <c r="E55" i="1285"/>
  <c r="F55" i="1285" s="1"/>
  <c r="F56" i="1285"/>
  <c r="F57" i="1285"/>
  <c r="E58" i="1285"/>
  <c r="F58" i="1285" s="1"/>
  <c r="E59" i="1285"/>
  <c r="F59" i="1285" s="1"/>
  <c r="F60" i="1285"/>
  <c r="E61" i="1285"/>
  <c r="F61" i="1285" s="1"/>
  <c r="F62" i="1285"/>
  <c r="F63" i="1285"/>
  <c r="F64" i="1285"/>
  <c r="F69" i="1285"/>
  <c r="F70" i="1285"/>
  <c r="T34" i="1284"/>
  <c r="U34" i="1284" s="1"/>
  <c r="C36" i="1284"/>
  <c r="D36" i="1284"/>
  <c r="E36" i="1284"/>
  <c r="C37" i="1284"/>
  <c r="D37" i="1284"/>
  <c r="D39" i="1284" s="1"/>
  <c r="E37" i="1284"/>
  <c r="S37" i="1284"/>
  <c r="H3" i="1283"/>
  <c r="H5" i="1283"/>
  <c r="H7" i="1283"/>
  <c r="H9" i="1283"/>
  <c r="H11" i="1283"/>
  <c r="H13" i="1283"/>
  <c r="H15" i="1283"/>
  <c r="H17" i="1283"/>
  <c r="H19" i="1283"/>
  <c r="H21" i="1283"/>
  <c r="H23" i="1283"/>
  <c r="H25" i="1283"/>
  <c r="H27" i="1283"/>
  <c r="H29" i="1283"/>
  <c r="H31" i="1283"/>
  <c r="H33" i="1283"/>
  <c r="H35" i="1283"/>
  <c r="H37" i="1283"/>
  <c r="H39" i="1283"/>
  <c r="H41" i="1283"/>
  <c r="H43" i="1283"/>
  <c r="H45" i="1283"/>
  <c r="H47" i="1283"/>
  <c r="H49" i="1283"/>
  <c r="E52" i="1283"/>
  <c r="F52" i="1283"/>
  <c r="E53" i="1283"/>
  <c r="E54" i="1283"/>
  <c r="F54" i="1283"/>
  <c r="C4" i="1282"/>
  <c r="E4" i="1282"/>
  <c r="L4" i="1282"/>
  <c r="N4" i="1282"/>
  <c r="P4" i="1282" s="1"/>
  <c r="Q4" i="1282" s="1"/>
  <c r="Q21" i="1282" s="1"/>
  <c r="C5" i="1282"/>
  <c r="E5" i="1282"/>
  <c r="L5" i="1282"/>
  <c r="N5" i="1282"/>
  <c r="P5" i="1282" s="1"/>
  <c r="Q5" i="1282" s="1"/>
  <c r="C6" i="1282"/>
  <c r="E6" i="1282"/>
  <c r="L6" i="1282"/>
  <c r="N6" i="1282"/>
  <c r="P6" i="1282" s="1"/>
  <c r="Q6" i="1282" s="1"/>
  <c r="C7" i="1282"/>
  <c r="E7" i="1282"/>
  <c r="L7" i="1282"/>
  <c r="N7" i="1282"/>
  <c r="P7" i="1282" s="1"/>
  <c r="Q7" i="1282" s="1"/>
  <c r="C8" i="1282"/>
  <c r="E8" i="1282"/>
  <c r="L8" i="1282"/>
  <c r="N8" i="1282"/>
  <c r="P8" i="1282" s="1"/>
  <c r="Q8" i="1282" s="1"/>
  <c r="C9" i="1282"/>
  <c r="E9" i="1282"/>
  <c r="L9" i="1282"/>
  <c r="M9" i="1282"/>
  <c r="N9" i="1282"/>
  <c r="P9" i="1282" s="1"/>
  <c r="Q9" i="1282" s="1"/>
  <c r="C10" i="1282"/>
  <c r="E10" i="1282"/>
  <c r="L10" i="1282"/>
  <c r="M10" i="1282"/>
  <c r="N10" i="1282"/>
  <c r="P10" i="1282" s="1"/>
  <c r="Q10" i="1282" s="1"/>
  <c r="C11" i="1282"/>
  <c r="E11" i="1282"/>
  <c r="L11" i="1282"/>
  <c r="M11" i="1282"/>
  <c r="N11" i="1282"/>
  <c r="P11" i="1282" s="1"/>
  <c r="Q11" i="1282" s="1"/>
  <c r="C12" i="1282"/>
  <c r="E12" i="1282"/>
  <c r="L12" i="1282"/>
  <c r="N12" i="1282"/>
  <c r="P12" i="1282" s="1"/>
  <c r="Q12" i="1282" s="1"/>
  <c r="C13" i="1282"/>
  <c r="E13" i="1282"/>
  <c r="L13" i="1282"/>
  <c r="N13" i="1282"/>
  <c r="P13" i="1282" s="1"/>
  <c r="Q13" i="1282" s="1"/>
  <c r="C14" i="1282"/>
  <c r="E14" i="1282"/>
  <c r="L14" i="1282"/>
  <c r="M14" i="1282"/>
  <c r="N14" i="1282"/>
  <c r="P14" i="1282" s="1"/>
  <c r="Q14" i="1282" s="1"/>
  <c r="C15" i="1282"/>
  <c r="E15" i="1282"/>
  <c r="L15" i="1282"/>
  <c r="M15" i="1282"/>
  <c r="C16" i="1282"/>
  <c r="E16" i="1282"/>
  <c r="L16" i="1282"/>
  <c r="C17" i="1282"/>
  <c r="E17" i="1282"/>
  <c r="L17" i="1282"/>
  <c r="C18" i="1282"/>
  <c r="E18" i="1282"/>
  <c r="L18" i="1282"/>
  <c r="M18" i="1282"/>
  <c r="C19" i="1282"/>
  <c r="E19" i="1282"/>
  <c r="L19" i="1282"/>
  <c r="M19" i="1282"/>
  <c r="C20" i="1282"/>
  <c r="E20" i="1282"/>
  <c r="L20" i="1282"/>
  <c r="M20" i="1282"/>
  <c r="D21" i="1282"/>
  <c r="D22" i="1282" s="1"/>
  <c r="J21" i="1282"/>
  <c r="K21" i="1282"/>
  <c r="G34" i="1275"/>
  <c r="G35" i="1275"/>
  <c r="G36" i="1275"/>
  <c r="G37" i="1275"/>
  <c r="B38" i="1275"/>
  <c r="C38" i="1275"/>
  <c r="D38" i="1275"/>
  <c r="E38" i="1275"/>
  <c r="F38" i="1275"/>
  <c r="B51" i="1275"/>
  <c r="C51" i="1275"/>
  <c r="D51" i="1275"/>
  <c r="E51" i="1275"/>
  <c r="F51" i="1275"/>
  <c r="B52" i="1275"/>
  <c r="C52" i="1275"/>
  <c r="D52" i="1275"/>
  <c r="E52" i="1275"/>
  <c r="F52" i="1275"/>
  <c r="B53" i="1275"/>
  <c r="C53" i="1275"/>
  <c r="D53" i="1275"/>
  <c r="E53" i="1275"/>
  <c r="F53" i="1275"/>
  <c r="B54" i="1275"/>
  <c r="C54" i="1275"/>
  <c r="D54" i="1275"/>
  <c r="E54" i="1275"/>
  <c r="F54" i="1275"/>
  <c r="F63" i="1275"/>
  <c r="H28" i="1275" s="1"/>
  <c r="B67" i="1275"/>
  <c r="C67" i="1275"/>
  <c r="D67" i="1275"/>
  <c r="E67" i="1275"/>
  <c r="G67" i="1275" s="1"/>
  <c r="F67" i="1275"/>
  <c r="I67" i="1275"/>
  <c r="B68" i="1275"/>
  <c r="C68" i="1275"/>
  <c r="D68" i="1275"/>
  <c r="E68" i="1275"/>
  <c r="F68" i="1275"/>
  <c r="I68" i="1275"/>
  <c r="B69" i="1275"/>
  <c r="C69" i="1275"/>
  <c r="D69" i="1275"/>
  <c r="E69" i="1275"/>
  <c r="F69" i="1275"/>
  <c r="I69" i="1275"/>
  <c r="B70" i="1275"/>
  <c r="C70" i="1275"/>
  <c r="D70" i="1275"/>
  <c r="E70" i="1275"/>
  <c r="G70" i="1275" s="1"/>
  <c r="F70" i="1275"/>
  <c r="I70" i="1275"/>
  <c r="C50" i="1269"/>
  <c r="C12" i="1265"/>
  <c r="C11" i="1265"/>
  <c r="C10" i="1265"/>
  <c r="C9" i="1265"/>
  <c r="C8" i="1265"/>
  <c r="C7" i="1265"/>
  <c r="C49" i="1269"/>
  <c r="C47" i="1269"/>
  <c r="C45" i="1269"/>
  <c r="C35" i="1259"/>
  <c r="E18" i="1258"/>
  <c r="H16" i="1259"/>
  <c r="I16" i="1259" s="1"/>
  <c r="J16" i="1259" s="1"/>
  <c r="K16" i="1259" s="1"/>
  <c r="L16" i="1259" s="1"/>
  <c r="M16" i="1259" s="1"/>
  <c r="E7" i="1272"/>
  <c r="U9" i="1264"/>
  <c r="T24" i="1266"/>
  <c r="I26" i="1286"/>
  <c r="I8" i="1286" s="1"/>
  <c r="U11" i="1260"/>
  <c r="I11" i="1283"/>
  <c r="BD35" i="1292"/>
  <c r="N22" i="1308"/>
  <c r="N9" i="1308"/>
  <c r="BD8" i="1292"/>
  <c r="X44" i="1292"/>
  <c r="BD46" i="1292"/>
  <c r="AV47" i="1309"/>
  <c r="I5" i="1283"/>
  <c r="I17" i="1283"/>
  <c r="I25" i="1283"/>
  <c r="I27" i="1283"/>
  <c r="I39" i="1283"/>
  <c r="AJ44" i="1292"/>
  <c r="AV41" i="1309"/>
  <c r="O10" i="1310"/>
  <c r="O6" i="1310" s="1"/>
  <c r="O16" i="1310" s="1"/>
  <c r="L20" i="1308"/>
  <c r="T32" i="1284"/>
  <c r="T30" i="1284" s="1"/>
  <c r="BD38" i="1292"/>
  <c r="AV40" i="1309"/>
  <c r="AG16" i="1310"/>
  <c r="F7" i="1310"/>
  <c r="G30" i="1259"/>
  <c r="J18" i="1265"/>
  <c r="J39" i="1265" s="1"/>
  <c r="G12" i="1309"/>
  <c r="AM16" i="1310"/>
  <c r="BC31" i="1292"/>
  <c r="AM19" i="1292"/>
  <c r="N32" i="1308"/>
  <c r="AE20" i="1309"/>
  <c r="Q74" i="1294"/>
  <c r="AH12" i="1309"/>
  <c r="K18" i="1265"/>
  <c r="AG31" i="1292"/>
  <c r="BD8" i="1310"/>
  <c r="AM44" i="1292"/>
  <c r="BD28" i="1292"/>
  <c r="N16" i="1308"/>
  <c r="AD32" i="1309"/>
  <c r="AB20" i="1309"/>
  <c r="BB7" i="1310"/>
  <c r="BB6" i="1310" s="1"/>
  <c r="BB16" i="1310" s="1"/>
  <c r="X7" i="1310"/>
  <c r="AY10" i="1310"/>
  <c r="Y12" i="1309"/>
  <c r="L18" i="1265"/>
  <c r="M18" i="1265"/>
  <c r="N18" i="1265"/>
  <c r="O18" i="1265"/>
  <c r="O34" i="1271"/>
  <c r="O36" i="1271" s="1"/>
  <c r="BD21" i="1292"/>
  <c r="BD10" i="1292"/>
  <c r="J20" i="1309"/>
  <c r="U31" i="1260"/>
  <c r="R5" i="1294"/>
  <c r="I45" i="1283"/>
  <c r="I13" i="1283"/>
  <c r="I35" i="1283"/>
  <c r="I49" i="1283"/>
  <c r="I31" i="1283"/>
  <c r="I9" i="1283"/>
  <c r="I23" i="1283"/>
  <c r="I47" i="1283"/>
  <c r="I21" i="1283"/>
  <c r="I41" i="1283"/>
  <c r="I19" i="1283"/>
  <c r="I37" i="1283"/>
  <c r="I7" i="1283"/>
  <c r="I33" i="1283"/>
  <c r="I43" i="1283"/>
  <c r="I3" i="1283"/>
  <c r="O11" i="1292"/>
  <c r="AS29" i="1292"/>
  <c r="AA36" i="1292"/>
  <c r="AK38" i="1309"/>
  <c r="AS10" i="1310"/>
  <c r="AS6" i="1310" s="1"/>
  <c r="AS16" i="1310" s="1"/>
  <c r="BD12" i="1310"/>
  <c r="N61" i="1269"/>
  <c r="G61" i="1269"/>
  <c r="V61" i="1269" s="1"/>
  <c r="F17" i="1259"/>
  <c r="G34" i="1271"/>
  <c r="T34" i="1271"/>
  <c r="T36" i="1271" s="1"/>
  <c r="R34" i="1271"/>
  <c r="H34" i="1271"/>
  <c r="S12" i="1258" l="1"/>
  <c r="S11" i="1266" s="1"/>
  <c r="T32" i="1260"/>
  <c r="M8" i="1263"/>
  <c r="M16" i="1263" s="1"/>
  <c r="Q32" i="1260"/>
  <c r="K8" i="1263"/>
  <c r="K16" i="1263" s="1"/>
  <c r="O32" i="1260"/>
  <c r="I8" i="1263"/>
  <c r="I16" i="1263" s="1"/>
  <c r="E8" i="1263"/>
  <c r="E16" i="1263" s="1"/>
  <c r="H6" i="1258" s="1"/>
  <c r="O8" i="1263"/>
  <c r="O16" i="1263" s="1"/>
  <c r="S32" i="1260"/>
  <c r="N8" i="1263"/>
  <c r="N16" i="1263" s="1"/>
  <c r="R32" i="1260"/>
  <c r="L8" i="1263"/>
  <c r="L16" i="1263" s="1"/>
  <c r="P32" i="1260"/>
  <c r="G8" i="1263"/>
  <c r="P8" i="1263"/>
  <c r="P16" i="1263" s="1"/>
  <c r="S6" i="1258" s="1"/>
  <c r="N24" i="1265"/>
  <c r="N23" i="1265"/>
  <c r="N26" i="1265"/>
  <c r="N28" i="1265"/>
  <c r="N25" i="1265"/>
  <c r="N27" i="1265"/>
  <c r="N38" i="1265"/>
  <c r="N36" i="1265"/>
  <c r="N35" i="1265"/>
  <c r="N37" i="1265"/>
  <c r="L24" i="1265"/>
  <c r="L23" i="1265"/>
  <c r="L26" i="1265"/>
  <c r="L28" i="1265"/>
  <c r="L25" i="1265"/>
  <c r="L27" i="1265"/>
  <c r="L36" i="1265"/>
  <c r="L35" i="1265"/>
  <c r="L37" i="1265"/>
  <c r="L38" i="1265"/>
  <c r="K37" i="1265"/>
  <c r="K23" i="1265"/>
  <c r="K35" i="1265"/>
  <c r="K24" i="1265"/>
  <c r="K25" i="1265"/>
  <c r="K27" i="1265"/>
  <c r="K26" i="1265"/>
  <c r="K28" i="1265"/>
  <c r="K38" i="1265"/>
  <c r="K36" i="1265"/>
  <c r="F25" i="1265"/>
  <c r="F23" i="1265"/>
  <c r="F26" i="1265"/>
  <c r="F28" i="1265"/>
  <c r="F24" i="1265"/>
  <c r="F27" i="1265"/>
  <c r="F38" i="1265"/>
  <c r="F35" i="1265"/>
  <c r="F37" i="1265"/>
  <c r="F36" i="1265"/>
  <c r="I36" i="1265"/>
  <c r="I23" i="1265"/>
  <c r="I38" i="1265"/>
  <c r="I24" i="1265"/>
  <c r="I25" i="1265"/>
  <c r="I27" i="1265"/>
  <c r="I26" i="1265"/>
  <c r="I28" i="1265"/>
  <c r="I37" i="1265"/>
  <c r="I35" i="1265"/>
  <c r="F31" i="1265"/>
  <c r="G35" i="1265"/>
  <c r="G23" i="1265"/>
  <c r="G37" i="1265"/>
  <c r="G24" i="1265"/>
  <c r="G25" i="1265"/>
  <c r="G27" i="1265"/>
  <c r="G26" i="1265"/>
  <c r="G28" i="1265"/>
  <c r="G36" i="1265"/>
  <c r="G38" i="1265"/>
  <c r="S37" i="1265"/>
  <c r="S23" i="1265"/>
  <c r="S35" i="1265"/>
  <c r="S24" i="1265"/>
  <c r="S25" i="1265"/>
  <c r="S27" i="1265"/>
  <c r="S26" i="1265"/>
  <c r="S28" i="1265"/>
  <c r="S38" i="1265"/>
  <c r="S36" i="1265"/>
  <c r="Q36" i="1265"/>
  <c r="Q23" i="1265"/>
  <c r="Q38" i="1265"/>
  <c r="Q24" i="1265"/>
  <c r="Q25" i="1265"/>
  <c r="Q27" i="1265"/>
  <c r="Q26" i="1265"/>
  <c r="Q28" i="1265"/>
  <c r="Q37" i="1265"/>
  <c r="Q35" i="1265"/>
  <c r="F39" i="1265"/>
  <c r="I39" i="1265"/>
  <c r="G39" i="1265"/>
  <c r="T40" i="1265"/>
  <c r="R40" i="1265"/>
  <c r="P40" i="1265"/>
  <c r="N40" i="1265"/>
  <c r="L40" i="1265"/>
  <c r="J40" i="1265"/>
  <c r="N39" i="1265"/>
  <c r="L39" i="1265"/>
  <c r="O35" i="1265"/>
  <c r="O23" i="1265"/>
  <c r="O37" i="1265"/>
  <c r="O24" i="1265"/>
  <c r="O25" i="1265"/>
  <c r="O27" i="1265"/>
  <c r="O26" i="1265"/>
  <c r="O28" i="1265"/>
  <c r="O36" i="1265"/>
  <c r="O38" i="1265"/>
  <c r="M38" i="1265"/>
  <c r="M23" i="1265"/>
  <c r="M36" i="1265"/>
  <c r="M24" i="1265"/>
  <c r="M25" i="1265"/>
  <c r="M27" i="1265"/>
  <c r="M26" i="1265"/>
  <c r="M28" i="1265"/>
  <c r="M35" i="1265"/>
  <c r="M37" i="1265"/>
  <c r="J24" i="1265"/>
  <c r="J23" i="1265"/>
  <c r="J26" i="1265"/>
  <c r="J28" i="1265"/>
  <c r="J25" i="1265"/>
  <c r="J27" i="1265"/>
  <c r="J38" i="1265"/>
  <c r="J36" i="1265"/>
  <c r="J35" i="1265"/>
  <c r="J37" i="1265"/>
  <c r="H24" i="1265"/>
  <c r="H23" i="1265"/>
  <c r="H26" i="1265"/>
  <c r="H28" i="1265"/>
  <c r="H25" i="1265"/>
  <c r="H27" i="1265"/>
  <c r="H36" i="1265"/>
  <c r="H35" i="1265"/>
  <c r="H37" i="1265"/>
  <c r="H38" i="1265"/>
  <c r="N19" i="1265"/>
  <c r="T24" i="1265"/>
  <c r="T23" i="1265"/>
  <c r="T26" i="1265"/>
  <c r="T28" i="1265"/>
  <c r="T25" i="1265"/>
  <c r="T27" i="1265"/>
  <c r="T36" i="1265"/>
  <c r="T35" i="1265"/>
  <c r="T37" i="1265"/>
  <c r="T38" i="1265"/>
  <c r="R24" i="1265"/>
  <c r="R23" i="1265"/>
  <c r="R26" i="1265"/>
  <c r="R28" i="1265"/>
  <c r="R25" i="1265"/>
  <c r="R27" i="1265"/>
  <c r="R38" i="1265"/>
  <c r="R36" i="1265"/>
  <c r="R35" i="1265"/>
  <c r="R37" i="1265"/>
  <c r="P24" i="1265"/>
  <c r="P23" i="1265"/>
  <c r="P26" i="1265"/>
  <c r="P28" i="1265"/>
  <c r="P25" i="1265"/>
  <c r="P27" i="1265"/>
  <c r="P36" i="1265"/>
  <c r="P35" i="1265"/>
  <c r="P37" i="1265"/>
  <c r="P38" i="1265"/>
  <c r="F40" i="1265"/>
  <c r="F34" i="1265"/>
  <c r="I40" i="1265"/>
  <c r="G40" i="1265"/>
  <c r="H39" i="1265"/>
  <c r="S40" i="1265"/>
  <c r="Q40" i="1265"/>
  <c r="O40" i="1265"/>
  <c r="M40" i="1265"/>
  <c r="K40" i="1265"/>
  <c r="S39" i="1265"/>
  <c r="Q39" i="1265"/>
  <c r="O39" i="1265"/>
  <c r="M39" i="1265"/>
  <c r="K39" i="1265"/>
  <c r="J8" i="1263"/>
  <c r="J16" i="1263" s="1"/>
  <c r="H11" i="1266"/>
  <c r="I12" i="1264"/>
  <c r="I7" i="1259" s="1"/>
  <c r="F3" i="1265"/>
  <c r="F3" i="1264" s="1"/>
  <c r="D3" i="1320" s="1"/>
  <c r="B3" i="1263" s="1"/>
  <c r="E3" i="1258"/>
  <c r="E3" i="1266"/>
  <c r="F3" i="1259" s="1"/>
  <c r="G3" i="1269"/>
  <c r="Q3" i="1265"/>
  <c r="Q3" i="1264" s="1"/>
  <c r="O3" i="1320" s="1"/>
  <c r="M3" i="1263" s="1"/>
  <c r="P3" i="1258"/>
  <c r="P3" i="1266"/>
  <c r="Q3" i="1259" s="1"/>
  <c r="R3" i="1269"/>
  <c r="O3" i="1265"/>
  <c r="O3" i="1264" s="1"/>
  <c r="M3" i="1320" s="1"/>
  <c r="K3" i="1263" s="1"/>
  <c r="N3" i="1258"/>
  <c r="N3" i="1266"/>
  <c r="O3" i="1259" s="1"/>
  <c r="P3" i="1269"/>
  <c r="M3" i="1265"/>
  <c r="M3" i="1264" s="1"/>
  <c r="K3" i="1320" s="1"/>
  <c r="I3" i="1263" s="1"/>
  <c r="L3" i="1258"/>
  <c r="L3" i="1266"/>
  <c r="M3" i="1259" s="1"/>
  <c r="N3" i="1269"/>
  <c r="K3" i="1265"/>
  <c r="K3" i="1264" s="1"/>
  <c r="I3" i="1320" s="1"/>
  <c r="G3" i="1263" s="1"/>
  <c r="J3" i="1258"/>
  <c r="J3" i="1266"/>
  <c r="K3" i="1259" s="1"/>
  <c r="L3" i="1269"/>
  <c r="I3" i="1265"/>
  <c r="I3" i="1264" s="1"/>
  <c r="G3" i="1320" s="1"/>
  <c r="E3" i="1263" s="1"/>
  <c r="H3" i="1258"/>
  <c r="H3" i="1266"/>
  <c r="I3" i="1259" s="1"/>
  <c r="J3" i="1269"/>
  <c r="G3" i="1265"/>
  <c r="G3" i="1264" s="1"/>
  <c r="E3" i="1320" s="1"/>
  <c r="C3" i="1263" s="1"/>
  <c r="F3" i="1258"/>
  <c r="F3" i="1266"/>
  <c r="G3" i="1259" s="1"/>
  <c r="H3" i="1269"/>
  <c r="R3" i="1265"/>
  <c r="R3" i="1264" s="1"/>
  <c r="P3" i="1320" s="1"/>
  <c r="N3" i="1263" s="1"/>
  <c r="Q3" i="1258"/>
  <c r="Q3" i="1266"/>
  <c r="R3" i="1259" s="1"/>
  <c r="S3" i="1269"/>
  <c r="P3" i="1265"/>
  <c r="P3" i="1264" s="1"/>
  <c r="N3" i="1320" s="1"/>
  <c r="L3" i="1263" s="1"/>
  <c r="O3" i="1258"/>
  <c r="O3" i="1266"/>
  <c r="P3" i="1259" s="1"/>
  <c r="Q3" i="1269"/>
  <c r="N3" i="1265"/>
  <c r="N3" i="1264" s="1"/>
  <c r="L3" i="1320" s="1"/>
  <c r="J3" i="1263" s="1"/>
  <c r="M3" i="1258"/>
  <c r="M3" i="1266"/>
  <c r="N3" i="1259" s="1"/>
  <c r="O3" i="1269"/>
  <c r="L3" i="1265"/>
  <c r="L3" i="1264" s="1"/>
  <c r="J3" i="1320" s="1"/>
  <c r="H3" i="1263" s="1"/>
  <c r="K3" i="1258"/>
  <c r="K3" i="1266"/>
  <c r="L3" i="1259" s="1"/>
  <c r="M3" i="1269"/>
  <c r="J3" i="1265"/>
  <c r="J3" i="1264" s="1"/>
  <c r="H3" i="1320" s="1"/>
  <c r="F3" i="1263" s="1"/>
  <c r="I3" i="1258"/>
  <c r="I3" i="1266"/>
  <c r="J3" i="1259" s="1"/>
  <c r="K3" i="1269"/>
  <c r="H3" i="1265"/>
  <c r="H3" i="1264" s="1"/>
  <c r="F3" i="1320" s="1"/>
  <c r="D3" i="1263" s="1"/>
  <c r="G3" i="1258"/>
  <c r="G3" i="1266"/>
  <c r="H3" i="1259" s="1"/>
  <c r="I3" i="1269"/>
  <c r="Q20" i="1294"/>
  <c r="Q22" i="1294" s="1"/>
  <c r="Q57" i="1294"/>
  <c r="G38" i="1275"/>
  <c r="J67" i="1275"/>
  <c r="D9" i="1312"/>
  <c r="D12" i="1312"/>
  <c r="I7" i="1324"/>
  <c r="D6" i="1312"/>
  <c r="H8" i="1324"/>
  <c r="J8" i="1324" s="1"/>
  <c r="D7" i="1312"/>
  <c r="D10" i="1312"/>
  <c r="D11" i="1312"/>
  <c r="H4" i="1269"/>
  <c r="H5" i="1271"/>
  <c r="F4" i="1266"/>
  <c r="G4" i="1259" s="1"/>
  <c r="F4" i="1258"/>
  <c r="R4" i="1269"/>
  <c r="P4" i="1266"/>
  <c r="Q4" i="1259" s="1"/>
  <c r="P4" i="1258"/>
  <c r="R5" i="1271"/>
  <c r="P4" i="1269"/>
  <c r="P5" i="1271"/>
  <c r="N4" i="1266"/>
  <c r="O4" i="1259" s="1"/>
  <c r="N4" i="1258"/>
  <c r="N4" i="1269"/>
  <c r="L4" i="1266"/>
  <c r="M4" i="1259" s="1"/>
  <c r="L4" i="1258"/>
  <c r="N5" i="1271"/>
  <c r="L4" i="1269"/>
  <c r="L5" i="1271"/>
  <c r="J4" i="1266"/>
  <c r="K4" i="1259" s="1"/>
  <c r="J4" i="1258"/>
  <c r="J4" i="1269"/>
  <c r="H4" i="1266"/>
  <c r="I4" i="1259" s="1"/>
  <c r="H4" i="1258"/>
  <c r="J5" i="1271"/>
  <c r="S5" i="1271"/>
  <c r="Q4" i="1266"/>
  <c r="R4" i="1259" s="1"/>
  <c r="Q4" i="1258"/>
  <c r="S4" i="1269"/>
  <c r="Q5" i="1271"/>
  <c r="O4" i="1266"/>
  <c r="P4" i="1259" s="1"/>
  <c r="O4" i="1258"/>
  <c r="Q4" i="1269"/>
  <c r="O5" i="1271"/>
  <c r="M4" i="1266"/>
  <c r="N4" i="1259" s="1"/>
  <c r="M4" i="1258"/>
  <c r="O4" i="1269"/>
  <c r="M5" i="1271"/>
  <c r="K4" i="1266"/>
  <c r="L4" i="1259" s="1"/>
  <c r="K4" i="1258"/>
  <c r="M4" i="1269"/>
  <c r="K5" i="1271"/>
  <c r="I4" i="1266"/>
  <c r="J4" i="1259" s="1"/>
  <c r="I4" i="1258"/>
  <c r="K4" i="1269"/>
  <c r="I5" i="1271"/>
  <c r="G4" i="1266"/>
  <c r="H4" i="1259" s="1"/>
  <c r="G4" i="1258"/>
  <c r="I4" i="1269"/>
  <c r="G4" i="1265"/>
  <c r="G4" i="1264" s="1"/>
  <c r="E4" i="1320" s="1"/>
  <c r="C4" i="1263" s="1"/>
  <c r="N4" i="1265"/>
  <c r="N4" i="1264" s="1"/>
  <c r="L4" i="1320" s="1"/>
  <c r="J4" i="1263" s="1"/>
  <c r="L4" i="1265"/>
  <c r="L4" i="1264" s="1"/>
  <c r="J4" i="1320" s="1"/>
  <c r="H4" i="1263" s="1"/>
  <c r="AE32" i="1309"/>
  <c r="AU32" i="1309"/>
  <c r="E21" i="1282"/>
  <c r="G27" i="1286"/>
  <c r="G8" i="1286"/>
  <c r="BB7" i="1292"/>
  <c r="AD7" i="1292"/>
  <c r="L11" i="1292"/>
  <c r="X11" i="1292"/>
  <c r="AD11" i="1292"/>
  <c r="BB11" i="1292"/>
  <c r="BD14" i="1292"/>
  <c r="BD15" i="1292"/>
  <c r="U11" i="1292"/>
  <c r="BD17" i="1292"/>
  <c r="BD20" i="1292"/>
  <c r="L19" i="1292"/>
  <c r="X19" i="1292"/>
  <c r="BD23" i="1292"/>
  <c r="U19" i="1292"/>
  <c r="AG19" i="1292"/>
  <c r="R29" i="1292"/>
  <c r="AA29" i="1292"/>
  <c r="AJ29" i="1292"/>
  <c r="AV29" i="1292"/>
  <c r="AD29" i="1292"/>
  <c r="AY29" i="1292"/>
  <c r="I36" i="1292"/>
  <c r="O36" i="1292"/>
  <c r="BD52" i="1292"/>
  <c r="Q48" i="1294"/>
  <c r="Q49" i="1294" s="1"/>
  <c r="P57" i="1294"/>
  <c r="BG5" i="1310"/>
  <c r="N10" i="1308"/>
  <c r="N11" i="1308"/>
  <c r="L12" i="1308"/>
  <c r="N18" i="1308"/>
  <c r="N21" i="1308"/>
  <c r="N23" i="1308"/>
  <c r="N26" i="1308"/>
  <c r="N29" i="1308"/>
  <c r="L30" i="1308"/>
  <c r="N33" i="1308"/>
  <c r="N36" i="1308"/>
  <c r="I30" i="1308"/>
  <c r="I38" i="1308"/>
  <c r="N40" i="1308"/>
  <c r="N44" i="1308"/>
  <c r="N45" i="1308"/>
  <c r="AV9" i="1309"/>
  <c r="AE7" i="1309"/>
  <c r="M12" i="1309"/>
  <c r="S12" i="1309"/>
  <c r="J12" i="1309"/>
  <c r="V12" i="1309"/>
  <c r="AV17" i="1309"/>
  <c r="G20" i="1309"/>
  <c r="AV26" i="1309"/>
  <c r="AV27" i="1309"/>
  <c r="J30" i="1309"/>
  <c r="P30" i="1309"/>
  <c r="V30" i="1309"/>
  <c r="AH30" i="1309"/>
  <c r="AQ30" i="1309"/>
  <c r="AV33" i="1309"/>
  <c r="M30" i="1309"/>
  <c r="AB30" i="1309"/>
  <c r="AT30" i="1309"/>
  <c r="AV34" i="1309"/>
  <c r="Y30" i="1309"/>
  <c r="AK30" i="1309"/>
  <c r="AV35" i="1309"/>
  <c r="AV37" i="1309"/>
  <c r="J38" i="1309"/>
  <c r="AB38" i="1309"/>
  <c r="S38" i="1309"/>
  <c r="AV42" i="1309"/>
  <c r="AV45" i="1309"/>
  <c r="BD9" i="1310"/>
  <c r="I10" i="1310"/>
  <c r="U10" i="1310"/>
  <c r="U6" i="1310" s="1"/>
  <c r="U16" i="1310" s="1"/>
  <c r="F10" i="1310"/>
  <c r="BD13" i="1310"/>
  <c r="J23" i="1321"/>
  <c r="G12" i="1263"/>
  <c r="P44" i="1294"/>
  <c r="J70" i="1275"/>
  <c r="F65" i="1285"/>
  <c r="G65" i="1285" s="1"/>
  <c r="U36" i="1292"/>
  <c r="Q5" i="1294"/>
  <c r="Q7" i="1294" s="1"/>
  <c r="P20" i="1309"/>
  <c r="M20" i="1309"/>
  <c r="R7" i="1310"/>
  <c r="H12" i="1324"/>
  <c r="J12" i="1324" s="1"/>
  <c r="P12" i="1324" s="1"/>
  <c r="P61" i="1294"/>
  <c r="AE30" i="1309"/>
  <c r="G30" i="1309"/>
  <c r="AM29" i="1292"/>
  <c r="R36" i="1292"/>
  <c r="AD36" i="1292"/>
  <c r="AJ36" i="1292"/>
  <c r="AP36" i="1292"/>
  <c r="AV36" i="1292"/>
  <c r="BB36" i="1292"/>
  <c r="BD41" i="1292"/>
  <c r="BD50" i="1292"/>
  <c r="N43" i="1308"/>
  <c r="BG20" i="1310"/>
  <c r="AT12" i="1309"/>
  <c r="AV16" i="1309"/>
  <c r="AV19" i="1309"/>
  <c r="AV21" i="1309"/>
  <c r="AV44" i="1309"/>
  <c r="H10" i="1324"/>
  <c r="H13" i="1324"/>
  <c r="R61" i="1294"/>
  <c r="R52" i="1294"/>
  <c r="Q41" i="1294"/>
  <c r="P35" i="1294"/>
  <c r="AV39" i="1309"/>
  <c r="U32" i="1284"/>
  <c r="AG29" i="1292"/>
  <c r="BD37" i="1292"/>
  <c r="I29" i="1283"/>
  <c r="I15" i="1283"/>
  <c r="H52" i="1283" s="1"/>
  <c r="F7" i="1292"/>
  <c r="R7" i="1292"/>
  <c r="X7" i="1292"/>
  <c r="AM7" i="1292"/>
  <c r="AM6" i="1292" s="1"/>
  <c r="AM55" i="1292" s="1"/>
  <c r="AS7" i="1292"/>
  <c r="BD39" i="1292"/>
  <c r="P20" i="1294"/>
  <c r="P48" i="1294"/>
  <c r="P65" i="1294"/>
  <c r="Q71" i="1294"/>
  <c r="S20" i="1309"/>
  <c r="Y20" i="1309"/>
  <c r="AV25" i="1309"/>
  <c r="AQ38" i="1309"/>
  <c r="AQ6" i="1309" s="1"/>
  <c r="AQ51" i="1309" s="1"/>
  <c r="I6" i="1310"/>
  <c r="I16" i="1310" s="1"/>
  <c r="AA6" i="1310"/>
  <c r="AA16" i="1310" s="1"/>
  <c r="G69" i="1275"/>
  <c r="J69" i="1275" s="1"/>
  <c r="I7" i="1292"/>
  <c r="O7" i="1292"/>
  <c r="U7" i="1292"/>
  <c r="AA7" i="1292"/>
  <c r="AJ7" i="1292"/>
  <c r="AJ6" i="1292" s="1"/>
  <c r="AJ55" i="1292" s="1"/>
  <c r="AP7" i="1292"/>
  <c r="AV7" i="1292"/>
  <c r="BD9" i="1292"/>
  <c r="AA11" i="1292"/>
  <c r="I19" i="1292"/>
  <c r="I29" i="1292"/>
  <c r="U29" i="1292"/>
  <c r="BD34" i="1292"/>
  <c r="L36" i="1292"/>
  <c r="AM36" i="1292"/>
  <c r="AS36" i="1292"/>
  <c r="AS6" i="1292" s="1"/>
  <c r="AS55" i="1292" s="1"/>
  <c r="AY36" i="1292"/>
  <c r="BD40" i="1292"/>
  <c r="BD43" i="1292"/>
  <c r="BD47" i="1292"/>
  <c r="Q10" i="1294"/>
  <c r="Q12" i="1294" s="1"/>
  <c r="Q52" i="1294"/>
  <c r="Q54" i="1294" s="1"/>
  <c r="R15" i="1294"/>
  <c r="N42" i="1308"/>
  <c r="N46" i="1308"/>
  <c r="V7" i="1309"/>
  <c r="AB7" i="1309"/>
  <c r="AH7" i="1309"/>
  <c r="Y7" i="1309"/>
  <c r="AV11" i="1309"/>
  <c r="P12" i="1309"/>
  <c r="AB12" i="1309"/>
  <c r="AV14" i="1309"/>
  <c r="AH20" i="1309"/>
  <c r="AV22" i="1309"/>
  <c r="AV24" i="1309"/>
  <c r="AE38" i="1309"/>
  <c r="AT38" i="1309"/>
  <c r="AT6" i="1309" s="1"/>
  <c r="AT51" i="1309" s="1"/>
  <c r="AV43" i="1309"/>
  <c r="AV46" i="1309"/>
  <c r="L7" i="1310"/>
  <c r="AD7" i="1310"/>
  <c r="AJ7" i="1310"/>
  <c r="AP7" i="1310"/>
  <c r="G19" i="1265"/>
  <c r="I6" i="1324"/>
  <c r="S5" i="1294"/>
  <c r="S7" i="1294" s="1"/>
  <c r="T7" i="1294" s="1"/>
  <c r="R70" i="1294"/>
  <c r="R35" i="1294"/>
  <c r="P10" i="1294"/>
  <c r="R20" i="1294"/>
  <c r="R25" i="1294"/>
  <c r="R30" i="1294"/>
  <c r="R39" i="1294"/>
  <c r="H7" i="1324"/>
  <c r="S6" i="1320"/>
  <c r="K6" i="1263"/>
  <c r="K14" i="1263" s="1"/>
  <c r="R26" i="1271"/>
  <c r="R23" i="1271" s="1"/>
  <c r="R38" i="1271" s="1"/>
  <c r="O47" i="1269"/>
  <c r="O26" i="1271"/>
  <c r="M22" i="1258"/>
  <c r="D15" i="1263"/>
  <c r="G7" i="1258" s="1"/>
  <c r="H8" i="1259" s="1"/>
  <c r="G23" i="1321"/>
  <c r="S49" i="1269"/>
  <c r="Q49" i="1269"/>
  <c r="O49" i="1269"/>
  <c r="T49" i="1269"/>
  <c r="R49" i="1269"/>
  <c r="P49" i="1269"/>
  <c r="N49" i="1269"/>
  <c r="K50" i="1269"/>
  <c r="K47" i="1269"/>
  <c r="M47" i="1269"/>
  <c r="L47" i="1269"/>
  <c r="I47" i="1269"/>
  <c r="E23" i="1321"/>
  <c r="T28" i="1284"/>
  <c r="U30" i="1284"/>
  <c r="O21" i="1265"/>
  <c r="O20" i="1265"/>
  <c r="O22" i="1265"/>
  <c r="M21" i="1265"/>
  <c r="M22" i="1265"/>
  <c r="M20" i="1265"/>
  <c r="L20" i="1265"/>
  <c r="L22" i="1265"/>
  <c r="L21" i="1265"/>
  <c r="J20" i="1265"/>
  <c r="J22" i="1265"/>
  <c r="J21" i="1265"/>
  <c r="L7" i="1292"/>
  <c r="AY7" i="1292"/>
  <c r="AY11" i="1292"/>
  <c r="O29" i="1292"/>
  <c r="BB29" i="1292"/>
  <c r="X36" i="1292"/>
  <c r="X6" i="1292" s="1"/>
  <c r="X55" i="1292" s="1"/>
  <c r="R48" i="1294"/>
  <c r="R57" i="1294"/>
  <c r="P74" i="1294"/>
  <c r="S74" i="1294" s="1"/>
  <c r="S75" i="1294" s="1"/>
  <c r="T79" i="1294"/>
  <c r="I20" i="1308"/>
  <c r="N20" i="1308" s="1"/>
  <c r="J7" i="1309"/>
  <c r="J6" i="1309" s="1"/>
  <c r="P7" i="1309"/>
  <c r="AV36" i="1309"/>
  <c r="H20" i="1265"/>
  <c r="H22" i="1265"/>
  <c r="H21" i="1265"/>
  <c r="N20" i="1265"/>
  <c r="N22" i="1265"/>
  <c r="N21" i="1265"/>
  <c r="K21" i="1265"/>
  <c r="K20" i="1265"/>
  <c r="K22" i="1265"/>
  <c r="G68" i="1275"/>
  <c r="J68" i="1275" s="1"/>
  <c r="K26" i="1286"/>
  <c r="K8" i="1286" s="1"/>
  <c r="BD18" i="1292"/>
  <c r="R11" i="1292"/>
  <c r="AP11" i="1292"/>
  <c r="R19" i="1292"/>
  <c r="BB19" i="1292"/>
  <c r="BD24" i="1292"/>
  <c r="BD25" i="1292"/>
  <c r="BD27" i="1292"/>
  <c r="BD42" i="1292"/>
  <c r="F21" i="1265"/>
  <c r="F20" i="1265"/>
  <c r="F22" i="1265"/>
  <c r="F7" i="1308"/>
  <c r="N14" i="1308"/>
  <c r="N24" i="1308"/>
  <c r="N25" i="1308"/>
  <c r="N27" i="1308"/>
  <c r="N34" i="1308"/>
  <c r="N37" i="1308"/>
  <c r="L38" i="1308"/>
  <c r="N41" i="1308"/>
  <c r="N47" i="1308"/>
  <c r="AV15" i="1309"/>
  <c r="AV18" i="1309"/>
  <c r="V20" i="1309"/>
  <c r="AV20" i="1309" s="1"/>
  <c r="AV23" i="1309"/>
  <c r="AV29" i="1309"/>
  <c r="M38" i="1309"/>
  <c r="R10" i="1310"/>
  <c r="R6" i="1310" s="1"/>
  <c r="R16" i="1310" s="1"/>
  <c r="X10" i="1310"/>
  <c r="X6" i="1310" s="1"/>
  <c r="AJ10" i="1310"/>
  <c r="AJ6" i="1310" s="1"/>
  <c r="AJ16" i="1310" s="1"/>
  <c r="AV10" i="1310"/>
  <c r="BC13" i="1310"/>
  <c r="I21" i="1265"/>
  <c r="I22" i="1265"/>
  <c r="I20" i="1265"/>
  <c r="G21" i="1265"/>
  <c r="G20" i="1265"/>
  <c r="G22" i="1265"/>
  <c r="T20" i="1265"/>
  <c r="T22" i="1265"/>
  <c r="T21" i="1265"/>
  <c r="R20" i="1265"/>
  <c r="R22" i="1265"/>
  <c r="R21" i="1265"/>
  <c r="P20" i="1265"/>
  <c r="P22" i="1265"/>
  <c r="P21" i="1265"/>
  <c r="F33" i="1265"/>
  <c r="H34" i="1265"/>
  <c r="I33" i="1265"/>
  <c r="G33" i="1265"/>
  <c r="I27" i="1269"/>
  <c r="H32" i="1265"/>
  <c r="S34" i="1265"/>
  <c r="Q34" i="1265"/>
  <c r="O34" i="1265"/>
  <c r="M34" i="1265"/>
  <c r="K34" i="1265"/>
  <c r="S33" i="1265"/>
  <c r="Q33" i="1265"/>
  <c r="O33" i="1265"/>
  <c r="M33" i="1265"/>
  <c r="K33" i="1265"/>
  <c r="S32" i="1265"/>
  <c r="Q32" i="1265"/>
  <c r="O32" i="1265"/>
  <c r="M32" i="1265"/>
  <c r="K32" i="1265"/>
  <c r="S21" i="1265"/>
  <c r="S20" i="1265"/>
  <c r="S22" i="1265"/>
  <c r="Q21" i="1265"/>
  <c r="Q22" i="1265"/>
  <c r="Q20" i="1265"/>
  <c r="G27" i="1269"/>
  <c r="G64" i="1269" s="1"/>
  <c r="F32" i="1265"/>
  <c r="I34" i="1265"/>
  <c r="G34" i="1265"/>
  <c r="H33" i="1265"/>
  <c r="I32" i="1265"/>
  <c r="H27" i="1269"/>
  <c r="G32" i="1265"/>
  <c r="T34" i="1265"/>
  <c r="R34" i="1265"/>
  <c r="P34" i="1265"/>
  <c r="N34" i="1265"/>
  <c r="L34" i="1265"/>
  <c r="J34" i="1265"/>
  <c r="T33" i="1265"/>
  <c r="R33" i="1265"/>
  <c r="P33" i="1265"/>
  <c r="N33" i="1265"/>
  <c r="L33" i="1265"/>
  <c r="J33" i="1265"/>
  <c r="T32" i="1265"/>
  <c r="R32" i="1265"/>
  <c r="P32" i="1265"/>
  <c r="N32" i="1265"/>
  <c r="L32" i="1265"/>
  <c r="J32" i="1265"/>
  <c r="N47" i="1269"/>
  <c r="P30" i="1294"/>
  <c r="P23" i="1321"/>
  <c r="R23" i="1321"/>
  <c r="H23" i="1321"/>
  <c r="L23" i="1321"/>
  <c r="N23" i="1321"/>
  <c r="R27" i="1269"/>
  <c r="N27" i="1269"/>
  <c r="N64" i="1269" s="1"/>
  <c r="T9" i="1321"/>
  <c r="R27" i="1271"/>
  <c r="R39" i="1271" s="1"/>
  <c r="P4" i="1265"/>
  <c r="P4" i="1264" s="1"/>
  <c r="N4" i="1320" s="1"/>
  <c r="L4" i="1263" s="1"/>
  <c r="U26" i="1271"/>
  <c r="U23" i="1271" s="1"/>
  <c r="H4" i="1265"/>
  <c r="H4" i="1264" s="1"/>
  <c r="F4" i="1320" s="1"/>
  <c r="D4" i="1263" s="1"/>
  <c r="N6" i="1263"/>
  <c r="N14" i="1263" s="1"/>
  <c r="M26" i="1271"/>
  <c r="J4" i="1265"/>
  <c r="J4" i="1264" s="1"/>
  <c r="H4" i="1320" s="1"/>
  <c r="F4" i="1263" s="1"/>
  <c r="S26" i="1271"/>
  <c r="S23" i="1271" s="1"/>
  <c r="P26" i="1271"/>
  <c r="P23" i="1271" s="1"/>
  <c r="R4" i="1265"/>
  <c r="R4" i="1264" s="1"/>
  <c r="P4" i="1320" s="1"/>
  <c r="N4" i="1263" s="1"/>
  <c r="Q16" i="1271"/>
  <c r="T27" i="1269"/>
  <c r="P27" i="1269"/>
  <c r="L27" i="1269"/>
  <c r="L64" i="1269" s="1"/>
  <c r="P12" i="1258"/>
  <c r="Q12" i="1264" s="1"/>
  <c r="Q7" i="1259" s="1"/>
  <c r="J27" i="1271"/>
  <c r="N26" i="1271"/>
  <c r="P27" i="1271"/>
  <c r="N8" i="1258"/>
  <c r="N15" i="1266" s="1"/>
  <c r="L27" i="1271"/>
  <c r="J12" i="1258"/>
  <c r="G39" i="1271"/>
  <c r="N27" i="1271"/>
  <c r="U27" i="1271"/>
  <c r="R12" i="1258"/>
  <c r="L12" i="1258"/>
  <c r="T27" i="1271"/>
  <c r="T39" i="1271" s="1"/>
  <c r="E12" i="1258"/>
  <c r="E25" i="1258" s="1"/>
  <c r="E4" i="1258"/>
  <c r="F4" i="1265"/>
  <c r="F4" i="1264" s="1"/>
  <c r="D4" i="1320" s="1"/>
  <c r="B4" i="1263" s="1"/>
  <c r="J47" i="1269"/>
  <c r="J26" i="1271"/>
  <c r="S18" i="1269"/>
  <c r="G5" i="1271"/>
  <c r="Q27" i="1271"/>
  <c r="K12" i="1258"/>
  <c r="I27" i="1271"/>
  <c r="G12" i="1258"/>
  <c r="H12" i="1264" s="1"/>
  <c r="H7" i="1259" s="1"/>
  <c r="U30" i="1260"/>
  <c r="N7" i="1263"/>
  <c r="N15" i="1263" s="1"/>
  <c r="Q7" i="1258" s="1"/>
  <c r="Q18" i="1269"/>
  <c r="K26" i="1271"/>
  <c r="S8" i="1258"/>
  <c r="O18" i="1269"/>
  <c r="E15" i="1263"/>
  <c r="H7" i="1258" s="1"/>
  <c r="M15" i="1263"/>
  <c r="N12" i="1258"/>
  <c r="K18" i="1269"/>
  <c r="L9" i="1271"/>
  <c r="U16" i="1271"/>
  <c r="M18" i="1269"/>
  <c r="G4" i="1269"/>
  <c r="O4" i="1265"/>
  <c r="O4" i="1264" s="1"/>
  <c r="M4" i="1320" s="1"/>
  <c r="K4" i="1263" s="1"/>
  <c r="E4" i="1266"/>
  <c r="F4" i="1259" s="1"/>
  <c r="U37" i="1269"/>
  <c r="Q37" i="1269"/>
  <c r="M37" i="1269"/>
  <c r="U18" i="1269"/>
  <c r="I26" i="1271"/>
  <c r="H31" i="1265"/>
  <c r="F6" i="1310"/>
  <c r="T26" i="1284"/>
  <c r="U28" i="1284"/>
  <c r="BD7" i="1292"/>
  <c r="BD22" i="1292"/>
  <c r="F19" i="1292"/>
  <c r="BD31" i="1292"/>
  <c r="L29" i="1292"/>
  <c r="F44" i="1292"/>
  <c r="BD44" i="1292" s="1"/>
  <c r="BD45" i="1292"/>
  <c r="S9" i="1294"/>
  <c r="R10" i="1294"/>
  <c r="S10" i="1294" s="1"/>
  <c r="Q15" i="1294"/>
  <c r="Q24" i="1294"/>
  <c r="P25" i="1294"/>
  <c r="L7" i="1308"/>
  <c r="L6" i="1308" s="1"/>
  <c r="L51" i="1308" s="1"/>
  <c r="N8" i="1308"/>
  <c r="N7" i="1308"/>
  <c r="N13" i="1308"/>
  <c r="F12" i="1308"/>
  <c r="N17" i="1308"/>
  <c r="I12" i="1308"/>
  <c r="I6" i="1308" s="1"/>
  <c r="I51" i="1308" s="1"/>
  <c r="F38" i="1308"/>
  <c r="N38" i="1308" s="1"/>
  <c r="N39" i="1308"/>
  <c r="N48" i="1308"/>
  <c r="AV10" i="1309"/>
  <c r="G7" i="1309"/>
  <c r="J51" i="1309"/>
  <c r="AV6" i="1310"/>
  <c r="AY6" i="1310"/>
  <c r="AY16" i="1310" s="1"/>
  <c r="BD11" i="1310"/>
  <c r="L10" i="1310"/>
  <c r="L6" i="1310" s="1"/>
  <c r="AD10" i="1310"/>
  <c r="AP10" i="1310"/>
  <c r="AP6" i="1310" s="1"/>
  <c r="AP16" i="1310" s="1"/>
  <c r="H25" i="1258"/>
  <c r="Q47" i="1269"/>
  <c r="Q26" i="1271"/>
  <c r="Q23" i="1271" s="1"/>
  <c r="I13" i="1324"/>
  <c r="I10" i="1324"/>
  <c r="H11" i="1324"/>
  <c r="J11" i="1324" s="1"/>
  <c r="Q61" i="1269"/>
  <c r="H27" i="1271"/>
  <c r="H39" i="1271" s="1"/>
  <c r="J8" i="1269"/>
  <c r="H35" i="1275"/>
  <c r="H68" i="1275" s="1"/>
  <c r="H37" i="1275"/>
  <c r="H70" i="1275" s="1"/>
  <c r="K34" i="1271"/>
  <c r="K39" i="1271" s="1"/>
  <c r="L34" i="1271"/>
  <c r="L36" i="1271" s="1"/>
  <c r="S34" i="1271"/>
  <c r="S36" i="1271" s="1"/>
  <c r="M21" i="1282"/>
  <c r="L21" i="1282"/>
  <c r="D38" i="1284"/>
  <c r="C38" i="1284"/>
  <c r="C39" i="1284"/>
  <c r="M26" i="1286"/>
  <c r="M8" i="1286" s="1"/>
  <c r="E26" i="1286"/>
  <c r="E8" i="1286" s="1"/>
  <c r="AV6" i="1292"/>
  <c r="AV55" i="1292" s="1"/>
  <c r="BD12" i="1292"/>
  <c r="BD16" i="1292"/>
  <c r="O19" i="1292"/>
  <c r="AA19" i="1292"/>
  <c r="AA6" i="1292" s="1"/>
  <c r="AA55" i="1292" s="1"/>
  <c r="AD19" i="1292"/>
  <c r="AP29" i="1292"/>
  <c r="AP6" i="1292" s="1"/>
  <c r="AP55" i="1292" s="1"/>
  <c r="BD32" i="1292"/>
  <c r="F29" i="1292"/>
  <c r="BD29" i="1292" s="1"/>
  <c r="BD33" i="1292"/>
  <c r="F36" i="1292"/>
  <c r="AG36" i="1292"/>
  <c r="R65" i="1294"/>
  <c r="Q75" i="1294"/>
  <c r="S43" i="1294"/>
  <c r="R44" i="1294"/>
  <c r="N19" i="1308"/>
  <c r="N35" i="1308"/>
  <c r="F30" i="1308"/>
  <c r="N30" i="1308" s="1"/>
  <c r="M7" i="1309"/>
  <c r="M6" i="1309" s="1"/>
  <c r="M51" i="1309" s="1"/>
  <c r="AV8" i="1309"/>
  <c r="S7" i="1309"/>
  <c r="AV13" i="1309"/>
  <c r="AE12" i="1309"/>
  <c r="AE6" i="1309" s="1"/>
  <c r="AE51" i="1309" s="1"/>
  <c r="AK12" i="1309"/>
  <c r="AK6" i="1309" s="1"/>
  <c r="AK51" i="1309" s="1"/>
  <c r="AV32" i="1309"/>
  <c r="S30" i="1309"/>
  <c r="AV30" i="1309" s="1"/>
  <c r="G38" i="1309"/>
  <c r="P38" i="1309"/>
  <c r="V38" i="1309"/>
  <c r="V6" i="1309" s="1"/>
  <c r="V51" i="1309" s="1"/>
  <c r="AH38" i="1309"/>
  <c r="AN38" i="1309"/>
  <c r="AN6" i="1309" s="1"/>
  <c r="AN51" i="1309" s="1"/>
  <c r="Y38" i="1309"/>
  <c r="L16" i="1310"/>
  <c r="X16" i="1310"/>
  <c r="AV16" i="1310"/>
  <c r="F19" i="1265"/>
  <c r="M4" i="1265"/>
  <c r="M4" i="1264" s="1"/>
  <c r="K4" i="1320" s="1"/>
  <c r="I4" i="1263" s="1"/>
  <c r="T4" i="1265"/>
  <c r="T4" i="1264" s="1"/>
  <c r="R4" i="1320" s="1"/>
  <c r="P4" i="1263" s="1"/>
  <c r="T47" i="1269"/>
  <c r="T26" i="1271"/>
  <c r="T23" i="1271" s="1"/>
  <c r="T38" i="1271" s="1"/>
  <c r="S62" i="1269"/>
  <c r="S27" i="1271"/>
  <c r="O12" i="1258"/>
  <c r="P12" i="1264" s="1"/>
  <c r="P7" i="1259" s="1"/>
  <c r="O62" i="1269"/>
  <c r="M12" i="1258"/>
  <c r="N12" i="1264" s="1"/>
  <c r="N7" i="1259" s="1"/>
  <c r="O27" i="1271"/>
  <c r="O39" i="1271" s="1"/>
  <c r="M27" i="1271"/>
  <c r="I12" i="1258"/>
  <c r="Q35" i="1294"/>
  <c r="Q37" i="1294" s="1"/>
  <c r="P39" i="1294"/>
  <c r="P52" i="1294"/>
  <c r="Q65" i="1294"/>
  <c r="Q67" i="1294" s="1"/>
  <c r="P70" i="1294"/>
  <c r="S70" i="1294" s="1"/>
  <c r="S71" i="1294" s="1"/>
  <c r="H13" i="1266"/>
  <c r="I9" i="1265" s="1"/>
  <c r="I31" i="1265" s="1"/>
  <c r="S16" i="1320"/>
  <c r="G31" i="1265"/>
  <c r="I19" i="1265"/>
  <c r="G9" i="1271"/>
  <c r="G35" i="1271" s="1"/>
  <c r="J16" i="1271"/>
  <c r="G37" i="1271"/>
  <c r="R19" i="1266"/>
  <c r="R23" i="1266" s="1"/>
  <c r="U49" i="1269"/>
  <c r="T16" i="1271"/>
  <c r="T37" i="1271" s="1"/>
  <c r="T37" i="1269"/>
  <c r="R16" i="1271"/>
  <c r="R37" i="1271" s="1"/>
  <c r="R37" i="1269"/>
  <c r="P16" i="1271"/>
  <c r="P37" i="1269"/>
  <c r="P65" i="1269" s="1"/>
  <c r="N16" i="1271"/>
  <c r="N37" i="1269"/>
  <c r="N65" i="1269" s="1"/>
  <c r="L16" i="1271"/>
  <c r="L37" i="1269"/>
  <c r="L65" i="1269" s="1"/>
  <c r="S19" i="1266"/>
  <c r="S23" i="1266" s="1"/>
  <c r="T31" i="1265"/>
  <c r="T19" i="1269"/>
  <c r="T18" i="1269" s="1"/>
  <c r="R19" i="1269"/>
  <c r="R18" i="1269" s="1"/>
  <c r="P19" i="1269"/>
  <c r="P18" i="1269" s="1"/>
  <c r="N19" i="1269"/>
  <c r="N18" i="1269" s="1"/>
  <c r="N60" i="1269" s="1"/>
  <c r="L19" i="1269"/>
  <c r="L18" i="1269" s="1"/>
  <c r="S37" i="1269"/>
  <c r="O37" i="1269"/>
  <c r="O65" i="1269" s="1"/>
  <c r="K37" i="1269"/>
  <c r="T8" i="1269"/>
  <c r="R8" i="1269"/>
  <c r="P8" i="1269"/>
  <c r="P59" i="1269" s="1"/>
  <c r="N8" i="1269"/>
  <c r="N59" i="1269" s="1"/>
  <c r="L8" i="1269"/>
  <c r="L59" i="1269" s="1"/>
  <c r="M16" i="1271"/>
  <c r="J19" i="1266"/>
  <c r="J23" i="1266" s="1"/>
  <c r="T19" i="1265"/>
  <c r="U27" i="1269"/>
  <c r="S27" i="1269"/>
  <c r="S64" i="1269" s="1"/>
  <c r="Q27" i="1269"/>
  <c r="O27" i="1269"/>
  <c r="O64" i="1269" s="1"/>
  <c r="M27" i="1269"/>
  <c r="K27" i="1269"/>
  <c r="U8" i="1269"/>
  <c r="U59" i="1269" s="1"/>
  <c r="S8" i="1269"/>
  <c r="S59" i="1269" s="1"/>
  <c r="Q8" i="1269"/>
  <c r="O8" i="1269"/>
  <c r="M8" i="1269"/>
  <c r="K8" i="1269"/>
  <c r="S31" i="1265"/>
  <c r="Q31" i="1265"/>
  <c r="M31" i="1265"/>
  <c r="K31" i="1265"/>
  <c r="R9" i="1265"/>
  <c r="R31" i="1265" s="1"/>
  <c r="P9" i="1265"/>
  <c r="P31" i="1265" s="1"/>
  <c r="N9" i="1265"/>
  <c r="N31" i="1265" s="1"/>
  <c r="L9" i="1265"/>
  <c r="L31" i="1265" s="1"/>
  <c r="J9" i="1265"/>
  <c r="J31" i="1265" s="1"/>
  <c r="S6" i="1265"/>
  <c r="S19" i="1265" s="1"/>
  <c r="Q6" i="1265"/>
  <c r="Q19" i="1265" s="1"/>
  <c r="O6" i="1265"/>
  <c r="O19" i="1265" s="1"/>
  <c r="M6" i="1265"/>
  <c r="M19" i="1265" s="1"/>
  <c r="K6" i="1265"/>
  <c r="K19" i="1265" s="1"/>
  <c r="J19" i="1265"/>
  <c r="R19" i="1265"/>
  <c r="P19" i="1265"/>
  <c r="L19" i="1265"/>
  <c r="J15" i="1263"/>
  <c r="O7" i="1263"/>
  <c r="O15" i="1263" s="1"/>
  <c r="I7" i="1263"/>
  <c r="I15" i="1263" s="1"/>
  <c r="S61" i="1269"/>
  <c r="L62" i="1269"/>
  <c r="G62" i="1269"/>
  <c r="R62" i="1269"/>
  <c r="T61" i="1269"/>
  <c r="J61" i="1269"/>
  <c r="G65" i="1269"/>
  <c r="V11" i="1271"/>
  <c r="I16" i="1271"/>
  <c r="J37" i="1269"/>
  <c r="I9" i="1271"/>
  <c r="O16" i="1271"/>
  <c r="O37" i="1271" s="1"/>
  <c r="J9" i="1271"/>
  <c r="H36" i="1271"/>
  <c r="F19" i="1266"/>
  <c r="F23" i="1266" s="1"/>
  <c r="H37" i="1269"/>
  <c r="P15" i="1263"/>
  <c r="F15" i="1263"/>
  <c r="I7" i="1258" s="1"/>
  <c r="J8" i="1259" s="1"/>
  <c r="U17" i="1260"/>
  <c r="G7" i="1263"/>
  <c r="G15" i="1263" s="1"/>
  <c r="C7" i="1263"/>
  <c r="H16" i="1271"/>
  <c r="H37" i="1271" s="1"/>
  <c r="U10" i="1260"/>
  <c r="L9" i="1260"/>
  <c r="J9" i="1260"/>
  <c r="H9" i="1260"/>
  <c r="D8" i="1263" s="1"/>
  <c r="D16" i="1263" s="1"/>
  <c r="G6" i="1258" s="1"/>
  <c r="K9" i="1271"/>
  <c r="S23" i="1321"/>
  <c r="Q11" i="1266"/>
  <c r="G17" i="1259"/>
  <c r="G22" i="1259" s="1"/>
  <c r="F19" i="1259"/>
  <c r="U19" i="1259" s="1"/>
  <c r="I30" i="1259" s="1"/>
  <c r="Q25" i="1258"/>
  <c r="I34" i="1271"/>
  <c r="I36" i="1271" s="1"/>
  <c r="J34" i="1271"/>
  <c r="Q34" i="1271"/>
  <c r="Q36" i="1271" s="1"/>
  <c r="U34" i="1271"/>
  <c r="U36" i="1271" s="1"/>
  <c r="N16" i="1259"/>
  <c r="M17" i="1259"/>
  <c r="I17" i="1259"/>
  <c r="F22" i="1259"/>
  <c r="H17" i="1259"/>
  <c r="L17" i="1259"/>
  <c r="K17" i="1259"/>
  <c r="J17" i="1259"/>
  <c r="W12" i="1269"/>
  <c r="W11" i="1269"/>
  <c r="V51" i="1269"/>
  <c r="V9" i="1269"/>
  <c r="W20" i="1269"/>
  <c r="I8" i="1269"/>
  <c r="G8" i="1269"/>
  <c r="G59" i="1269" s="1"/>
  <c r="H8" i="1269"/>
  <c r="V28" i="1269"/>
  <c r="W17" i="1269"/>
  <c r="L15" i="1263"/>
  <c r="O7" i="1258" s="1"/>
  <c r="P8" i="1259" s="1"/>
  <c r="H15" i="1263"/>
  <c r="O23" i="1321"/>
  <c r="K23" i="1321"/>
  <c r="G8" i="1266"/>
  <c r="B7" i="1263"/>
  <c r="B15" i="1263" s="1"/>
  <c r="H9" i="1271"/>
  <c r="H35" i="1271" s="1"/>
  <c r="V18" i="1271"/>
  <c r="G18" i="1269"/>
  <c r="Q23" i="1321"/>
  <c r="M23" i="1321"/>
  <c r="I23" i="1321"/>
  <c r="B12" i="1263"/>
  <c r="B16" i="1263" s="1"/>
  <c r="W39" i="1269"/>
  <c r="S4" i="1265"/>
  <c r="S4" i="1264" s="1"/>
  <c r="Q4" i="1320" s="1"/>
  <c r="O4" i="1263" s="1"/>
  <c r="Q4" i="1265"/>
  <c r="Q4" i="1264" s="1"/>
  <c r="O4" i="1320" s="1"/>
  <c r="M4" i="1263" s="1"/>
  <c r="K4" i="1265"/>
  <c r="K4" i="1264" s="1"/>
  <c r="I4" i="1320" s="1"/>
  <c r="G4" i="1263" s="1"/>
  <c r="I4" i="1265"/>
  <c r="I4" i="1264" s="1"/>
  <c r="G4" i="1320" s="1"/>
  <c r="E4" i="1263" s="1"/>
  <c r="I37" i="1269"/>
  <c r="H47" i="1269"/>
  <c r="H26" i="1271"/>
  <c r="I9" i="1324"/>
  <c r="J9" i="1324" s="1"/>
  <c r="P9" i="1324" s="1"/>
  <c r="O31" i="1265"/>
  <c r="I50" i="1269"/>
  <c r="L26" i="1271"/>
  <c r="Q30" i="1294"/>
  <c r="T9" i="1271"/>
  <c r="P9" i="1271"/>
  <c r="N9" i="1271"/>
  <c r="F25" i="1258"/>
  <c r="F11" i="1266"/>
  <c r="G50" i="1269"/>
  <c r="C16" i="1263"/>
  <c r="S9" i="1271"/>
  <c r="R9" i="1271"/>
  <c r="S16" i="1271"/>
  <c r="K16" i="1271"/>
  <c r="J18" i="1269"/>
  <c r="H18" i="1269"/>
  <c r="I71" i="1275"/>
  <c r="J71" i="1275" s="1"/>
  <c r="J27" i="1269"/>
  <c r="U9" i="1271"/>
  <c r="O9" i="1271"/>
  <c r="Q9" i="1271"/>
  <c r="I18" i="1269"/>
  <c r="R36" i="1271"/>
  <c r="G36" i="1271"/>
  <c r="V36" i="1271" s="1"/>
  <c r="R61" i="1269"/>
  <c r="Q58" i="1294"/>
  <c r="N62" i="1269"/>
  <c r="M34" i="1271"/>
  <c r="N34" i="1271"/>
  <c r="P34" i="1271"/>
  <c r="S25" i="1258" l="1"/>
  <c r="T12" i="1264"/>
  <c r="T7" i="1259" s="1"/>
  <c r="G16" i="1263"/>
  <c r="J6" i="1258" s="1"/>
  <c r="K8" i="1264" s="1"/>
  <c r="K6" i="1259" s="1"/>
  <c r="P11" i="1324"/>
  <c r="P8" i="1324"/>
  <c r="F8" i="1263"/>
  <c r="F16" i="1263" s="1"/>
  <c r="I6" i="1258" s="1"/>
  <c r="H8" i="1263"/>
  <c r="H16" i="1263" s="1"/>
  <c r="K6" i="1258" s="1"/>
  <c r="L8" i="1264" s="1"/>
  <c r="L6" i="1259" s="1"/>
  <c r="U40" i="1265"/>
  <c r="C25" i="1326" s="1"/>
  <c r="U39" i="1265"/>
  <c r="C24" i="1326" s="1"/>
  <c r="U36" i="1265"/>
  <c r="C21" i="1326" s="1"/>
  <c r="U35" i="1265"/>
  <c r="C20" i="1326" s="1"/>
  <c r="U27" i="1265"/>
  <c r="C13" i="1326" s="1"/>
  <c r="U28" i="1265"/>
  <c r="U23" i="1265"/>
  <c r="C9" i="1326" s="1"/>
  <c r="U37" i="1265"/>
  <c r="C22" i="1326" s="1"/>
  <c r="U38" i="1265"/>
  <c r="C23" i="1326" s="1"/>
  <c r="U24" i="1265"/>
  <c r="C10" i="1326" s="1"/>
  <c r="U26" i="1265"/>
  <c r="C12" i="1326" s="1"/>
  <c r="U25" i="1265"/>
  <c r="C11" i="1326" s="1"/>
  <c r="U9" i="1260"/>
  <c r="S44" i="1294"/>
  <c r="R25" i="1258"/>
  <c r="S12" i="1264"/>
  <c r="S7" i="1259" s="1"/>
  <c r="I25" i="1258"/>
  <c r="J12" i="1264"/>
  <c r="J7" i="1259" s="1"/>
  <c r="J20" i="1259" s="1"/>
  <c r="R8" i="1259"/>
  <c r="J25" i="1258"/>
  <c r="K12" i="1264"/>
  <c r="K7" i="1259" s="1"/>
  <c r="N11" i="1266"/>
  <c r="O12" i="1264"/>
  <c r="O7" i="1259" s="1"/>
  <c r="H18" i="1266"/>
  <c r="I8" i="1259"/>
  <c r="I21" i="1259" s="1"/>
  <c r="K11" i="1266"/>
  <c r="L12" i="1264"/>
  <c r="L7" i="1259" s="1"/>
  <c r="L20" i="1259" s="1"/>
  <c r="L25" i="1258"/>
  <c r="M12" i="1264"/>
  <c r="M7" i="1259" s="1"/>
  <c r="M20" i="1259" s="1"/>
  <c r="S20" i="1294"/>
  <c r="S22" i="1294" s="1"/>
  <c r="T22" i="1294" s="1"/>
  <c r="G60" i="1269"/>
  <c r="G26" i="1269"/>
  <c r="G63" i="1269" s="1"/>
  <c r="V18" i="1269"/>
  <c r="S15" i="1294"/>
  <c r="S17" i="1294" s="1"/>
  <c r="U22" i="1265"/>
  <c r="C8" i="1326" s="1"/>
  <c r="S48" i="1294"/>
  <c r="S49" i="1294" s="1"/>
  <c r="T49" i="1294" s="1"/>
  <c r="BB6" i="1292"/>
  <c r="BB55" i="1292" s="1"/>
  <c r="U6" i="1292"/>
  <c r="U55" i="1292" s="1"/>
  <c r="I6" i="1292"/>
  <c r="I55" i="1292" s="1"/>
  <c r="S61" i="1294"/>
  <c r="S62" i="1294" s="1"/>
  <c r="T62" i="1294" s="1"/>
  <c r="H36" i="1275"/>
  <c r="H69" i="1275" s="1"/>
  <c r="H34" i="1275"/>
  <c r="H67" i="1275" s="1"/>
  <c r="S57" i="1294"/>
  <c r="S58" i="1294" s="1"/>
  <c r="T58" i="1294" s="1"/>
  <c r="J7" i="1324"/>
  <c r="P7" i="1324" s="1"/>
  <c r="J10" i="1324"/>
  <c r="P10" i="1324" s="1"/>
  <c r="C11" i="1263"/>
  <c r="C15" i="1263" s="1"/>
  <c r="F7" i="1258" s="1"/>
  <c r="G8" i="1259" s="1"/>
  <c r="H6" i="1324"/>
  <c r="J6" i="1324" s="1"/>
  <c r="S35" i="1294"/>
  <c r="S37" i="1294" s="1"/>
  <c r="T37" i="1294" s="1"/>
  <c r="BD7" i="1310"/>
  <c r="S45" i="1294"/>
  <c r="T45" i="1294" s="1"/>
  <c r="G33" i="1259"/>
  <c r="AD6" i="1292"/>
  <c r="AD55" i="1292" s="1"/>
  <c r="BD10" i="1310"/>
  <c r="J13" i="1324"/>
  <c r="P13" i="1324" s="1"/>
  <c r="L6" i="1292"/>
  <c r="L55" i="1292" s="1"/>
  <c r="I53" i="1283"/>
  <c r="K25" i="1258"/>
  <c r="S39" i="1294"/>
  <c r="S41" i="1294" s="1"/>
  <c r="T41" i="1294" s="1"/>
  <c r="I22" i="1259"/>
  <c r="S52" i="1294"/>
  <c r="S54" i="1294" s="1"/>
  <c r="T54" i="1294" s="1"/>
  <c r="L9" i="1258"/>
  <c r="Y6" i="1309"/>
  <c r="Y51" i="1309" s="1"/>
  <c r="AH6" i="1309"/>
  <c r="AH51" i="1309" s="1"/>
  <c r="P6" i="1309"/>
  <c r="P51" i="1309" s="1"/>
  <c r="T75" i="1294"/>
  <c r="O6" i="1292"/>
  <c r="O55" i="1292" s="1"/>
  <c r="K27" i="1286"/>
  <c r="AD6" i="1310"/>
  <c r="AD16" i="1310" s="1"/>
  <c r="F9" i="1258"/>
  <c r="AB6" i="1309"/>
  <c r="AB51" i="1309" s="1"/>
  <c r="J46" i="1269"/>
  <c r="J45" i="1269" s="1"/>
  <c r="K9" i="1258"/>
  <c r="H24" i="1260"/>
  <c r="H23" i="1260" s="1"/>
  <c r="H32" i="1260" s="1"/>
  <c r="I17" i="1324"/>
  <c r="O59" i="1269"/>
  <c r="O26" i="1269"/>
  <c r="O63" i="1269" s="1"/>
  <c r="S30" i="1294"/>
  <c r="S32" i="1294" s="1"/>
  <c r="K25" i="1271"/>
  <c r="K24" i="1271" s="1"/>
  <c r="K23" i="1271" s="1"/>
  <c r="K28" i="1271" s="1"/>
  <c r="M9" i="1258"/>
  <c r="O46" i="1269"/>
  <c r="O45" i="1269" s="1"/>
  <c r="O25" i="1271"/>
  <c r="O24" i="1271" s="1"/>
  <c r="O23" i="1271" s="1"/>
  <c r="O38" i="1271" s="1"/>
  <c r="L50" i="1269"/>
  <c r="R21" i="1266"/>
  <c r="S11" i="1265" s="1"/>
  <c r="S42" i="1265" s="1"/>
  <c r="U50" i="1269"/>
  <c r="U48" i="1269" s="1"/>
  <c r="U67" i="1269" s="1"/>
  <c r="U32" i="1265"/>
  <c r="C17" i="1326" s="1"/>
  <c r="U34" i="1265"/>
  <c r="C19" i="1326" s="1"/>
  <c r="I22" i="1258"/>
  <c r="C14" i="1326"/>
  <c r="AY6" i="1292"/>
  <c r="AY55" i="1292" s="1"/>
  <c r="U33" i="1265"/>
  <c r="C18" i="1326" s="1"/>
  <c r="U20" i="1265"/>
  <c r="C6" i="1326" s="1"/>
  <c r="U21" i="1265"/>
  <c r="C7" i="1326" s="1"/>
  <c r="R6" i="1292"/>
  <c r="R55" i="1292" s="1"/>
  <c r="BD11" i="1292"/>
  <c r="BF11" i="1292" s="1"/>
  <c r="L39" i="1271"/>
  <c r="G25" i="1258"/>
  <c r="Q17" i="1294"/>
  <c r="S12" i="1294"/>
  <c r="T12" i="1294" s="1"/>
  <c r="T17" i="1294"/>
  <c r="Q64" i="1269"/>
  <c r="R60" i="1269"/>
  <c r="I35" i="1271"/>
  <c r="U37" i="1271"/>
  <c r="L35" i="1271"/>
  <c r="R65" i="1269"/>
  <c r="T65" i="1269"/>
  <c r="P64" i="1269"/>
  <c r="G11" i="1266"/>
  <c r="S21" i="1258"/>
  <c r="T15" i="1264"/>
  <c r="O15" i="1264"/>
  <c r="L11" i="1266"/>
  <c r="J11" i="1266"/>
  <c r="E11" i="1266"/>
  <c r="Q8" i="1258"/>
  <c r="R15" i="1264" s="1"/>
  <c r="P6" i="1263"/>
  <c r="P14" i="1263" s="1"/>
  <c r="P7" i="1258"/>
  <c r="H62" i="1269"/>
  <c r="N21" i="1258"/>
  <c r="P26" i="1269"/>
  <c r="P63" i="1269" s="1"/>
  <c r="L26" i="1269"/>
  <c r="L63" i="1269" s="1"/>
  <c r="T26" i="1269"/>
  <c r="V27" i="1269"/>
  <c r="F77" i="1269" s="1"/>
  <c r="T13" i="1266"/>
  <c r="K59" i="1269"/>
  <c r="J39" i="1271"/>
  <c r="P11" i="1266"/>
  <c r="P25" i="1258"/>
  <c r="P44" i="1269"/>
  <c r="P66" i="1269" s="1"/>
  <c r="N17" i="1266"/>
  <c r="F12" i="1264"/>
  <c r="Q26" i="1269"/>
  <c r="R11" i="1266"/>
  <c r="S15" i="1266"/>
  <c r="U44" i="1269" s="1"/>
  <c r="U66" i="1269" s="1"/>
  <c r="H26" i="1269"/>
  <c r="H63" i="1269" s="1"/>
  <c r="P6" i="1258"/>
  <c r="Q8" i="1264" s="1"/>
  <c r="Q6" i="1259" s="1"/>
  <c r="U65" i="1269"/>
  <c r="K26" i="1269"/>
  <c r="K63" i="1269" s="1"/>
  <c r="S26" i="1269"/>
  <c r="W25" i="1269"/>
  <c r="L7" i="1258"/>
  <c r="M7" i="1258"/>
  <c r="H20" i="1258"/>
  <c r="Q62" i="1269"/>
  <c r="U26" i="1269"/>
  <c r="U63" i="1269" s="1"/>
  <c r="P8" i="1258"/>
  <c r="M6" i="1263"/>
  <c r="M14" i="1263" s="1"/>
  <c r="M6" i="1258"/>
  <c r="N8" i="1264" s="1"/>
  <c r="N6" i="1259" s="1"/>
  <c r="J6" i="1263"/>
  <c r="J14" i="1263" s="1"/>
  <c r="M8" i="1258"/>
  <c r="J21" i="1259"/>
  <c r="N25" i="1258"/>
  <c r="R28" i="1271"/>
  <c r="Q6" i="1258"/>
  <c r="R8" i="1264" s="1"/>
  <c r="V19" i="1269"/>
  <c r="W19" i="1269" s="1"/>
  <c r="M65" i="1269"/>
  <c r="M26" i="1269"/>
  <c r="M63" i="1269" s="1"/>
  <c r="H59" i="1269"/>
  <c r="H61" i="1269"/>
  <c r="I59" i="1269"/>
  <c r="J59" i="1269"/>
  <c r="H65" i="1269"/>
  <c r="J64" i="1269"/>
  <c r="R64" i="1269"/>
  <c r="K65" i="1269"/>
  <c r="R59" i="1269"/>
  <c r="J62" i="1269"/>
  <c r="T12" i="1258"/>
  <c r="Q18" i="1266"/>
  <c r="L22" i="1259"/>
  <c r="I19" i="1259"/>
  <c r="I20" i="1259"/>
  <c r="G20" i="1259"/>
  <c r="K18" i="1259"/>
  <c r="K7" i="1258"/>
  <c r="O6" i="1258"/>
  <c r="O10" i="1266" s="1"/>
  <c r="Q20" i="1258"/>
  <c r="H64" i="1269"/>
  <c r="T59" i="1269"/>
  <c r="Q59" i="1269"/>
  <c r="K35" i="1271"/>
  <c r="K36" i="1271"/>
  <c r="K37" i="1271"/>
  <c r="I39" i="1271"/>
  <c r="S37" i="1271"/>
  <c r="S39" i="1271"/>
  <c r="L37" i="1271"/>
  <c r="H21" i="1259"/>
  <c r="L19" i="1266"/>
  <c r="L23" i="1266" s="1"/>
  <c r="N19" i="1266"/>
  <c r="N23" i="1266" s="1"/>
  <c r="O19" i="1266"/>
  <c r="O23" i="1266" s="1"/>
  <c r="M19" i="1266"/>
  <c r="M23" i="1266" s="1"/>
  <c r="O50" i="1269" s="1"/>
  <c r="O48" i="1269" s="1"/>
  <c r="O67" i="1269" s="1"/>
  <c r="J65" i="1269"/>
  <c r="H19" i="1266"/>
  <c r="H23" i="1266" s="1"/>
  <c r="N26" i="1269"/>
  <c r="N63" i="1269" s="1"/>
  <c r="R26" i="1269"/>
  <c r="R63" i="1269" s="1"/>
  <c r="O8" i="1258"/>
  <c r="L6" i="1263"/>
  <c r="L14" i="1263" s="1"/>
  <c r="I11" i="1266"/>
  <c r="AV38" i="1309"/>
  <c r="S6" i="1309"/>
  <c r="S51" i="1309" s="1"/>
  <c r="S65" i="1294"/>
  <c r="S67" i="1294" s="1"/>
  <c r="T67" i="1294" s="1"/>
  <c r="BD36" i="1292"/>
  <c r="P10" i="1284"/>
  <c r="P32" i="1284"/>
  <c r="N16" i="1284"/>
  <c r="P8" i="1284"/>
  <c r="P18" i="1284"/>
  <c r="N8" i="1284"/>
  <c r="N12" i="1284"/>
  <c r="P34" i="1284"/>
  <c r="P26" i="1284"/>
  <c r="P30" i="1284"/>
  <c r="N14" i="1284"/>
  <c r="N30" i="1284"/>
  <c r="P12" i="1284"/>
  <c r="N18" i="1284"/>
  <c r="P14" i="1284"/>
  <c r="N28" i="1284"/>
  <c r="P4" i="1284"/>
  <c r="N26" i="1284"/>
  <c r="N6" i="1284"/>
  <c r="N34" i="1284"/>
  <c r="L34" i="1284"/>
  <c r="N22" i="1284"/>
  <c r="N10" i="1284"/>
  <c r="P22" i="1284"/>
  <c r="N20" i="1284"/>
  <c r="P16" i="1284"/>
  <c r="P28" i="1284"/>
  <c r="P20" i="1284"/>
  <c r="N24" i="1284"/>
  <c r="P6" i="1284"/>
  <c r="N32" i="1284"/>
  <c r="P24" i="1284"/>
  <c r="G71" i="1275"/>
  <c r="F3" i="1282" s="1"/>
  <c r="I61" i="1269"/>
  <c r="I64" i="1269"/>
  <c r="I62" i="1269"/>
  <c r="G6" i="1309"/>
  <c r="AV7" i="1309"/>
  <c r="N12" i="1308"/>
  <c r="F6" i="1308"/>
  <c r="Q25" i="1294"/>
  <c r="S25" i="1294" s="1"/>
  <c r="S27" i="1294" s="1"/>
  <c r="F6" i="1292"/>
  <c r="BD19" i="1292"/>
  <c r="BD6" i="1310"/>
  <c r="F16" i="1310"/>
  <c r="BD16" i="1310" s="1"/>
  <c r="BE11" i="1310" s="1"/>
  <c r="T8" i="1264"/>
  <c r="S10" i="1266"/>
  <c r="S9" i="1266" s="1"/>
  <c r="K19" i="1266"/>
  <c r="K23" i="1266" s="1"/>
  <c r="S7" i="1258"/>
  <c r="Q19" i="1266"/>
  <c r="Q23" i="1266" s="1"/>
  <c r="M11" i="1266"/>
  <c r="M25" i="1258"/>
  <c r="O11" i="1266"/>
  <c r="O25" i="1258"/>
  <c r="O6" i="1263"/>
  <c r="O14" i="1263" s="1"/>
  <c r="R8" i="1258"/>
  <c r="O12" i="1284"/>
  <c r="O16" i="1284"/>
  <c r="O14" i="1284"/>
  <c r="O22" i="1284"/>
  <c r="O18" i="1284"/>
  <c r="O20" i="1284"/>
  <c r="O10" i="1284"/>
  <c r="O24" i="1284"/>
  <c r="O8" i="1284"/>
  <c r="O26" i="1284"/>
  <c r="O6" i="1284"/>
  <c r="AV12" i="1309"/>
  <c r="P61" i="1269"/>
  <c r="P62" i="1269"/>
  <c r="BG13" i="1310"/>
  <c r="T24" i="1284"/>
  <c r="U26" i="1284"/>
  <c r="BE7" i="1310"/>
  <c r="S38" i="1271"/>
  <c r="H38" i="1275"/>
  <c r="H71" i="1275" s="1"/>
  <c r="Q39" i="1271"/>
  <c r="G20" i="1258"/>
  <c r="R7" i="1258"/>
  <c r="U16" i="1260"/>
  <c r="V38" i="1269"/>
  <c r="V27" i="1271"/>
  <c r="H47" i="1271" s="1"/>
  <c r="M64" i="1269"/>
  <c r="M62" i="1269"/>
  <c r="M61" i="1269"/>
  <c r="K61" i="1269"/>
  <c r="K62" i="1269"/>
  <c r="U61" i="1269"/>
  <c r="U64" i="1269"/>
  <c r="U62" i="1269"/>
  <c r="K64" i="1269"/>
  <c r="T62" i="1269"/>
  <c r="R35" i="1271"/>
  <c r="P28" i="1271"/>
  <c r="M9" i="1271"/>
  <c r="V9" i="1271" s="1"/>
  <c r="H44" i="1271" s="1"/>
  <c r="Q37" i="1271"/>
  <c r="F23" i="1321"/>
  <c r="T23" i="1321" s="1"/>
  <c r="G18" i="1266"/>
  <c r="G20" i="1266" s="1"/>
  <c r="J7" i="1258"/>
  <c r="K8" i="1259" s="1"/>
  <c r="K7" i="1263"/>
  <c r="K15" i="1263" s="1"/>
  <c r="R6" i="1258"/>
  <c r="S8" i="1264" s="1"/>
  <c r="S6" i="1259" s="1"/>
  <c r="G19" i="1259"/>
  <c r="J36" i="1271"/>
  <c r="J37" i="1271"/>
  <c r="U39" i="1271"/>
  <c r="U38" i="1271"/>
  <c r="Q38" i="1271"/>
  <c r="I37" i="1271"/>
  <c r="L19" i="1259"/>
  <c r="K19" i="1259"/>
  <c r="K22" i="1259"/>
  <c r="O16" i="1259"/>
  <c r="N17" i="1259"/>
  <c r="J22" i="1259"/>
  <c r="J19" i="1259"/>
  <c r="H19" i="1259"/>
  <c r="H20" i="1259"/>
  <c r="H22" i="1259"/>
  <c r="M19" i="1259"/>
  <c r="M22" i="1259"/>
  <c r="H50" i="1269"/>
  <c r="O18" i="1266"/>
  <c r="O20" i="1258"/>
  <c r="H6" i="1265"/>
  <c r="T8" i="1266"/>
  <c r="W8" i="1269" s="1"/>
  <c r="E7" i="1258"/>
  <c r="F8" i="1259" s="1"/>
  <c r="N6" i="1258"/>
  <c r="E6" i="1258"/>
  <c r="G19" i="1258"/>
  <c r="G10" i="1266"/>
  <c r="H8" i="1264"/>
  <c r="H6" i="1259" s="1"/>
  <c r="L6" i="1258"/>
  <c r="I65" i="1269"/>
  <c r="V37" i="1269"/>
  <c r="F78" i="1269" s="1"/>
  <c r="Q65" i="1269"/>
  <c r="S65" i="1269"/>
  <c r="T28" i="1271"/>
  <c r="T35" i="1271"/>
  <c r="H19" i="1258"/>
  <c r="I8" i="1264"/>
  <c r="I6" i="1259" s="1"/>
  <c r="H10" i="1266"/>
  <c r="H9" i="1266" s="1"/>
  <c r="Q32" i="1294"/>
  <c r="I26" i="1269"/>
  <c r="I63" i="1269" s="1"/>
  <c r="I60" i="1269"/>
  <c r="M60" i="1269"/>
  <c r="Q60" i="1269"/>
  <c r="U60" i="1269"/>
  <c r="Q28" i="1271"/>
  <c r="Q35" i="1271"/>
  <c r="O35" i="1271"/>
  <c r="J60" i="1269"/>
  <c r="J26" i="1269"/>
  <c r="J63" i="1269" s="1"/>
  <c r="S35" i="1271"/>
  <c r="S28" i="1271"/>
  <c r="V8" i="1269"/>
  <c r="M59" i="1269"/>
  <c r="F6" i="1258"/>
  <c r="K60" i="1269"/>
  <c r="O60" i="1269"/>
  <c r="S60" i="1269"/>
  <c r="U28" i="1271"/>
  <c r="U35" i="1271"/>
  <c r="H60" i="1269"/>
  <c r="L60" i="1269"/>
  <c r="P60" i="1269"/>
  <c r="T60" i="1269"/>
  <c r="J35" i="1271"/>
  <c r="T64" i="1269"/>
  <c r="N39" i="1271"/>
  <c r="N37" i="1271"/>
  <c r="N36" i="1271"/>
  <c r="N35" i="1271"/>
  <c r="P36" i="1271"/>
  <c r="P35" i="1271"/>
  <c r="P37" i="1271"/>
  <c r="P39" i="1271"/>
  <c r="P38" i="1271"/>
  <c r="M36" i="1271"/>
  <c r="M39" i="1271"/>
  <c r="T71" i="1294"/>
  <c r="I18" i="1266"/>
  <c r="I20" i="1258"/>
  <c r="M37" i="1271"/>
  <c r="J10" i="1266" l="1"/>
  <c r="J19" i="1258"/>
  <c r="K20" i="1258"/>
  <c r="L8" i="1259"/>
  <c r="L21" i="1259" s="1"/>
  <c r="R20" i="1258"/>
  <c r="S8" i="1259"/>
  <c r="S12" i="1259" s="1"/>
  <c r="S18" i="1266"/>
  <c r="S14" i="1266" s="1"/>
  <c r="T8" i="1259"/>
  <c r="N8" i="1259"/>
  <c r="N21" i="1259" s="1"/>
  <c r="L20" i="1258"/>
  <c r="M8" i="1259"/>
  <c r="M21" i="1259" s="1"/>
  <c r="F7" i="1259"/>
  <c r="U7" i="1259" s="1"/>
  <c r="G31" i="1259" s="1"/>
  <c r="U12" i="1264"/>
  <c r="P20" i="1258"/>
  <c r="Q8" i="1259"/>
  <c r="F21" i="1259"/>
  <c r="K20" i="1259"/>
  <c r="K21" i="1259"/>
  <c r="Q15" i="1266"/>
  <c r="S44" i="1269" s="1"/>
  <c r="S66" i="1269" s="1"/>
  <c r="Q21" i="1258"/>
  <c r="T7" i="1264"/>
  <c r="T6" i="1259"/>
  <c r="R7" i="1264"/>
  <c r="R6" i="1259"/>
  <c r="H18" i="1259"/>
  <c r="L18" i="1259"/>
  <c r="I18" i="1259"/>
  <c r="J9" i="1258"/>
  <c r="S81" i="1294"/>
  <c r="P6" i="1324"/>
  <c r="I46" i="1269"/>
  <c r="I45" i="1269" s="1"/>
  <c r="I32" i="1260"/>
  <c r="BF6" i="1310"/>
  <c r="K22" i="1258"/>
  <c r="T32" i="1294"/>
  <c r="I25" i="1271"/>
  <c r="I24" i="1271" s="1"/>
  <c r="I23" i="1271" s="1"/>
  <c r="I38" i="1271" s="1"/>
  <c r="T50" i="1269"/>
  <c r="T48" i="1269" s="1"/>
  <c r="T67" i="1269" s="1"/>
  <c r="J25" i="1271"/>
  <c r="J24" i="1271" s="1"/>
  <c r="J23" i="1271" s="1"/>
  <c r="J28" i="1271" s="1"/>
  <c r="J40" i="1271" s="1"/>
  <c r="G22" i="1258"/>
  <c r="G9" i="1258"/>
  <c r="S21" i="1266"/>
  <c r="T11" i="1265" s="1"/>
  <c r="T42" i="1265" s="1"/>
  <c r="L25" i="1271"/>
  <c r="L24" i="1271" s="1"/>
  <c r="L23" i="1271" s="1"/>
  <c r="L28" i="1271" s="1"/>
  <c r="L40" i="1271" s="1"/>
  <c r="L22" i="1258"/>
  <c r="I9" i="1258"/>
  <c r="K46" i="1269"/>
  <c r="K45" i="1269" s="1"/>
  <c r="H9" i="1258"/>
  <c r="H22" i="1258"/>
  <c r="O28" i="1271"/>
  <c r="O40" i="1271" s="1"/>
  <c r="M50" i="1269"/>
  <c r="N50" i="1269"/>
  <c r="N48" i="1269" s="1"/>
  <c r="N67" i="1269" s="1"/>
  <c r="G24" i="1260"/>
  <c r="G23" i="1260" s="1"/>
  <c r="G32" i="1260" s="1"/>
  <c r="F22" i="1258"/>
  <c r="C15" i="1326"/>
  <c r="D13" i="1326" s="1"/>
  <c r="C26" i="1326"/>
  <c r="D18" i="1326" s="1"/>
  <c r="F33" i="1258"/>
  <c r="C10" i="1325"/>
  <c r="L46" i="1269"/>
  <c r="L45" i="1269" s="1"/>
  <c r="J22" i="1258"/>
  <c r="J9" i="1266"/>
  <c r="K7" i="1265" s="1"/>
  <c r="K29" i="1265" s="1"/>
  <c r="Q7" i="1264"/>
  <c r="G9" i="1266"/>
  <c r="P13" i="1258"/>
  <c r="P26" i="1258" s="1"/>
  <c r="P19" i="1258"/>
  <c r="Q19" i="1258"/>
  <c r="K38" i="1271"/>
  <c r="S7" i="1264"/>
  <c r="P8" i="1264"/>
  <c r="F75" i="1269"/>
  <c r="I16" i="1266"/>
  <c r="I22" i="1266" s="1"/>
  <c r="P18" i="1266"/>
  <c r="M19" i="1258"/>
  <c r="M13" i="1258"/>
  <c r="L18" i="1266"/>
  <c r="L20" i="1266" s="1"/>
  <c r="S17" i="1266"/>
  <c r="P10" i="1266"/>
  <c r="P9" i="1266" s="1"/>
  <c r="Q7" i="1265" s="1"/>
  <c r="Q29" i="1265" s="1"/>
  <c r="M20" i="1258"/>
  <c r="M18" i="1266"/>
  <c r="M20" i="1266" s="1"/>
  <c r="M15" i="1266"/>
  <c r="M21" i="1258"/>
  <c r="N15" i="1264"/>
  <c r="Q10" i="1266"/>
  <c r="Q9" i="1266" s="1"/>
  <c r="R7" i="1265" s="1"/>
  <c r="R29" i="1265" s="1"/>
  <c r="Q15" i="1264"/>
  <c r="P15" i="1266"/>
  <c r="P21" i="1258"/>
  <c r="M35" i="1271"/>
  <c r="Q13" i="1258"/>
  <c r="Q26" i="1258" s="1"/>
  <c r="M10" i="1266"/>
  <c r="M9" i="1266" s="1"/>
  <c r="N7" i="1265" s="1"/>
  <c r="N29" i="1265" s="1"/>
  <c r="H46" i="1269"/>
  <c r="H45" i="1269" s="1"/>
  <c r="S40" i="1271"/>
  <c r="R40" i="1271"/>
  <c r="P40" i="1271"/>
  <c r="U40" i="1271"/>
  <c r="Q40" i="1271"/>
  <c r="T40" i="1271"/>
  <c r="F16" i="1266"/>
  <c r="F22" i="1266" s="1"/>
  <c r="H25" i="1271"/>
  <c r="H24" i="1271" s="1"/>
  <c r="H23" i="1271" s="1"/>
  <c r="R13" i="1258"/>
  <c r="R26" i="1258" s="1"/>
  <c r="R19" i="1258"/>
  <c r="K10" i="1266"/>
  <c r="K9" i="1266" s="1"/>
  <c r="L7" i="1265" s="1"/>
  <c r="L29" i="1265" s="1"/>
  <c r="S20" i="1258"/>
  <c r="O19" i="1258"/>
  <c r="R10" i="1266"/>
  <c r="R9" i="1266" s="1"/>
  <c r="S7" i="1265" s="1"/>
  <c r="S29" i="1265" s="1"/>
  <c r="K18" i="1266"/>
  <c r="K20" i="1266" s="1"/>
  <c r="T11" i="1266"/>
  <c r="T25" i="1258"/>
  <c r="O9" i="1266"/>
  <c r="O12" i="1266" s="1"/>
  <c r="P8" i="1265" s="1"/>
  <c r="P30" i="1265" s="1"/>
  <c r="O13" i="1258"/>
  <c r="R18" i="1266"/>
  <c r="R20" i="1266" s="1"/>
  <c r="K19" i="1258"/>
  <c r="V39" i="1271"/>
  <c r="J47" i="1271" s="1"/>
  <c r="P19" i="1266"/>
  <c r="P23" i="1266" s="1"/>
  <c r="U24" i="1284"/>
  <c r="T22" i="1284"/>
  <c r="M46" i="1269"/>
  <c r="M45" i="1269" s="1"/>
  <c r="L32" i="1260"/>
  <c r="M25" i="1271"/>
  <c r="M24" i="1271" s="1"/>
  <c r="M23" i="1271" s="1"/>
  <c r="M38" i="1271" s="1"/>
  <c r="M32" i="1260"/>
  <c r="N46" i="1269"/>
  <c r="N45" i="1269" s="1"/>
  <c r="N25" i="1271"/>
  <c r="N24" i="1271" s="1"/>
  <c r="N23" i="1271" s="1"/>
  <c r="BF16" i="1310"/>
  <c r="BE6" i="1310"/>
  <c r="N6" i="1308"/>
  <c r="F51" i="1308"/>
  <c r="N51" i="1308" s="1"/>
  <c r="AV6" i="1309"/>
  <c r="G51" i="1309"/>
  <c r="AV51" i="1309" s="1"/>
  <c r="AW12" i="1309" s="1"/>
  <c r="F14" i="1282"/>
  <c r="F16" i="1282"/>
  <c r="F18" i="1282"/>
  <c r="F17" i="1282"/>
  <c r="F9" i="1282"/>
  <c r="F10" i="1282"/>
  <c r="F8" i="1282"/>
  <c r="F15" i="1282"/>
  <c r="F4" i="1282"/>
  <c r="F11" i="1282"/>
  <c r="F19" i="1282"/>
  <c r="F6" i="1282"/>
  <c r="F7" i="1282"/>
  <c r="F20" i="1282"/>
  <c r="F12" i="1282"/>
  <c r="F5" i="1282"/>
  <c r="F13" i="1282"/>
  <c r="M34" i="1284"/>
  <c r="Q34" i="1284"/>
  <c r="R34" i="1284" s="1"/>
  <c r="V34" i="1284" s="1"/>
  <c r="W34" i="1284" s="1"/>
  <c r="X34" i="1284" s="1"/>
  <c r="Y34" i="1284" s="1"/>
  <c r="Z34" i="1284" s="1"/>
  <c r="AA34" i="1284" s="1"/>
  <c r="AB34" i="1284" s="1"/>
  <c r="AC34" i="1284" s="1"/>
  <c r="AD34" i="1284" s="1"/>
  <c r="AE34" i="1284" s="1"/>
  <c r="AF34" i="1284" s="1"/>
  <c r="AG34" i="1284" s="1"/>
  <c r="AH34" i="1284" s="1"/>
  <c r="AI34" i="1284" s="1"/>
  <c r="AJ34" i="1284" s="1"/>
  <c r="AK34" i="1284" s="1"/>
  <c r="AL34" i="1284" s="1"/>
  <c r="AM34" i="1284" s="1"/>
  <c r="AN34" i="1284" s="1"/>
  <c r="AO34" i="1284" s="1"/>
  <c r="N36" i="1284"/>
  <c r="P36" i="1284"/>
  <c r="L32" i="1284"/>
  <c r="Q50" i="1269"/>
  <c r="Q48" i="1269" s="1"/>
  <c r="O21" i="1266"/>
  <c r="P50" i="1269"/>
  <c r="P48" i="1269" s="1"/>
  <c r="P52" i="1269" s="1"/>
  <c r="P53" i="1269" s="1"/>
  <c r="N21" i="1266"/>
  <c r="O36" i="1284"/>
  <c r="S15" i="1264"/>
  <c r="R15" i="1266"/>
  <c r="R21" i="1258"/>
  <c r="Q20" i="1266"/>
  <c r="S12" i="1266"/>
  <c r="T8" i="1265" s="1"/>
  <c r="T7" i="1265"/>
  <c r="S13" i="1258"/>
  <c r="BE20" i="1310"/>
  <c r="BE8" i="1310"/>
  <c r="BE5" i="1310"/>
  <c r="BE13" i="1310"/>
  <c r="BE12" i="1310"/>
  <c r="BE16" i="1310"/>
  <c r="BE9" i="1310"/>
  <c r="BE15" i="1310"/>
  <c r="F55" i="1292"/>
  <c r="BD55" i="1292" s="1"/>
  <c r="BE19" i="1292" s="1"/>
  <c r="BD6" i="1292"/>
  <c r="Q27" i="1294"/>
  <c r="T27" i="1294" s="1"/>
  <c r="O12" i="1308"/>
  <c r="AX6" i="1309"/>
  <c r="AW7" i="1309"/>
  <c r="BE10" i="1310"/>
  <c r="O15" i="1266"/>
  <c r="O14" i="1266" s="1"/>
  <c r="P10" i="1265" s="1"/>
  <c r="P15" i="1264"/>
  <c r="O21" i="1258"/>
  <c r="U52" i="1269"/>
  <c r="U53" i="1269" s="1"/>
  <c r="H20" i="1266"/>
  <c r="M21" i="1266"/>
  <c r="V62" i="1269"/>
  <c r="H75" i="1269" s="1"/>
  <c r="V64" i="1269"/>
  <c r="H77" i="1269" s="1"/>
  <c r="V59" i="1269"/>
  <c r="H73" i="1269" s="1"/>
  <c r="S27" i="1320"/>
  <c r="V17" i="1271"/>
  <c r="V10" i="1271"/>
  <c r="N18" i="1259"/>
  <c r="V26" i="1269"/>
  <c r="F76" i="1269" s="1"/>
  <c r="K40" i="1271"/>
  <c r="G21" i="1259"/>
  <c r="N7" i="1258"/>
  <c r="O8" i="1259" s="1"/>
  <c r="F18" i="1266"/>
  <c r="F20" i="1266" s="1"/>
  <c r="F20" i="1258"/>
  <c r="J20" i="1258"/>
  <c r="J18" i="1266"/>
  <c r="J20" i="1266" s="1"/>
  <c r="P16" i="1259"/>
  <c r="O17" i="1259"/>
  <c r="N22" i="1259"/>
  <c r="N19" i="1259"/>
  <c r="N20" i="1259"/>
  <c r="V65" i="1269"/>
  <c r="H78" i="1269" s="1"/>
  <c r="O20" i="1266"/>
  <c r="H19" i="1265"/>
  <c r="U19" i="1265" s="1"/>
  <c r="I48" i="1265" s="1"/>
  <c r="U6" i="1265"/>
  <c r="E20" i="1258"/>
  <c r="E18" i="1266"/>
  <c r="E20" i="1266" s="1"/>
  <c r="N10" i="1266"/>
  <c r="N9" i="1266" s="1"/>
  <c r="O7" i="1265" s="1"/>
  <c r="O8" i="1264"/>
  <c r="N19" i="1258"/>
  <c r="E10" i="1266"/>
  <c r="E9" i="1266" s="1"/>
  <c r="E12" i="1266" s="1"/>
  <c r="E19" i="1258"/>
  <c r="F8" i="1264"/>
  <c r="F6" i="1259" s="1"/>
  <c r="I19" i="1258"/>
  <c r="I10" i="1266"/>
  <c r="I9" i="1266" s="1"/>
  <c r="J7" i="1265" s="1"/>
  <c r="J8" i="1264"/>
  <c r="J6" i="1259" s="1"/>
  <c r="L10" i="1266"/>
  <c r="L9" i="1266" s="1"/>
  <c r="M7" i="1265" s="1"/>
  <c r="L19" i="1258"/>
  <c r="M8" i="1264"/>
  <c r="M6" i="1259" s="1"/>
  <c r="S19" i="1258"/>
  <c r="D6" i="1263"/>
  <c r="D14" i="1263" s="1"/>
  <c r="G8" i="1258"/>
  <c r="K32" i="1260"/>
  <c r="H12" i="1266"/>
  <c r="I8" i="1265" s="1"/>
  <c r="I30" i="1265" s="1"/>
  <c r="I7" i="1265"/>
  <c r="I29" i="1265" s="1"/>
  <c r="V60" i="1269"/>
  <c r="H74" i="1269" s="1"/>
  <c r="F19" i="1258"/>
  <c r="G8" i="1264"/>
  <c r="G6" i="1259" s="1"/>
  <c r="F10" i="1266"/>
  <c r="T6" i="1258"/>
  <c r="F73" i="1269"/>
  <c r="T63" i="1269"/>
  <c r="F74" i="1269"/>
  <c r="S63" i="1269"/>
  <c r="Q63" i="1269"/>
  <c r="I20" i="1266"/>
  <c r="H33" i="1258" l="1"/>
  <c r="T19" i="1258"/>
  <c r="F20" i="1259"/>
  <c r="F6" i="1263"/>
  <c r="F14" i="1263" s="1"/>
  <c r="J32" i="1260"/>
  <c r="S20" i="1266"/>
  <c r="BE36" i="1292"/>
  <c r="BE6" i="1292"/>
  <c r="T12" i="1259"/>
  <c r="H7" i="1265"/>
  <c r="H29" i="1265" s="1"/>
  <c r="J38" i="1271"/>
  <c r="G18" i="1259"/>
  <c r="J18" i="1259"/>
  <c r="M18" i="1259"/>
  <c r="T13" i="1264"/>
  <c r="T19" i="1264" s="1"/>
  <c r="S13" i="1264"/>
  <c r="S19" i="1264" s="1"/>
  <c r="Q81" i="1294"/>
  <c r="T81" i="1294" s="1"/>
  <c r="Q17" i="1266"/>
  <c r="Q14" i="1266"/>
  <c r="R10" i="1265" s="1"/>
  <c r="R41" i="1265" s="1"/>
  <c r="U8" i="1259"/>
  <c r="P7" i="1264"/>
  <c r="P6" i="1259"/>
  <c r="O7" i="1264"/>
  <c r="O6" i="1259"/>
  <c r="O18" i="1259" s="1"/>
  <c r="F18" i="1259"/>
  <c r="L38" i="1271"/>
  <c r="D22" i="1326"/>
  <c r="D24" i="1326"/>
  <c r="D20" i="1326"/>
  <c r="D23" i="1326"/>
  <c r="D25" i="1326"/>
  <c r="D21" i="1326"/>
  <c r="D19" i="1326"/>
  <c r="D7" i="1326"/>
  <c r="D9" i="1326"/>
  <c r="D11" i="1326"/>
  <c r="D8" i="1326"/>
  <c r="D10" i="1326"/>
  <c r="D12" i="1326"/>
  <c r="D14" i="1326"/>
  <c r="I28" i="1271"/>
  <c r="I40" i="1271" s="1"/>
  <c r="E6" i="1263"/>
  <c r="E14" i="1263" s="1"/>
  <c r="H8" i="1258"/>
  <c r="H21" i="1258" s="1"/>
  <c r="O26" i="1258"/>
  <c r="AW38" i="1309"/>
  <c r="M26" i="1258"/>
  <c r="I8" i="1258"/>
  <c r="J15" i="1264" s="1"/>
  <c r="F8" i="1258"/>
  <c r="F15" i="1266" s="1"/>
  <c r="H44" i="1269" s="1"/>
  <c r="C6" i="1263"/>
  <c r="C14" i="1263" s="1"/>
  <c r="P21" i="1266"/>
  <c r="Q11" i="1265" s="1"/>
  <c r="Q42" i="1265" s="1"/>
  <c r="F21" i="1266"/>
  <c r="K49" i="1269"/>
  <c r="K48" i="1269" s="1"/>
  <c r="K67" i="1269" s="1"/>
  <c r="L21" i="1266"/>
  <c r="M11" i="1265" s="1"/>
  <c r="M42" i="1265" s="1"/>
  <c r="D17" i="1326"/>
  <c r="D6" i="1326"/>
  <c r="D10" i="1325"/>
  <c r="J12" i="1266"/>
  <c r="K8" i="1265" s="1"/>
  <c r="K30" i="1265" s="1"/>
  <c r="G12" i="1266"/>
  <c r="H8" i="1265" s="1"/>
  <c r="H30" i="1265" s="1"/>
  <c r="V35" i="1271"/>
  <c r="J44" i="1271" s="1"/>
  <c r="P14" i="1266"/>
  <c r="Q10" i="1265" s="1"/>
  <c r="Q41" i="1265" s="1"/>
  <c r="I21" i="1266"/>
  <c r="J11" i="1265" s="1"/>
  <c r="J42" i="1265" s="1"/>
  <c r="R14" i="1266"/>
  <c r="S10" i="1265" s="1"/>
  <c r="S41" i="1265" s="1"/>
  <c r="R50" i="1269"/>
  <c r="R48" i="1269" s="1"/>
  <c r="R67" i="1269" s="1"/>
  <c r="P7" i="1265"/>
  <c r="P29" i="1265" s="1"/>
  <c r="Q12" i="1266"/>
  <c r="R8" i="1265" s="1"/>
  <c r="R30" i="1265" s="1"/>
  <c r="M14" i="1266"/>
  <c r="N10" i="1265" s="1"/>
  <c r="N41" i="1265" s="1"/>
  <c r="P12" i="1266"/>
  <c r="Q8" i="1265" s="1"/>
  <c r="Q30" i="1265" s="1"/>
  <c r="P67" i="1269"/>
  <c r="E16" i="1266"/>
  <c r="E22" i="1266" s="1"/>
  <c r="P20" i="1266"/>
  <c r="H16" i="1266"/>
  <c r="H22" i="1266" s="1"/>
  <c r="M12" i="1266"/>
  <c r="N8" i="1265" s="1"/>
  <c r="N30" i="1265" s="1"/>
  <c r="T19" i="1266"/>
  <c r="R44" i="1269"/>
  <c r="R66" i="1269" s="1"/>
  <c r="P17" i="1266"/>
  <c r="M17" i="1266"/>
  <c r="O44" i="1269"/>
  <c r="O66" i="1269" s="1"/>
  <c r="G16" i="1266"/>
  <c r="G22" i="1266" s="1"/>
  <c r="F7" i="1265"/>
  <c r="K12" i="1266"/>
  <c r="L8" i="1265" s="1"/>
  <c r="L30" i="1265" s="1"/>
  <c r="R12" i="1266"/>
  <c r="S8" i="1265" s="1"/>
  <c r="S30" i="1265" s="1"/>
  <c r="U68" i="1269"/>
  <c r="P68" i="1269"/>
  <c r="N11" i="1265"/>
  <c r="N42" i="1265" s="1"/>
  <c r="Q44" i="1269"/>
  <c r="Q66" i="1269" s="1"/>
  <c r="O17" i="1266"/>
  <c r="T10" i="1265"/>
  <c r="T41" i="1265" s="1"/>
  <c r="S25" i="1266"/>
  <c r="S50" i="1269"/>
  <c r="S48" i="1269" s="1"/>
  <c r="Q21" i="1266"/>
  <c r="T44" i="1269"/>
  <c r="R17" i="1266"/>
  <c r="Q67" i="1269"/>
  <c r="Q32" i="1284"/>
  <c r="R32" i="1284" s="1"/>
  <c r="V32" i="1284" s="1"/>
  <c r="W32" i="1284" s="1"/>
  <c r="X32" i="1284" s="1"/>
  <c r="Y32" i="1284" s="1"/>
  <c r="Z32" i="1284" s="1"/>
  <c r="AA32" i="1284" s="1"/>
  <c r="AB32" i="1284" s="1"/>
  <c r="AC32" i="1284" s="1"/>
  <c r="AD32" i="1284" s="1"/>
  <c r="AE32" i="1284" s="1"/>
  <c r="AF32" i="1284" s="1"/>
  <c r="AG32" i="1284" s="1"/>
  <c r="AH32" i="1284" s="1"/>
  <c r="AI32" i="1284" s="1"/>
  <c r="AJ32" i="1284" s="1"/>
  <c r="AK32" i="1284" s="1"/>
  <c r="AL32" i="1284" s="1"/>
  <c r="AM32" i="1284" s="1"/>
  <c r="AN32" i="1284" s="1"/>
  <c r="AO32" i="1284" s="1"/>
  <c r="M32" i="1284"/>
  <c r="L30" i="1284"/>
  <c r="AW6" i="1309"/>
  <c r="AX51" i="1309"/>
  <c r="P51" i="1308"/>
  <c r="O6" i="1308"/>
  <c r="BG6" i="1310"/>
  <c r="P6" i="1308"/>
  <c r="K8" i="1258"/>
  <c r="H6" i="1263"/>
  <c r="H14" i="1263" s="1"/>
  <c r="U22" i="1284"/>
  <c r="T20" i="1284"/>
  <c r="M28" i="1271"/>
  <c r="J50" i="1269"/>
  <c r="BE8" i="1292"/>
  <c r="BE27" i="1292"/>
  <c r="BE38" i="1292"/>
  <c r="BE18" i="1292"/>
  <c r="BE9" i="1292"/>
  <c r="BE17" i="1292"/>
  <c r="BE52" i="1292"/>
  <c r="BE14" i="1292"/>
  <c r="BE24" i="1292"/>
  <c r="BE46" i="1292"/>
  <c r="BE49" i="1292"/>
  <c r="BE26" i="1292"/>
  <c r="BE34" i="1292"/>
  <c r="BE23" i="1292"/>
  <c r="BE15" i="1292"/>
  <c r="BE51" i="1292"/>
  <c r="BE5" i="1292"/>
  <c r="BE54" i="1292"/>
  <c r="BE48" i="1292"/>
  <c r="BE20" i="1292"/>
  <c r="BE50" i="1292"/>
  <c r="BE53" i="1292"/>
  <c r="BE43" i="1292"/>
  <c r="BE47" i="1292"/>
  <c r="BE28" i="1292"/>
  <c r="BE10" i="1292"/>
  <c r="BE39" i="1292"/>
  <c r="BE55" i="1292"/>
  <c r="BE30" i="1292"/>
  <c r="BE25" i="1292"/>
  <c r="BE37" i="1292"/>
  <c r="BE21" i="1292"/>
  <c r="BE11" i="1292"/>
  <c r="BE16" i="1292"/>
  <c r="BE7" i="1292"/>
  <c r="BE32" i="1292"/>
  <c r="BE31" i="1292"/>
  <c r="BE29" i="1292"/>
  <c r="BE45" i="1292"/>
  <c r="BE33" i="1292"/>
  <c r="BE12" i="1292"/>
  <c r="BE44" i="1292"/>
  <c r="BE22" i="1292"/>
  <c r="O11" i="1265"/>
  <c r="O42" i="1265" s="1"/>
  <c r="P11" i="1265"/>
  <c r="P42" i="1265" s="1"/>
  <c r="F21" i="1282"/>
  <c r="AW43" i="1309"/>
  <c r="AW31" i="1309"/>
  <c r="AW14" i="1309"/>
  <c r="AW22" i="1309"/>
  <c r="AW50" i="1309"/>
  <c r="AW9" i="1309"/>
  <c r="AW47" i="1309"/>
  <c r="AW23" i="1309"/>
  <c r="AW39" i="1309"/>
  <c r="AW28" i="1309"/>
  <c r="AW15" i="1309"/>
  <c r="AW46" i="1309"/>
  <c r="AW18" i="1309"/>
  <c r="AW25" i="1309"/>
  <c r="AW17" i="1309"/>
  <c r="AW24" i="1309"/>
  <c r="AW40" i="1309"/>
  <c r="AW35" i="1309"/>
  <c r="AW42" i="1309"/>
  <c r="AW33" i="1309"/>
  <c r="AW21" i="1309"/>
  <c r="AW16" i="1309"/>
  <c r="AW27" i="1309"/>
  <c r="AW26" i="1309"/>
  <c r="AW48" i="1309"/>
  <c r="AW45" i="1309"/>
  <c r="AW19" i="1309"/>
  <c r="AW44" i="1309"/>
  <c r="AW41" i="1309"/>
  <c r="AW54" i="1309"/>
  <c r="AW34" i="1309"/>
  <c r="AW5" i="1309"/>
  <c r="AW29" i="1309"/>
  <c r="AW51" i="1309"/>
  <c r="AW36" i="1309"/>
  <c r="AW11" i="1309"/>
  <c r="AW13" i="1309"/>
  <c r="AW10" i="1309"/>
  <c r="AW20" i="1309"/>
  <c r="AW32" i="1309"/>
  <c r="AW30" i="1309"/>
  <c r="AW8" i="1309"/>
  <c r="O15" i="1308"/>
  <c r="O28" i="1308"/>
  <c r="BG16" i="1310"/>
  <c r="BG22" i="1310" s="1"/>
  <c r="O54" i="1308"/>
  <c r="O5" i="1308"/>
  <c r="O40" i="1308"/>
  <c r="O23" i="1308"/>
  <c r="O43" i="1308"/>
  <c r="O32" i="1308"/>
  <c r="O47" i="1308"/>
  <c r="O36" i="1308"/>
  <c r="O51" i="1308"/>
  <c r="O41" i="1308"/>
  <c r="O14" i="1308"/>
  <c r="O29" i="1308"/>
  <c r="O16" i="1308"/>
  <c r="O9" i="1308"/>
  <c r="O26" i="1308"/>
  <c r="O50" i="1308"/>
  <c r="O42" i="1308"/>
  <c r="O11" i="1308"/>
  <c r="O45" i="1308"/>
  <c r="O18" i="1308"/>
  <c r="O25" i="1308"/>
  <c r="O31" i="1308"/>
  <c r="O44" i="1308"/>
  <c r="O21" i="1308"/>
  <c r="O33" i="1308"/>
  <c r="O22" i="1308"/>
  <c r="O10" i="1308"/>
  <c r="O24" i="1308"/>
  <c r="O27" i="1308"/>
  <c r="O34" i="1308"/>
  <c r="O46" i="1308"/>
  <c r="O19" i="1308"/>
  <c r="O8" i="1308"/>
  <c r="O35" i="1308"/>
  <c r="O48" i="1308"/>
  <c r="O20" i="1308"/>
  <c r="O13" i="1308"/>
  <c r="O30" i="1308"/>
  <c r="O39" i="1308"/>
  <c r="O38" i="1308"/>
  <c r="O17" i="1308"/>
  <c r="O7" i="1308"/>
  <c r="N38" i="1271"/>
  <c r="N28" i="1271"/>
  <c r="L8" i="1258"/>
  <c r="I6" i="1263"/>
  <c r="I14" i="1263" s="1"/>
  <c r="U69" i="1269"/>
  <c r="T23" i="1266"/>
  <c r="V37" i="1271"/>
  <c r="J45" i="1271" s="1"/>
  <c r="V16" i="1271"/>
  <c r="H45" i="1271" s="1"/>
  <c r="N18" i="1266"/>
  <c r="N13" i="1258"/>
  <c r="N26" i="1258" s="1"/>
  <c r="T7" i="1258"/>
  <c r="N20" i="1258"/>
  <c r="O21" i="1259"/>
  <c r="S26" i="1258"/>
  <c r="Q16" i="1259"/>
  <c r="P17" i="1259"/>
  <c r="O24" i="1259"/>
  <c r="O19" i="1259"/>
  <c r="O22" i="1259"/>
  <c r="O20" i="1259"/>
  <c r="O25" i="1266"/>
  <c r="P12" i="1265" s="1"/>
  <c r="P41" i="1265"/>
  <c r="U8" i="1266"/>
  <c r="V6" i="1265"/>
  <c r="G48" i="1265"/>
  <c r="N12" i="1266"/>
  <c r="O29" i="1265"/>
  <c r="V63" i="1269"/>
  <c r="H76" i="1269" s="1"/>
  <c r="U8" i="1264"/>
  <c r="L12" i="1266"/>
  <c r="M29" i="1265"/>
  <c r="I12" i="1266"/>
  <c r="J29" i="1265"/>
  <c r="T29" i="1265"/>
  <c r="T30" i="1265"/>
  <c r="G15" i="1266"/>
  <c r="G13" i="1258"/>
  <c r="G26" i="1258" s="1"/>
  <c r="H15" i="1264"/>
  <c r="G21" i="1258"/>
  <c r="J8" i="1258"/>
  <c r="G6" i="1263"/>
  <c r="G14" i="1263" s="1"/>
  <c r="F9" i="1266"/>
  <c r="V9" i="1260"/>
  <c r="U6" i="1258"/>
  <c r="F30" i="1258"/>
  <c r="F8" i="1265"/>
  <c r="H28" i="1271"/>
  <c r="H53" i="1271" s="1"/>
  <c r="H38" i="1271"/>
  <c r="T20" i="1258" l="1"/>
  <c r="H15" i="1266"/>
  <c r="H14" i="1266" s="1"/>
  <c r="I10" i="1265" s="1"/>
  <c r="I41" i="1265" s="1"/>
  <c r="U6" i="1259"/>
  <c r="G29" i="1259" s="1"/>
  <c r="U14" i="1264"/>
  <c r="I15" i="1264"/>
  <c r="H13" i="1258"/>
  <c r="H26" i="1258" s="1"/>
  <c r="F17" i="1266"/>
  <c r="F21" i="1258"/>
  <c r="F14" i="1266"/>
  <c r="G10" i="1265" s="1"/>
  <c r="I21" i="1258"/>
  <c r="H30" i="1258"/>
  <c r="F13" i="1258"/>
  <c r="G15" i="1264"/>
  <c r="I15" i="1266"/>
  <c r="K44" i="1269" s="1"/>
  <c r="K66" i="1269" s="1"/>
  <c r="I13" i="1258"/>
  <c r="I26" i="1258" s="1"/>
  <c r="H49" i="1269"/>
  <c r="H48" i="1269" s="1"/>
  <c r="H67" i="1269" s="1"/>
  <c r="G11" i="1265"/>
  <c r="G42" i="1265" s="1"/>
  <c r="M25" i="1266"/>
  <c r="M26" i="1266" s="1"/>
  <c r="G49" i="1269"/>
  <c r="G48" i="1269" s="1"/>
  <c r="I49" i="1269"/>
  <c r="I48" i="1269" s="1"/>
  <c r="I67" i="1269" s="1"/>
  <c r="J49" i="1269"/>
  <c r="J48" i="1269" s="1"/>
  <c r="J67" i="1269" s="1"/>
  <c r="D11" i="1325"/>
  <c r="Q52" i="1269"/>
  <c r="Q53" i="1269" s="1"/>
  <c r="F29" i="1265"/>
  <c r="U31" i="1265" s="1"/>
  <c r="I51" i="1265" s="1"/>
  <c r="U9" i="1265"/>
  <c r="G51" i="1265" s="1"/>
  <c r="P25" i="1266"/>
  <c r="Q12" i="1265" s="1"/>
  <c r="Q43" i="1265" s="1"/>
  <c r="R25" i="1266"/>
  <c r="S12" i="1265" s="1"/>
  <c r="S43" i="1265" s="1"/>
  <c r="O52" i="1269"/>
  <c r="O53" i="1269" s="1"/>
  <c r="V8" i="1259"/>
  <c r="J16" i="1266"/>
  <c r="J22" i="1266" s="1"/>
  <c r="G21" i="1266"/>
  <c r="H11" i="1265" s="1"/>
  <c r="H42" i="1265" s="1"/>
  <c r="S28" i="1320"/>
  <c r="R52" i="1269"/>
  <c r="R53" i="1269" s="1"/>
  <c r="H21" i="1266"/>
  <c r="I11" i="1265" s="1"/>
  <c r="I42" i="1265" s="1"/>
  <c r="T18" i="1284"/>
  <c r="U20" i="1284"/>
  <c r="Q30" i="1284"/>
  <c r="R30" i="1284" s="1"/>
  <c r="V30" i="1284" s="1"/>
  <c r="W30" i="1284" s="1"/>
  <c r="X30" i="1284" s="1"/>
  <c r="Y30" i="1284" s="1"/>
  <c r="Z30" i="1284" s="1"/>
  <c r="AA30" i="1284" s="1"/>
  <c r="AB30" i="1284" s="1"/>
  <c r="AC30" i="1284" s="1"/>
  <c r="AD30" i="1284" s="1"/>
  <c r="AE30" i="1284" s="1"/>
  <c r="AF30" i="1284" s="1"/>
  <c r="AG30" i="1284" s="1"/>
  <c r="AH30" i="1284" s="1"/>
  <c r="AI30" i="1284" s="1"/>
  <c r="AJ30" i="1284" s="1"/>
  <c r="AK30" i="1284" s="1"/>
  <c r="AL30" i="1284" s="1"/>
  <c r="AM30" i="1284" s="1"/>
  <c r="AN30" i="1284" s="1"/>
  <c r="AO30" i="1284" s="1"/>
  <c r="M30" i="1284"/>
  <c r="L28" i="1284"/>
  <c r="T66" i="1269"/>
  <c r="T52" i="1269"/>
  <c r="R11" i="1265"/>
  <c r="R42" i="1265" s="1"/>
  <c r="Q25" i="1266"/>
  <c r="T12" i="1265"/>
  <c r="T43" i="1265" s="1"/>
  <c r="S26" i="1266"/>
  <c r="T13" i="1265" s="1"/>
  <c r="T44" i="1265" s="1"/>
  <c r="L15" i="1266"/>
  <c r="L21" i="1258"/>
  <c r="M15" i="1264"/>
  <c r="L13" i="1258"/>
  <c r="L26" i="1258" s="1"/>
  <c r="N40" i="1271"/>
  <c r="M40" i="1271"/>
  <c r="K21" i="1258"/>
  <c r="K15" i="1266"/>
  <c r="L15" i="1264"/>
  <c r="K13" i="1258"/>
  <c r="K26" i="1258" s="1"/>
  <c r="K16" i="1266"/>
  <c r="K22" i="1266" s="1"/>
  <c r="S52" i="1269"/>
  <c r="S67" i="1269"/>
  <c r="J8" i="1265"/>
  <c r="J30" i="1265" s="1"/>
  <c r="M8" i="1265"/>
  <c r="M30" i="1265" s="1"/>
  <c r="O8" i="1265"/>
  <c r="O30" i="1265" s="1"/>
  <c r="P69" i="1269"/>
  <c r="V50" i="1269"/>
  <c r="U7" i="1258"/>
  <c r="F31" i="1258"/>
  <c r="N20" i="1266"/>
  <c r="N14" i="1266"/>
  <c r="O10" i="1265" s="1"/>
  <c r="T10" i="1266"/>
  <c r="W9" i="1271" s="1"/>
  <c r="R16" i="1259"/>
  <c r="Q17" i="1259"/>
  <c r="P20" i="1259"/>
  <c r="P19" i="1259"/>
  <c r="P24" i="1259"/>
  <c r="P22" i="1259"/>
  <c r="P21" i="1259"/>
  <c r="P18" i="1259"/>
  <c r="E21" i="1266"/>
  <c r="P43" i="1265"/>
  <c r="O26" i="1266"/>
  <c r="I44" i="1269"/>
  <c r="G14" i="1266"/>
  <c r="G17" i="1266"/>
  <c r="J13" i="1258"/>
  <c r="J15" i="1266"/>
  <c r="L44" i="1269" s="1"/>
  <c r="K15" i="1264"/>
  <c r="J21" i="1258"/>
  <c r="F12" i="1266"/>
  <c r="G7" i="1265"/>
  <c r="T9" i="1266"/>
  <c r="W18" i="1269" s="1"/>
  <c r="H40" i="1271"/>
  <c r="F30" i="1265"/>
  <c r="H66" i="1269"/>
  <c r="F26" i="1258" l="1"/>
  <c r="F39" i="1258"/>
  <c r="H31" i="1258"/>
  <c r="F40" i="1258" s="1"/>
  <c r="D12" i="1325"/>
  <c r="D18" i="1325" s="1"/>
  <c r="C6" i="1323"/>
  <c r="J44" i="1269"/>
  <c r="J66" i="1269" s="1"/>
  <c r="H17" i="1266"/>
  <c r="F25" i="1266"/>
  <c r="G12" i="1265" s="1"/>
  <c r="I14" i="1266"/>
  <c r="J10" i="1265" s="1"/>
  <c r="J41" i="1265" s="1"/>
  <c r="K52" i="1269"/>
  <c r="K53" i="1269" s="1"/>
  <c r="H52" i="1269"/>
  <c r="H53" i="1269" s="1"/>
  <c r="H86" i="1269" s="1"/>
  <c r="I17" i="1266"/>
  <c r="Q68" i="1269"/>
  <c r="L49" i="1269"/>
  <c r="L48" i="1269" s="1"/>
  <c r="V6" i="1259"/>
  <c r="P26" i="1266"/>
  <c r="Q13" i="1265" s="1"/>
  <c r="Q44" i="1265" s="1"/>
  <c r="R26" i="1266"/>
  <c r="S13" i="1265" s="1"/>
  <c r="S44" i="1265" s="1"/>
  <c r="G32" i="1259"/>
  <c r="O68" i="1269"/>
  <c r="J21" i="1266"/>
  <c r="K11" i="1265" s="1"/>
  <c r="K42" i="1265" s="1"/>
  <c r="R68" i="1269"/>
  <c r="N12" i="1265"/>
  <c r="N43" i="1265" s="1"/>
  <c r="N13" i="1265"/>
  <c r="N44" i="1265" s="1"/>
  <c r="H25" i="1266"/>
  <c r="H26" i="1266" s="1"/>
  <c r="I13" i="1265" s="1"/>
  <c r="I44" i="1265" s="1"/>
  <c r="S53" i="1269"/>
  <c r="S68" i="1269"/>
  <c r="Q69" i="1269"/>
  <c r="T16" i="1266"/>
  <c r="T53" i="1269"/>
  <c r="T68" i="1269"/>
  <c r="Q28" i="1284"/>
  <c r="R28" i="1284" s="1"/>
  <c r="V28" i="1284" s="1"/>
  <c r="W28" i="1284" s="1"/>
  <c r="X28" i="1284" s="1"/>
  <c r="Y28" i="1284" s="1"/>
  <c r="Z28" i="1284" s="1"/>
  <c r="AA28" i="1284" s="1"/>
  <c r="AB28" i="1284" s="1"/>
  <c r="AC28" i="1284" s="1"/>
  <c r="AD28" i="1284" s="1"/>
  <c r="AE28" i="1284" s="1"/>
  <c r="AF28" i="1284" s="1"/>
  <c r="AG28" i="1284" s="1"/>
  <c r="AH28" i="1284" s="1"/>
  <c r="AI28" i="1284" s="1"/>
  <c r="AJ28" i="1284" s="1"/>
  <c r="AK28" i="1284" s="1"/>
  <c r="AL28" i="1284" s="1"/>
  <c r="AM28" i="1284" s="1"/>
  <c r="AN28" i="1284" s="1"/>
  <c r="AO28" i="1284" s="1"/>
  <c r="M28" i="1284"/>
  <c r="L26" i="1284"/>
  <c r="U18" i="1284"/>
  <c r="T16" i="1284"/>
  <c r="M44" i="1269"/>
  <c r="M66" i="1269" s="1"/>
  <c r="K14" i="1266"/>
  <c r="L10" i="1265" s="1"/>
  <c r="L41" i="1265" s="1"/>
  <c r="K17" i="1266"/>
  <c r="N44" i="1269"/>
  <c r="L14" i="1266"/>
  <c r="L17" i="1266"/>
  <c r="R12" i="1265"/>
  <c r="R43" i="1265" s="1"/>
  <c r="Q26" i="1266"/>
  <c r="R13" i="1265" s="1"/>
  <c r="R44" i="1265" s="1"/>
  <c r="P13" i="1265"/>
  <c r="P44" i="1265" s="1"/>
  <c r="R69" i="1269"/>
  <c r="O69" i="1269"/>
  <c r="T20" i="1266"/>
  <c r="T18" i="1266"/>
  <c r="N25" i="1266"/>
  <c r="O12" i="1265" s="1"/>
  <c r="O41" i="1265"/>
  <c r="Q19" i="1259"/>
  <c r="Q22" i="1259"/>
  <c r="Q24" i="1259"/>
  <c r="Q20" i="1259"/>
  <c r="Q18" i="1259"/>
  <c r="Q21" i="1259"/>
  <c r="S16" i="1259"/>
  <c r="R17" i="1259"/>
  <c r="F11" i="1265"/>
  <c r="F42" i="1265" s="1"/>
  <c r="G67" i="1269"/>
  <c r="I52" i="1269"/>
  <c r="I66" i="1269"/>
  <c r="G25" i="1266"/>
  <c r="G26" i="1266" s="1"/>
  <c r="H10" i="1265"/>
  <c r="H41" i="1265" s="1"/>
  <c r="J14" i="1266"/>
  <c r="K10" i="1265" s="1"/>
  <c r="J17" i="1266"/>
  <c r="J26" i="1258"/>
  <c r="G8" i="1265"/>
  <c r="T12" i="1266"/>
  <c r="G29" i="1265"/>
  <c r="U29" i="1265" s="1"/>
  <c r="I49" i="1265" s="1"/>
  <c r="U7" i="1265"/>
  <c r="G41" i="1265"/>
  <c r="J52" i="1269" l="1"/>
  <c r="J68" i="1269" s="1"/>
  <c r="F26" i="1266"/>
  <c r="G13" i="1265" s="1"/>
  <c r="G59" i="1265" s="1"/>
  <c r="K68" i="1269"/>
  <c r="I25" i="1266"/>
  <c r="J12" i="1265" s="1"/>
  <c r="J43" i="1265" s="1"/>
  <c r="H68" i="1269"/>
  <c r="B2" i="1327"/>
  <c r="D20" i="1325" s="1"/>
  <c r="G40" i="1258"/>
  <c r="L67" i="1269"/>
  <c r="L52" i="1269"/>
  <c r="L53" i="1269" s="1"/>
  <c r="I12" i="1265"/>
  <c r="I43" i="1265" s="1"/>
  <c r="M10" i="1265"/>
  <c r="M41" i="1265" s="1"/>
  <c r="L25" i="1266"/>
  <c r="N52" i="1269"/>
  <c r="N66" i="1269"/>
  <c r="T14" i="1284"/>
  <c r="U16" i="1284"/>
  <c r="M26" i="1284"/>
  <c r="Q26" i="1284"/>
  <c r="R26" i="1284" s="1"/>
  <c r="V26" i="1284" s="1"/>
  <c r="W26" i="1284" s="1"/>
  <c r="X26" i="1284" s="1"/>
  <c r="Y26" i="1284" s="1"/>
  <c r="Z26" i="1284" s="1"/>
  <c r="AA26" i="1284" s="1"/>
  <c r="AB26" i="1284" s="1"/>
  <c r="AC26" i="1284" s="1"/>
  <c r="AD26" i="1284" s="1"/>
  <c r="AE26" i="1284" s="1"/>
  <c r="AF26" i="1284" s="1"/>
  <c r="AG26" i="1284" s="1"/>
  <c r="AH26" i="1284" s="1"/>
  <c r="AI26" i="1284" s="1"/>
  <c r="AJ26" i="1284" s="1"/>
  <c r="AK26" i="1284" s="1"/>
  <c r="AL26" i="1284" s="1"/>
  <c r="AM26" i="1284" s="1"/>
  <c r="AN26" i="1284" s="1"/>
  <c r="AO26" i="1284" s="1"/>
  <c r="L24" i="1284"/>
  <c r="T69" i="1269"/>
  <c r="M49" i="1269"/>
  <c r="K21" i="1266"/>
  <c r="T22" i="1266"/>
  <c r="S69" i="1269"/>
  <c r="K69" i="1269"/>
  <c r="O43" i="1265"/>
  <c r="N26" i="1266"/>
  <c r="U18" i="1266"/>
  <c r="T16" i="1259"/>
  <c r="S17" i="1259"/>
  <c r="R20" i="1259"/>
  <c r="R24" i="1259"/>
  <c r="R22" i="1259"/>
  <c r="R21" i="1259"/>
  <c r="R19" i="1259"/>
  <c r="R18" i="1259"/>
  <c r="I53" i="1269"/>
  <c r="I68" i="1269"/>
  <c r="H12" i="1265"/>
  <c r="H43" i="1265" s="1"/>
  <c r="H13" i="1265"/>
  <c r="H44" i="1265" s="1"/>
  <c r="L66" i="1269"/>
  <c r="J25" i="1266"/>
  <c r="K12" i="1265" s="1"/>
  <c r="V7" i="1265"/>
  <c r="G49" i="1265"/>
  <c r="G30" i="1265"/>
  <c r="U30" i="1265" s="1"/>
  <c r="I50" i="1265" s="1"/>
  <c r="U8" i="1265"/>
  <c r="G50" i="1265" s="1"/>
  <c r="U9" i="1266"/>
  <c r="G43" i="1265"/>
  <c r="H69" i="1269"/>
  <c r="J53" i="1269" l="1"/>
  <c r="J69" i="1269" s="1"/>
  <c r="I26" i="1266"/>
  <c r="J13" i="1265" s="1"/>
  <c r="J44" i="1265" s="1"/>
  <c r="L11" i="1265"/>
  <c r="U11" i="1265" s="1"/>
  <c r="G53" i="1265" s="1"/>
  <c r="K25" i="1266"/>
  <c r="T21" i="1266"/>
  <c r="Q24" i="1284"/>
  <c r="R24" i="1284" s="1"/>
  <c r="V24" i="1284" s="1"/>
  <c r="W24" i="1284" s="1"/>
  <c r="X24" i="1284" s="1"/>
  <c r="Y24" i="1284" s="1"/>
  <c r="Z24" i="1284" s="1"/>
  <c r="AA24" i="1284" s="1"/>
  <c r="AB24" i="1284" s="1"/>
  <c r="AC24" i="1284" s="1"/>
  <c r="AD24" i="1284" s="1"/>
  <c r="AE24" i="1284" s="1"/>
  <c r="AF24" i="1284" s="1"/>
  <c r="AG24" i="1284" s="1"/>
  <c r="AH24" i="1284" s="1"/>
  <c r="AI24" i="1284" s="1"/>
  <c r="AJ24" i="1284" s="1"/>
  <c r="AK24" i="1284" s="1"/>
  <c r="AL24" i="1284" s="1"/>
  <c r="AM24" i="1284" s="1"/>
  <c r="AN24" i="1284" s="1"/>
  <c r="AO24" i="1284" s="1"/>
  <c r="M24" i="1284"/>
  <c r="L22" i="1284"/>
  <c r="T12" i="1284"/>
  <c r="U14" i="1284"/>
  <c r="N53" i="1269"/>
  <c r="N68" i="1269"/>
  <c r="M12" i="1265"/>
  <c r="M43" i="1265" s="1"/>
  <c r="L26" i="1266"/>
  <c r="M13" i="1265" s="1"/>
  <c r="M44" i="1265" s="1"/>
  <c r="M48" i="1269"/>
  <c r="V49" i="1269"/>
  <c r="O13" i="1265"/>
  <c r="O44" i="1265" s="1"/>
  <c r="I69" i="1269"/>
  <c r="T17" i="1259"/>
  <c r="S23" i="1259"/>
  <c r="S19" i="1259"/>
  <c r="S22" i="1259"/>
  <c r="S20" i="1259"/>
  <c r="S24" i="1259"/>
  <c r="S18" i="1259"/>
  <c r="S21" i="1259"/>
  <c r="S25" i="1259"/>
  <c r="J26" i="1266"/>
  <c r="K13" i="1265" s="1"/>
  <c r="L68" i="1269"/>
  <c r="K41" i="1265"/>
  <c r="G44" i="1265"/>
  <c r="N69" i="1269" l="1"/>
  <c r="T10" i="1284"/>
  <c r="U12" i="1284"/>
  <c r="M52" i="1269"/>
  <c r="M67" i="1269"/>
  <c r="V67" i="1269" s="1"/>
  <c r="H80" i="1269" s="1"/>
  <c r="V48" i="1269"/>
  <c r="F80" i="1269" s="1"/>
  <c r="Q22" i="1284"/>
  <c r="R22" i="1284" s="1"/>
  <c r="V22" i="1284" s="1"/>
  <c r="W22" i="1284" s="1"/>
  <c r="X22" i="1284" s="1"/>
  <c r="Y22" i="1284" s="1"/>
  <c r="Z22" i="1284" s="1"/>
  <c r="AA22" i="1284" s="1"/>
  <c r="AB22" i="1284" s="1"/>
  <c r="AC22" i="1284" s="1"/>
  <c r="AD22" i="1284" s="1"/>
  <c r="AE22" i="1284" s="1"/>
  <c r="AF22" i="1284" s="1"/>
  <c r="AG22" i="1284" s="1"/>
  <c r="AH22" i="1284" s="1"/>
  <c r="AI22" i="1284" s="1"/>
  <c r="AJ22" i="1284" s="1"/>
  <c r="AK22" i="1284" s="1"/>
  <c r="AL22" i="1284" s="1"/>
  <c r="AM22" i="1284" s="1"/>
  <c r="AN22" i="1284" s="1"/>
  <c r="AO22" i="1284" s="1"/>
  <c r="M22" i="1284"/>
  <c r="L20" i="1284"/>
  <c r="L12" i="1265"/>
  <c r="L43" i="1265" s="1"/>
  <c r="K26" i="1266"/>
  <c r="L13" i="1265" s="1"/>
  <c r="L44" i="1265" s="1"/>
  <c r="L42" i="1265"/>
  <c r="U42" i="1265" s="1"/>
  <c r="I53" i="1265" s="1"/>
  <c r="T19" i="1259"/>
  <c r="T23" i="1259"/>
  <c r="T24" i="1259"/>
  <c r="T22" i="1259"/>
  <c r="T21" i="1259"/>
  <c r="T20" i="1259"/>
  <c r="T18" i="1259"/>
  <c r="T25" i="1259"/>
  <c r="K43" i="1265"/>
  <c r="L69" i="1269"/>
  <c r="Q20" i="1284" l="1"/>
  <c r="R20" i="1284" s="1"/>
  <c r="V20" i="1284" s="1"/>
  <c r="W20" i="1284" s="1"/>
  <c r="X20" i="1284" s="1"/>
  <c r="Y20" i="1284" s="1"/>
  <c r="Z20" i="1284" s="1"/>
  <c r="AA20" i="1284" s="1"/>
  <c r="AB20" i="1284" s="1"/>
  <c r="AC20" i="1284" s="1"/>
  <c r="AD20" i="1284" s="1"/>
  <c r="AE20" i="1284" s="1"/>
  <c r="AF20" i="1284" s="1"/>
  <c r="AG20" i="1284" s="1"/>
  <c r="AH20" i="1284" s="1"/>
  <c r="AI20" i="1284" s="1"/>
  <c r="AJ20" i="1284" s="1"/>
  <c r="AK20" i="1284" s="1"/>
  <c r="AL20" i="1284" s="1"/>
  <c r="AM20" i="1284" s="1"/>
  <c r="AN20" i="1284" s="1"/>
  <c r="AO20" i="1284" s="1"/>
  <c r="M20" i="1284"/>
  <c r="L18" i="1284"/>
  <c r="M53" i="1269"/>
  <c r="M68" i="1269"/>
  <c r="U10" i="1284"/>
  <c r="T8" i="1284"/>
  <c r="K44" i="1265"/>
  <c r="C11" i="1312" l="1"/>
  <c r="M69" i="1269"/>
  <c r="T6" i="1284"/>
  <c r="U8" i="1284"/>
  <c r="M18" i="1284"/>
  <c r="Q18" i="1284"/>
  <c r="R18" i="1284" s="1"/>
  <c r="V18" i="1284" s="1"/>
  <c r="W18" i="1284" s="1"/>
  <c r="X18" i="1284" s="1"/>
  <c r="Y18" i="1284" s="1"/>
  <c r="Z18" i="1284" s="1"/>
  <c r="AA18" i="1284" s="1"/>
  <c r="AB18" i="1284" s="1"/>
  <c r="AC18" i="1284" s="1"/>
  <c r="AD18" i="1284" s="1"/>
  <c r="AE18" i="1284" s="1"/>
  <c r="AF18" i="1284" s="1"/>
  <c r="AG18" i="1284" s="1"/>
  <c r="AH18" i="1284" s="1"/>
  <c r="AI18" i="1284" s="1"/>
  <c r="AJ18" i="1284" s="1"/>
  <c r="AK18" i="1284" s="1"/>
  <c r="AL18" i="1284" s="1"/>
  <c r="AM18" i="1284" s="1"/>
  <c r="AN18" i="1284" s="1"/>
  <c r="AO18" i="1284" s="1"/>
  <c r="L16" i="1284"/>
  <c r="Q16" i="1284" l="1"/>
  <c r="R16" i="1284" s="1"/>
  <c r="V16" i="1284" s="1"/>
  <c r="W16" i="1284" s="1"/>
  <c r="X16" i="1284" s="1"/>
  <c r="Y16" i="1284" s="1"/>
  <c r="Z16" i="1284" s="1"/>
  <c r="AA16" i="1284" s="1"/>
  <c r="AB16" i="1284" s="1"/>
  <c r="AC16" i="1284" s="1"/>
  <c r="AD16" i="1284" s="1"/>
  <c r="AE16" i="1284" s="1"/>
  <c r="AF16" i="1284" s="1"/>
  <c r="AG16" i="1284" s="1"/>
  <c r="AH16" i="1284" s="1"/>
  <c r="AI16" i="1284" s="1"/>
  <c r="AJ16" i="1284" s="1"/>
  <c r="AK16" i="1284" s="1"/>
  <c r="AL16" i="1284" s="1"/>
  <c r="AM16" i="1284" s="1"/>
  <c r="AN16" i="1284" s="1"/>
  <c r="AO16" i="1284" s="1"/>
  <c r="M16" i="1284"/>
  <c r="L14" i="1284"/>
  <c r="T4" i="1284"/>
  <c r="U4" i="1284" s="1"/>
  <c r="U6" i="1284"/>
  <c r="Q14" i="1284" l="1"/>
  <c r="R14" i="1284" s="1"/>
  <c r="V14" i="1284" s="1"/>
  <c r="W14" i="1284" s="1"/>
  <c r="X14" i="1284" s="1"/>
  <c r="Y14" i="1284" s="1"/>
  <c r="Z14" i="1284" s="1"/>
  <c r="AA14" i="1284" s="1"/>
  <c r="AB14" i="1284" s="1"/>
  <c r="AC14" i="1284" s="1"/>
  <c r="AD14" i="1284" s="1"/>
  <c r="AE14" i="1284" s="1"/>
  <c r="AF14" i="1284" s="1"/>
  <c r="AG14" i="1284" s="1"/>
  <c r="AH14" i="1284" s="1"/>
  <c r="AI14" i="1284" s="1"/>
  <c r="AJ14" i="1284" s="1"/>
  <c r="AK14" i="1284" s="1"/>
  <c r="AL14" i="1284" s="1"/>
  <c r="AM14" i="1284" s="1"/>
  <c r="AN14" i="1284" s="1"/>
  <c r="AO14" i="1284" s="1"/>
  <c r="M14" i="1284"/>
  <c r="L12" i="1284"/>
  <c r="M12" i="1284" l="1"/>
  <c r="Q12" i="1284"/>
  <c r="R12" i="1284" s="1"/>
  <c r="V12" i="1284" s="1"/>
  <c r="W12" i="1284" s="1"/>
  <c r="X12" i="1284" s="1"/>
  <c r="Y12" i="1284" s="1"/>
  <c r="Z12" i="1284" s="1"/>
  <c r="AA12" i="1284" s="1"/>
  <c r="AB12" i="1284" s="1"/>
  <c r="AC12" i="1284" s="1"/>
  <c r="AD12" i="1284" s="1"/>
  <c r="AE12" i="1284" s="1"/>
  <c r="AF12" i="1284" s="1"/>
  <c r="AG12" i="1284" s="1"/>
  <c r="AH12" i="1284" s="1"/>
  <c r="AI12" i="1284" s="1"/>
  <c r="AJ12" i="1284" s="1"/>
  <c r="AK12" i="1284" s="1"/>
  <c r="AL12" i="1284" s="1"/>
  <c r="AM12" i="1284" s="1"/>
  <c r="AN12" i="1284" s="1"/>
  <c r="AO12" i="1284" s="1"/>
  <c r="L10" i="1284"/>
  <c r="N24" i="1259" l="1"/>
  <c r="N7" i="1264"/>
  <c r="Q10" i="1284"/>
  <c r="R10" i="1284" s="1"/>
  <c r="V10" i="1284" s="1"/>
  <c r="W10" i="1284" s="1"/>
  <c r="X10" i="1284" s="1"/>
  <c r="Y10" i="1284" s="1"/>
  <c r="Z10" i="1284" s="1"/>
  <c r="AA10" i="1284" s="1"/>
  <c r="AB10" i="1284" s="1"/>
  <c r="AC10" i="1284" s="1"/>
  <c r="AD10" i="1284" s="1"/>
  <c r="AE10" i="1284" s="1"/>
  <c r="AF10" i="1284" s="1"/>
  <c r="AG10" i="1284" s="1"/>
  <c r="AH10" i="1284" s="1"/>
  <c r="AI10" i="1284" s="1"/>
  <c r="AJ10" i="1284" s="1"/>
  <c r="AK10" i="1284" s="1"/>
  <c r="AL10" i="1284" s="1"/>
  <c r="AM10" i="1284" s="1"/>
  <c r="AN10" i="1284" s="1"/>
  <c r="AO10" i="1284" s="1"/>
  <c r="M10" i="1284"/>
  <c r="L8" i="1284"/>
  <c r="Q8" i="1284" l="1"/>
  <c r="R8" i="1284" s="1"/>
  <c r="V8" i="1284" s="1"/>
  <c r="W8" i="1284" s="1"/>
  <c r="X8" i="1284" s="1"/>
  <c r="Y8" i="1284" s="1"/>
  <c r="Z8" i="1284" s="1"/>
  <c r="AA8" i="1284" s="1"/>
  <c r="AB8" i="1284" s="1"/>
  <c r="AC8" i="1284" s="1"/>
  <c r="AD8" i="1284" s="1"/>
  <c r="AE8" i="1284" s="1"/>
  <c r="AF8" i="1284" s="1"/>
  <c r="AG8" i="1284" s="1"/>
  <c r="AH8" i="1284" s="1"/>
  <c r="AI8" i="1284" s="1"/>
  <c r="AJ8" i="1284" s="1"/>
  <c r="AK8" i="1284" s="1"/>
  <c r="AL8" i="1284" s="1"/>
  <c r="AM8" i="1284" s="1"/>
  <c r="AN8" i="1284" s="1"/>
  <c r="AO8" i="1284" s="1"/>
  <c r="M8" i="1284"/>
  <c r="L6" i="1284"/>
  <c r="Q6" i="1284" l="1"/>
  <c r="R6" i="1284" s="1"/>
  <c r="V6" i="1284" s="1"/>
  <c r="W6" i="1284" s="1"/>
  <c r="X6" i="1284" s="1"/>
  <c r="Y6" i="1284" s="1"/>
  <c r="Z6" i="1284" s="1"/>
  <c r="AA6" i="1284" s="1"/>
  <c r="AB6" i="1284" s="1"/>
  <c r="AC6" i="1284" s="1"/>
  <c r="AD6" i="1284" s="1"/>
  <c r="AE6" i="1284" s="1"/>
  <c r="AF6" i="1284" s="1"/>
  <c r="AG6" i="1284" s="1"/>
  <c r="AH6" i="1284" s="1"/>
  <c r="AI6" i="1284" s="1"/>
  <c r="AJ6" i="1284" s="1"/>
  <c r="AK6" i="1284" s="1"/>
  <c r="AL6" i="1284" s="1"/>
  <c r="AM6" i="1284" s="1"/>
  <c r="AN6" i="1284" s="1"/>
  <c r="AO6" i="1284" s="1"/>
  <c r="M6" i="1284"/>
  <c r="L4" i="1284"/>
  <c r="Q4" i="1284" l="1"/>
  <c r="R4" i="1284" s="1"/>
  <c r="V4" i="1284" s="1"/>
  <c r="W4" i="1284" s="1"/>
  <c r="X4" i="1284" s="1"/>
  <c r="Y4" i="1284" s="1"/>
  <c r="Z4" i="1284" s="1"/>
  <c r="AA4" i="1284" s="1"/>
  <c r="AB4" i="1284" s="1"/>
  <c r="AC4" i="1284" s="1"/>
  <c r="AD4" i="1284" s="1"/>
  <c r="AE4" i="1284" s="1"/>
  <c r="AF4" i="1284" s="1"/>
  <c r="AG4" i="1284" s="1"/>
  <c r="AH4" i="1284" s="1"/>
  <c r="AI4" i="1284" s="1"/>
  <c r="AJ4" i="1284" s="1"/>
  <c r="AK4" i="1284" s="1"/>
  <c r="AL4" i="1284" s="1"/>
  <c r="AM4" i="1284" s="1"/>
  <c r="AN4" i="1284" s="1"/>
  <c r="AO4" i="1284" s="1"/>
  <c r="M4" i="1284"/>
  <c r="L7" i="1264" l="1"/>
  <c r="L24" i="1259"/>
  <c r="K7" i="1264"/>
  <c r="M7" i="1264"/>
  <c r="J7" i="1264"/>
  <c r="J24" i="1259" l="1"/>
  <c r="M24" i="1259"/>
  <c r="K24" i="1259"/>
  <c r="I7" i="1264"/>
  <c r="I24" i="1259" l="1"/>
  <c r="U22" i="1259" l="1"/>
  <c r="I33" i="1259" s="1"/>
  <c r="U18" i="1259"/>
  <c r="I29" i="1259" s="1"/>
  <c r="U20" i="1259"/>
  <c r="I31" i="1259" s="1"/>
  <c r="U21" i="1259"/>
  <c r="I32" i="1259" s="1"/>
  <c r="F10" i="1259" l="1"/>
  <c r="F23" i="1259" l="1"/>
  <c r="G10" i="1259"/>
  <c r="G13" i="1264"/>
  <c r="G23" i="1259" l="1"/>
  <c r="H13" i="1264" l="1"/>
  <c r="H10" i="1259"/>
  <c r="H23" i="1259" l="1"/>
  <c r="I10" i="1259"/>
  <c r="I13" i="1264"/>
  <c r="I19" i="1264" s="1"/>
  <c r="I23" i="1259" l="1"/>
  <c r="I12" i="1259"/>
  <c r="I25" i="1259" s="1"/>
  <c r="K13" i="1264" l="1"/>
  <c r="K19" i="1264" s="1"/>
  <c r="K10" i="1259"/>
  <c r="J13" i="1264"/>
  <c r="J19" i="1264" s="1"/>
  <c r="J10" i="1259"/>
  <c r="J23" i="1259" l="1"/>
  <c r="J12" i="1259"/>
  <c r="K23" i="1259"/>
  <c r="K12" i="1259"/>
  <c r="K25" i="1259" s="1"/>
  <c r="M10" i="1259" l="1"/>
  <c r="M13" i="1264"/>
  <c r="M19" i="1264" s="1"/>
  <c r="J25" i="1259"/>
  <c r="L10" i="1259"/>
  <c r="L13" i="1264"/>
  <c r="L23" i="1259" l="1"/>
  <c r="L12" i="1259"/>
  <c r="L19" i="1264"/>
  <c r="M23" i="1259"/>
  <c r="M12" i="1259"/>
  <c r="M25" i="1259" s="1"/>
  <c r="N13" i="1264" l="1"/>
  <c r="N19" i="1264" s="1"/>
  <c r="N10" i="1259"/>
  <c r="L25" i="1259"/>
  <c r="O10" i="1259"/>
  <c r="O13" i="1264"/>
  <c r="O19" i="1264" s="1"/>
  <c r="P13" i="1264" l="1"/>
  <c r="P19" i="1264" s="1"/>
  <c r="P10" i="1259"/>
  <c r="O23" i="1259"/>
  <c r="O12" i="1259"/>
  <c r="O25" i="1259" s="1"/>
  <c r="N23" i="1259"/>
  <c r="N12" i="1259"/>
  <c r="N25" i="1259" s="1"/>
  <c r="U17" i="1264"/>
  <c r="Q13" i="1264" l="1"/>
  <c r="Q19" i="1264" s="1"/>
  <c r="Q10" i="1259"/>
  <c r="P23" i="1259"/>
  <c r="P12" i="1259"/>
  <c r="P25" i="1259" s="1"/>
  <c r="Q12" i="1259" l="1"/>
  <c r="Q25" i="1259" s="1"/>
  <c r="Q23" i="1259"/>
  <c r="U18" i="1264"/>
  <c r="R13" i="1264"/>
  <c r="R10" i="1259"/>
  <c r="R12" i="1259" l="1"/>
  <c r="R23" i="1259"/>
  <c r="U23" i="1259" s="1"/>
  <c r="I34" i="1259" s="1"/>
  <c r="U10" i="1259"/>
  <c r="G34" i="1259" s="1"/>
  <c r="R19" i="1264"/>
  <c r="R25" i="1259" l="1"/>
  <c r="F14" i="1328"/>
  <c r="I14" i="1312"/>
  <c r="D14" i="1328" l="1"/>
  <c r="F16" i="1328"/>
  <c r="D16" i="1314"/>
  <c r="F14" i="1312"/>
  <c r="F16" i="1312" s="1"/>
  <c r="B7" i="1311"/>
  <c r="B10" i="1311" s="1"/>
  <c r="F29" i="1260"/>
  <c r="F28" i="1260" s="1"/>
  <c r="D20" i="1314" l="1"/>
  <c r="D19" i="1314"/>
  <c r="D14" i="1314"/>
  <c r="D14" i="1312"/>
  <c r="D16" i="1312" s="1"/>
  <c r="E15" i="1312" s="1"/>
  <c r="D16" i="1328"/>
  <c r="E14" i="1328" s="1"/>
  <c r="H15" i="1324"/>
  <c r="J15" i="1324" s="1"/>
  <c r="P15" i="1324" s="1"/>
  <c r="U29" i="1260"/>
  <c r="E9" i="1258"/>
  <c r="U28" i="1260"/>
  <c r="G26" i="1271"/>
  <c r="V26" i="1271" s="1"/>
  <c r="G47" i="1269"/>
  <c r="V47" i="1269" s="1"/>
  <c r="H17" i="1324"/>
  <c r="J17" i="1324" s="1"/>
  <c r="F43" i="1258"/>
  <c r="F19" i="1312"/>
  <c r="K15" i="1324" l="1"/>
  <c r="K16" i="1324"/>
  <c r="E11" i="1328"/>
  <c r="E15" i="1328"/>
  <c r="E10" i="1328"/>
  <c r="E8" i="1328"/>
  <c r="E7" i="1328"/>
  <c r="E13" i="1328"/>
  <c r="E6" i="1328"/>
  <c r="E12" i="1328"/>
  <c r="E9" i="1328"/>
  <c r="E5" i="1328"/>
  <c r="F24" i="1260"/>
  <c r="U24" i="1260" s="1"/>
  <c r="G46" i="1269"/>
  <c r="V46" i="1269" s="1"/>
  <c r="E22" i="1258"/>
  <c r="T22" i="1258" s="1"/>
  <c r="G25" i="1271"/>
  <c r="V25" i="1271" s="1"/>
  <c r="U25" i="1260"/>
  <c r="T9" i="1258" s="1"/>
  <c r="F32" i="1258" s="1"/>
  <c r="G43" i="1258"/>
  <c r="E3" i="1272" s="1"/>
  <c r="D3" i="1272"/>
  <c r="G24" i="1271"/>
  <c r="G10" i="1311"/>
  <c r="E5" i="1312"/>
  <c r="E10" i="1312"/>
  <c r="E12" i="1312"/>
  <c r="E7" i="1312"/>
  <c r="E9" i="1312"/>
  <c r="E11" i="1312"/>
  <c r="E13" i="1312"/>
  <c r="J24" i="1312"/>
  <c r="N24" i="1312"/>
  <c r="L24" i="1312"/>
  <c r="P24" i="1312"/>
  <c r="K6" i="1324"/>
  <c r="K8" i="1324"/>
  <c r="K9" i="1324"/>
  <c r="K10" i="1324"/>
  <c r="K13" i="1324"/>
  <c r="K17" i="1324"/>
  <c r="K11" i="1324"/>
  <c r="K14" i="1324"/>
  <c r="P17" i="1324"/>
  <c r="K7" i="1324"/>
  <c r="K12" i="1324"/>
  <c r="E14" i="1312"/>
  <c r="E16" i="1328" l="1"/>
  <c r="E16" i="1312"/>
  <c r="H32" i="1258"/>
  <c r="G41" i="1258" s="1"/>
  <c r="G45" i="1269"/>
  <c r="V45" i="1269" s="1"/>
  <c r="F23" i="1260"/>
  <c r="E8" i="1258" s="1"/>
  <c r="C2" i="1272"/>
  <c r="D2" i="1272" s="1"/>
  <c r="G23" i="1271"/>
  <c r="V24" i="1271"/>
  <c r="F41" i="1258" l="1"/>
  <c r="F42" i="1258" s="1"/>
  <c r="F44" i="1258" s="1"/>
  <c r="U23" i="1260"/>
  <c r="F32" i="1260"/>
  <c r="U32" i="1260" s="1"/>
  <c r="B6" i="1263"/>
  <c r="B14" i="1263" s="1"/>
  <c r="G28" i="1271"/>
  <c r="V23" i="1271"/>
  <c r="H46" i="1271" s="1"/>
  <c r="G38" i="1271"/>
  <c r="V38" i="1271" s="1"/>
  <c r="J46" i="1271" s="1"/>
  <c r="E15" i="1266"/>
  <c r="T8" i="1258"/>
  <c r="E13" i="1258"/>
  <c r="E21" i="1258"/>
  <c r="T21" i="1258" s="1"/>
  <c r="F15" i="1264"/>
  <c r="G42" i="1258"/>
  <c r="G44" i="1258" s="1"/>
  <c r="C22" i="1325"/>
  <c r="H15" i="1328" s="1"/>
  <c r="H15" i="1312" s="1"/>
  <c r="C15" i="1312" s="1"/>
  <c r="U8" i="1258" l="1"/>
  <c r="H5" i="1328"/>
  <c r="H9" i="1328"/>
  <c r="H9" i="1312" s="1"/>
  <c r="C9" i="1312" s="1"/>
  <c r="H10" i="1328"/>
  <c r="H10" i="1312" s="1"/>
  <c r="C10" i="1312" s="1"/>
  <c r="H11" i="1328"/>
  <c r="H11" i="1312" s="1"/>
  <c r="H12" i="1328"/>
  <c r="H12" i="1312" s="1"/>
  <c r="C12" i="1312" s="1"/>
  <c r="H13" i="1328"/>
  <c r="H13" i="1312" s="1"/>
  <c r="C13" i="1312" s="1"/>
  <c r="I18" i="1328"/>
  <c r="M18" i="1328"/>
  <c r="D5" i="1311" s="1"/>
  <c r="G11" i="1264" s="1"/>
  <c r="G7" i="1264" s="1"/>
  <c r="G19" i="1264" s="1"/>
  <c r="B6" i="1311"/>
  <c r="D6" i="1311"/>
  <c r="H7" i="1328"/>
  <c r="O18" i="1328"/>
  <c r="E5" i="1311" s="1"/>
  <c r="E6" i="1311"/>
  <c r="H14" i="1328"/>
  <c r="H14" i="1312" s="1"/>
  <c r="C14" i="1312" s="1"/>
  <c r="K18" i="1328"/>
  <c r="C5" i="1311" s="1"/>
  <c r="C6" i="1311"/>
  <c r="D24" i="1312"/>
  <c r="D25" i="1312" s="1"/>
  <c r="F13" i="1264"/>
  <c r="U13" i="1264" s="1"/>
  <c r="U15" i="1264"/>
  <c r="E26" i="1258"/>
  <c r="T13" i="1258"/>
  <c r="F34" i="1258" s="1"/>
  <c r="E14" i="1266"/>
  <c r="T15" i="1266"/>
  <c r="G44" i="1269"/>
  <c r="E17" i="1266"/>
  <c r="T17" i="1266" s="1"/>
  <c r="V28" i="1271"/>
  <c r="G40" i="1271"/>
  <c r="V40" i="1271" s="1"/>
  <c r="J48" i="1271" s="1"/>
  <c r="H52" i="1271" l="1"/>
  <c r="H54" i="1271"/>
  <c r="W28" i="1271"/>
  <c r="H48" i="1271"/>
  <c r="V44" i="1269"/>
  <c r="G52" i="1269"/>
  <c r="G66" i="1269"/>
  <c r="V66" i="1269" s="1"/>
  <c r="H79" i="1269" s="1"/>
  <c r="F10" i="1265"/>
  <c r="E25" i="1266"/>
  <c r="T14" i="1266"/>
  <c r="C30" i="1325"/>
  <c r="F53" i="1271"/>
  <c r="J53" i="1271" s="1"/>
  <c r="G39" i="1258"/>
  <c r="F6" i="1311"/>
  <c r="H7" i="1312"/>
  <c r="C7" i="1312" s="1"/>
  <c r="H6" i="1328"/>
  <c r="H6" i="1312" s="1"/>
  <c r="C6" i="1312" s="1"/>
  <c r="B5" i="1311"/>
  <c r="F11" i="1264" s="1"/>
  <c r="H18" i="1328"/>
  <c r="H5" i="1312"/>
  <c r="U15" i="1266"/>
  <c r="C7" i="1325"/>
  <c r="T26" i="1258"/>
  <c r="H34" i="1258" s="1"/>
  <c r="F38" i="1258" s="1"/>
  <c r="F5" i="1311"/>
  <c r="H11" i="1264"/>
  <c r="H7" i="1264" s="1"/>
  <c r="H19" i="1264" s="1"/>
  <c r="G12" i="1259"/>
  <c r="G24" i="1259"/>
  <c r="H8" i="1328"/>
  <c r="H8" i="1312" s="1"/>
  <c r="C8" i="1312" s="1"/>
  <c r="G25" i="1259" l="1"/>
  <c r="G40" i="1259"/>
  <c r="H16" i="1312"/>
  <c r="H16" i="1328"/>
  <c r="D17" i="1314" s="1"/>
  <c r="C31" i="1325"/>
  <c r="G38" i="1258"/>
  <c r="F52" i="1271"/>
  <c r="J52" i="1271" s="1"/>
  <c r="C5" i="1312"/>
  <c r="U11" i="1259"/>
  <c r="G35" i="1259" s="1"/>
  <c r="F12" i="1259"/>
  <c r="F24" i="1259"/>
  <c r="U10" i="1265"/>
  <c r="G52" i="1265" s="1"/>
  <c r="F41" i="1265"/>
  <c r="U41" i="1265" s="1"/>
  <c r="I52" i="1265" s="1"/>
  <c r="G53" i="1269"/>
  <c r="G68" i="1269"/>
  <c r="V68" i="1269" s="1"/>
  <c r="H81" i="1269" s="1"/>
  <c r="H87" i="1269" s="1"/>
  <c r="V52" i="1269"/>
  <c r="F81" i="1269" s="1"/>
  <c r="U11" i="1264"/>
  <c r="F7" i="1264"/>
  <c r="H12" i="1259"/>
  <c r="H25" i="1259" s="1"/>
  <c r="H24" i="1259"/>
  <c r="T25" i="1266"/>
  <c r="F12" i="1265"/>
  <c r="E26" i="1266"/>
  <c r="F79" i="1269"/>
  <c r="W44" i="1269"/>
  <c r="E30" i="1325" l="1"/>
  <c r="V11" i="1264"/>
  <c r="T26" i="1266"/>
  <c r="F13" i="1265"/>
  <c r="G69" i="1269"/>
  <c r="V69" i="1269" s="1"/>
  <c r="H82" i="1269" s="1"/>
  <c r="H85" i="1269" s="1"/>
  <c r="V53" i="1269"/>
  <c r="F82" i="1269" s="1"/>
  <c r="U12" i="1259"/>
  <c r="G36" i="1259" s="1"/>
  <c r="F25" i="1259"/>
  <c r="U25" i="1259" s="1"/>
  <c r="I36" i="1259" s="1"/>
  <c r="G39" i="1259" s="1"/>
  <c r="D10" i="1314"/>
  <c r="G5" i="1311"/>
  <c r="D13" i="1314"/>
  <c r="C16" i="1312"/>
  <c r="F43" i="1265"/>
  <c r="U43" i="1265" s="1"/>
  <c r="I54" i="1265" s="1"/>
  <c r="G60" i="1265" s="1"/>
  <c r="U12" i="1265"/>
  <c r="G54" i="1265" s="1"/>
  <c r="U7" i="1264"/>
  <c r="U19" i="1264" s="1"/>
  <c r="F19" i="1264"/>
  <c r="U24" i="1259"/>
  <c r="I35" i="1259" s="1"/>
  <c r="E31" i="1325" l="1"/>
  <c r="F54" i="1271"/>
  <c r="J54" i="1271" s="1"/>
  <c r="D23" i="1312"/>
  <c r="D26" i="1312" s="1"/>
  <c r="G45" i="1258"/>
  <c r="F45" i="1258"/>
  <c r="C24" i="1325"/>
  <c r="U13" i="1265"/>
  <c r="F44" i="1265"/>
  <c r="U44" i="1265" s="1"/>
  <c r="I55" i="1265" s="1"/>
  <c r="G58" i="1265" s="1"/>
  <c r="B34" i="1326"/>
  <c r="F87" i="1269"/>
  <c r="J87" i="1269" s="1"/>
  <c r="B33" i="1326" l="1"/>
  <c r="F85" i="1269"/>
  <c r="J85" i="1269" s="1"/>
  <c r="B32" i="1326"/>
  <c r="F86" i="1269"/>
  <c r="J86" i="1269" s="1"/>
  <c r="V13" i="1265"/>
  <c r="G55" i="1265"/>
</calcChain>
</file>

<file path=xl/sharedStrings.xml><?xml version="1.0" encoding="utf-8"?>
<sst xmlns="http://schemas.openxmlformats.org/spreadsheetml/2006/main" count="2863" uniqueCount="1209">
  <si>
    <t>LVL</t>
  </si>
  <si>
    <t>Gads</t>
  </si>
  <si>
    <t>Kopā</t>
  </si>
  <si>
    <t>1.1.</t>
  </si>
  <si>
    <t>Ieņēmumi</t>
  </si>
  <si>
    <t>1.2.</t>
  </si>
  <si>
    <t>Darbības izmaksas</t>
  </si>
  <si>
    <t>1.3.</t>
  </si>
  <si>
    <t>Investīciju izmaksas</t>
  </si>
  <si>
    <t>1.4.</t>
  </si>
  <si>
    <t>Projekta atlikusī vērtība</t>
  </si>
  <si>
    <t>1.5.</t>
  </si>
  <si>
    <t>Neto naudas plūsma</t>
  </si>
  <si>
    <t>Diskontēšana</t>
  </si>
  <si>
    <t>2.1.</t>
  </si>
  <si>
    <t>%</t>
  </si>
  <si>
    <t>2.2.</t>
  </si>
  <si>
    <t>Projekta dzīves cikls</t>
  </si>
  <si>
    <t>gadi</t>
  </si>
  <si>
    <t>2.3.</t>
  </si>
  <si>
    <t>Diskonta faktors</t>
  </si>
  <si>
    <t>faktors</t>
  </si>
  <si>
    <t>2.4.</t>
  </si>
  <si>
    <t>2.5.</t>
  </si>
  <si>
    <t>2.6.</t>
  </si>
  <si>
    <t>Diskontētās investīciju izmaksas</t>
  </si>
  <si>
    <t>2.7.</t>
  </si>
  <si>
    <t>Diskontētā projekta atlikusī vērtība</t>
  </si>
  <si>
    <t>2.8.</t>
  </si>
  <si>
    <t>Diskontētā neto naudas plūsma</t>
  </si>
  <si>
    <t>Pieņēmumu definēšana finanšu analīzes veikšanai</t>
  </si>
  <si>
    <t>Nediskontēti</t>
  </si>
  <si>
    <t>Diskontēti</t>
  </si>
  <si>
    <t>3.1.</t>
  </si>
  <si>
    <t>3.2.</t>
  </si>
  <si>
    <t>3.3.</t>
  </si>
  <si>
    <t>3.4.</t>
  </si>
  <si>
    <t>3.5.</t>
  </si>
  <si>
    <t>Rādītāju aprēķināšana</t>
  </si>
  <si>
    <t>4.1.</t>
  </si>
  <si>
    <t>Finansiālais investīciju neto tagadnes ienesīgums (FNPV/C)</t>
  </si>
  <si>
    <t>4.3.</t>
  </si>
  <si>
    <t>Finanšu iekšējā investīciju peļņas norma (FRR/C)</t>
  </si>
  <si>
    <t>4.5.</t>
  </si>
  <si>
    <t>4.6.</t>
  </si>
  <si>
    <t>Finansēšanas izmaksas</t>
  </si>
  <si>
    <t>Aizņēmuma pamatsumma un procenti</t>
  </si>
  <si>
    <t>1.6.</t>
  </si>
  <si>
    <t>1.7.</t>
  </si>
  <si>
    <t>1.8.</t>
  </si>
  <si>
    <t>Diskontētās finansēšanas izmaksas</t>
  </si>
  <si>
    <t>Diskontētā aizņēmuma pamatsumma un procenti</t>
  </si>
  <si>
    <t>2.10.</t>
  </si>
  <si>
    <t>Diskontētā atlikusī vērtība</t>
  </si>
  <si>
    <t>4.4.</t>
  </si>
  <si>
    <t>4.2.</t>
  </si>
  <si>
    <t>Ekonomiskā neto pašreizējā vērtība (ENPV)</t>
  </si>
  <si>
    <t>Ekonomiskā ienesīguma vērtība (ERR)</t>
  </si>
  <si>
    <t>Ieguvumu un izmaksu attiecība (B/C)</t>
  </si>
  <si>
    <t>1.3.1.</t>
  </si>
  <si>
    <t>1.3.2.</t>
  </si>
  <si>
    <t>1.2.1.</t>
  </si>
  <si>
    <t>1.2.2.</t>
  </si>
  <si>
    <t>3.7.</t>
  </si>
  <si>
    <t>1.1.1.</t>
  </si>
  <si>
    <t>1.1.2.</t>
  </si>
  <si>
    <t>1.3.1.1.</t>
  </si>
  <si>
    <t>Investīciju izmaksas bez neparedzētajām izmaksām</t>
  </si>
  <si>
    <t>Vērtība pēc mainīgā izmaiņām</t>
  </si>
  <si>
    <t>Vērtība bez mainīgā izmaiņām</t>
  </si>
  <si>
    <t>Jūtīgo mainīgo elastības pārbaude, %
(0% atbilst bāzes vērtībai)</t>
  </si>
  <si>
    <t>Ietaupītās izmaksas</t>
  </si>
  <si>
    <t>Finansiālais investīciju neto tagadnes ienesīgums (FNPVc)</t>
  </si>
  <si>
    <t>Finanšu iekšējā investīciju peļņas norma (FRRc)</t>
  </si>
  <si>
    <t>Finansiālais kapitāla neto tagadnes ienesīgums (FNPVk)</t>
  </si>
  <si>
    <t>Finanšu iekšējā kapitāla peļņas norma (FRRk)</t>
  </si>
  <si>
    <t>4.7.</t>
  </si>
  <si>
    <t>4.8.</t>
  </si>
  <si>
    <t>Novirze</t>
  </si>
  <si>
    <t>2.9.</t>
  </si>
  <si>
    <t>3.6.</t>
  </si>
  <si>
    <t>1.5.1.</t>
  </si>
  <si>
    <t>Diskontētās ietaupītās izmaksas</t>
  </si>
  <si>
    <t>Aizņēmuma pamatsummas saņemšana</t>
  </si>
  <si>
    <t>Darbaspēka izmaksas</t>
  </si>
  <si>
    <t>Fiskālās korekcijas</t>
  </si>
  <si>
    <t>procentpunkti</t>
  </si>
  <si>
    <t>Kopējas projekta investīciju izmaksas bez neparedzētajām izmaksām</t>
  </si>
  <si>
    <t>Attiecināmās izmaksas</t>
  </si>
  <si>
    <t>Tiešās izmaksas</t>
  </si>
  <si>
    <t>Netiešās izmaksas</t>
  </si>
  <si>
    <t>Neattiecināmās izmaksas</t>
  </si>
  <si>
    <t>Neparedzētās izmaksas</t>
  </si>
  <si>
    <t>Saldus</t>
  </si>
  <si>
    <t>2.7.1.</t>
  </si>
  <si>
    <t>2.7.2.</t>
  </si>
  <si>
    <t>1.5.2.</t>
  </si>
  <si>
    <t>2.4.1.</t>
  </si>
  <si>
    <t>2.4.2.</t>
  </si>
  <si>
    <t>2.5.1.</t>
  </si>
  <si>
    <t>2.5.2.</t>
  </si>
  <si>
    <t>2.6.1.</t>
  </si>
  <si>
    <t>2.6.2.</t>
  </si>
  <si>
    <t>3.1.1.</t>
  </si>
  <si>
    <t>3.2.1.</t>
  </si>
  <si>
    <t>Projekta atbilstīgie izdevumi kopā</t>
  </si>
  <si>
    <t>Finansējuma deficīta likme ( R):</t>
  </si>
  <si>
    <t>Projekta attiecināmās izmaksas (EC) kopā</t>
  </si>
  <si>
    <t>Lēmuma summa  (DA) kopā</t>
  </si>
  <si>
    <t>5.1.</t>
  </si>
  <si>
    <t>6.1.</t>
  </si>
  <si>
    <t>6.2.</t>
  </si>
  <si>
    <t>Sociālekonomiskie ieguvumi</t>
  </si>
  <si>
    <t>Finanšu ieguvumi</t>
  </si>
  <si>
    <t>Sociālekonomiskie un finanšu ieguvumi</t>
  </si>
  <si>
    <t>Sociālekonomiskie zaudējumi</t>
  </si>
  <si>
    <t>Finanšu izmaksas</t>
  </si>
  <si>
    <t>5.1.1.</t>
  </si>
  <si>
    <t>5.2.</t>
  </si>
  <si>
    <t>5.2.1.</t>
  </si>
  <si>
    <t>5.2.2.</t>
  </si>
  <si>
    <t>5.1.2.</t>
  </si>
  <si>
    <t>6.3.</t>
  </si>
  <si>
    <t>Investīciju izmaksu darbaspēka izmaksu fiskālās korekcijas</t>
  </si>
  <si>
    <t>Finanšu un sociālekonomiskās izmaksas</t>
  </si>
  <si>
    <t xml:space="preserve">Naudas plūsmas pozīcijas </t>
  </si>
  <si>
    <t>Naudas plūsmas pozīcijas</t>
  </si>
  <si>
    <t>Finanšu un sociālekonomiskie ieguvumi</t>
  </si>
  <si>
    <t>1.6.1.</t>
  </si>
  <si>
    <t>1.7.1.</t>
  </si>
  <si>
    <t>1.7.2.</t>
  </si>
  <si>
    <t>1.7.1.1.</t>
  </si>
  <si>
    <t>1.8.1.</t>
  </si>
  <si>
    <t>1.8.2.</t>
  </si>
  <si>
    <t>1.9.</t>
  </si>
  <si>
    <t>1.10.</t>
  </si>
  <si>
    <t>Diskontētie sociālekonomiskie ieguvumi</t>
  </si>
  <si>
    <t>Diskotntēta projekta atlikusī vērtība</t>
  </si>
  <si>
    <t>Diskontēti finanšu un sociālekonomiskie ieguvumi</t>
  </si>
  <si>
    <t>Diskontēti sociālekonomiskie zaudējumi</t>
  </si>
  <si>
    <t>Diskontētas investīciju izmaksas</t>
  </si>
  <si>
    <t>Diskontētas fiskālās korekcijas</t>
  </si>
  <si>
    <t>Diskontētas finanšu un sociālekonomiskās izmaksas</t>
  </si>
  <si>
    <t>Diskontēta sociālekonomiskā naudas plūsma</t>
  </si>
  <si>
    <t>3.8.</t>
  </si>
  <si>
    <t>3.9.</t>
  </si>
  <si>
    <t>3.10.</t>
  </si>
  <si>
    <t>Sociālekonomiskā naudas plūsma</t>
  </si>
  <si>
    <t>Diskontētie finanšu ieguvumi</t>
  </si>
  <si>
    <t>Diskontētie sociālekonomiskie un finanšu ieguvumi</t>
  </si>
  <si>
    <t>Diskontētie sociālekonomiskie zaudējumi</t>
  </si>
  <si>
    <t>Diskontētās finanšu izmaksas</t>
  </si>
  <si>
    <t>Diskontētās fiskālās korekcijas</t>
  </si>
  <si>
    <t>Reālā finansiālā diskonta likme</t>
  </si>
  <si>
    <t>Reālā sociālā diskonta likme</t>
  </si>
  <si>
    <t>„ar projektu”</t>
  </si>
  <si>
    <t>„bez projekta”</t>
  </si>
  <si>
    <t>Jelgava</t>
  </si>
  <si>
    <t>Ventspils</t>
  </si>
  <si>
    <t>3.</t>
  </si>
  <si>
    <t>KOPĀ</t>
  </si>
  <si>
    <t>kompl.</t>
  </si>
  <si>
    <t>Neparedzētās izmaksas (līdz 7%)</t>
  </si>
  <si>
    <t>Darbu tehniskā uzraudzība (līdz 3 %)</t>
  </si>
  <si>
    <t>Pārējās attiecināmās izmaksas kopā</t>
  </si>
  <si>
    <t>m2</t>
  </si>
  <si>
    <t>Teritorijas labiekārtošana</t>
  </si>
  <si>
    <t>Sliežu ceļi profilakse peronu robežās</t>
  </si>
  <si>
    <t>Aprīkojums</t>
  </si>
  <si>
    <t>Komunikācijas</t>
  </si>
  <si>
    <t xml:space="preserve">Drošības sistēmas </t>
  </si>
  <si>
    <t>Apziņošanas sistēmas</t>
  </si>
  <si>
    <t>Signalizācijas tīkli</t>
  </si>
  <si>
    <t>2.5.4.</t>
  </si>
  <si>
    <t>Elektrotīkli</t>
  </si>
  <si>
    <t>2.5.3.</t>
  </si>
  <si>
    <t>Sakaru tīkli</t>
  </si>
  <si>
    <t>Kontakttīkli</t>
  </si>
  <si>
    <t>Komunikāciju tīklu rekonstrukcija</t>
  </si>
  <si>
    <t>Ēkas rekonstrukcija</t>
  </si>
  <si>
    <t>Ūdens apgādes sistēma,kanalizācija</t>
  </si>
  <si>
    <t>2.4.4.</t>
  </si>
  <si>
    <t>Tualetes izbūve</t>
  </si>
  <si>
    <t>2.4.3.</t>
  </si>
  <si>
    <t>Biļešu kases rekonstrukcija</t>
  </si>
  <si>
    <t>Uzgaidāmās telpas rekonstrukcija</t>
  </si>
  <si>
    <t>Stacijas ēkas būvniecība</t>
  </si>
  <si>
    <t>Pasažieru stacijas ēku rekonstrukcija</t>
  </si>
  <si>
    <t>Celiņu izbūve</t>
  </si>
  <si>
    <t>2.3.9.</t>
  </si>
  <si>
    <t>Esošā gājēju rekonstrukcija</t>
  </si>
  <si>
    <t>2.3.8.</t>
  </si>
  <si>
    <t>Jauna gājēju tuneļa izbūve</t>
  </si>
  <si>
    <t>2.3.7.</t>
  </si>
  <si>
    <t>Invalīdu piekļuves estakāde</t>
  </si>
  <si>
    <t>2.3.6.</t>
  </si>
  <si>
    <t>tm</t>
  </si>
  <si>
    <t>Norobežojošo žogu montāža</t>
  </si>
  <si>
    <t>2.3.5.</t>
  </si>
  <si>
    <t>Pāreju montāža</t>
  </si>
  <si>
    <t>2.3.4.</t>
  </si>
  <si>
    <t>Stacijas laukumu bruģēšana</t>
  </si>
  <si>
    <t>2.3.3.</t>
  </si>
  <si>
    <t>Norobežojošo margu montāža</t>
  </si>
  <si>
    <t>2.3.2.</t>
  </si>
  <si>
    <t>Pandusu montāža</t>
  </si>
  <si>
    <t>2.3.1.</t>
  </si>
  <si>
    <t xml:space="preserve"> Perona piekļuves infrastruktūras rekonstrukcija</t>
  </si>
  <si>
    <t>Perona un stacijas teritorijas  apgaismojums</t>
  </si>
  <si>
    <t>2.2.4.</t>
  </si>
  <si>
    <t>Perona nojumes</t>
  </si>
  <si>
    <t>2.2.3.</t>
  </si>
  <si>
    <t>Perona montāža(salu)</t>
  </si>
  <si>
    <t>2.2.2.c</t>
  </si>
  <si>
    <t>Perona montāža(malu)</t>
  </si>
  <si>
    <t>2.2.2.b</t>
  </si>
  <si>
    <t>Perona montāža (kompozīta)</t>
  </si>
  <si>
    <t>2.2.2.a</t>
  </si>
  <si>
    <t>Perona montāža</t>
  </si>
  <si>
    <t>2.2.2.</t>
  </si>
  <si>
    <t>Ūdensnovadīšanas kanalizācija</t>
  </si>
  <si>
    <t>2.2.1.</t>
  </si>
  <si>
    <t>Perona montāžas darbi</t>
  </si>
  <si>
    <t>Komunikāciju  un aprīkojuma demontāža</t>
  </si>
  <si>
    <t>2.1.3.</t>
  </si>
  <si>
    <t>Laukuma demontāža</t>
  </si>
  <si>
    <t>2.1.2.</t>
  </si>
  <si>
    <t>Peronu demontāža</t>
  </si>
  <si>
    <t>2.1.1.</t>
  </si>
  <si>
    <t>Demontāžas darbi</t>
  </si>
  <si>
    <t>Materiāltehnisko līdzekļu un aprīkojuma izmaksas kopā</t>
  </si>
  <si>
    <t>2.</t>
  </si>
  <si>
    <t>Projektēšana (līdz 5% no darbu izpildes)</t>
  </si>
  <si>
    <t>1.</t>
  </si>
  <si>
    <t>Daudzums</t>
  </si>
  <si>
    <t xml:space="preserve">Dau-dzums </t>
  </si>
  <si>
    <t>Vienības izm.</t>
  </si>
  <si>
    <t>Mērvienība</t>
  </si>
  <si>
    <t>Ogre (salu un malu 214)</t>
  </si>
  <si>
    <t>Salaspils (salu un malu 214)</t>
  </si>
  <si>
    <t>Jelgava (malu 162, salu 450)</t>
  </si>
  <si>
    <t>Olaine (malu un salu 2x162)</t>
  </si>
  <si>
    <t>Cukurfabrika (malu 2x162)</t>
  </si>
  <si>
    <t>Zolitūde (malu kompozīta 2x162)</t>
  </si>
  <si>
    <t>Imanta (malu 2x158)</t>
  </si>
  <si>
    <t xml:space="preserve"> Vaivari (peroni 2x162)</t>
  </si>
  <si>
    <t>Melluži (malu 2x162)</t>
  </si>
  <si>
    <t>Sloka (malu un salu 162)</t>
  </si>
  <si>
    <t>Dubulti (malu un salu 162)</t>
  </si>
  <si>
    <t>Lielupe (malu kompozīta 2x162)</t>
  </si>
  <si>
    <t>Babīte (malu 2x162)</t>
  </si>
  <si>
    <t>Majori (malu, malu kompozīta 162)</t>
  </si>
  <si>
    <t>Dzintari (malu 2x162)</t>
  </si>
  <si>
    <t>Bulduri (malu 2x162)</t>
  </si>
  <si>
    <t>Izmaksu pozīcija</t>
  </si>
  <si>
    <t>Nr.</t>
  </si>
  <si>
    <t>2011.</t>
  </si>
  <si>
    <t>2010.</t>
  </si>
  <si>
    <t>2009.</t>
  </si>
  <si>
    <t>2008.</t>
  </si>
  <si>
    <t>2007.</t>
  </si>
  <si>
    <t>Elektrovilcieni</t>
  </si>
  <si>
    <t>Dīzeļvilcieni</t>
  </si>
  <si>
    <t>gads</t>
  </si>
  <si>
    <t>Darbs,
 t.tkm.br.</t>
  </si>
  <si>
    <t>Dīzeļdegvielas patēriņš,
litri</t>
  </si>
  <si>
    <t>Elektroenerģijas patēriņš, kWh</t>
  </si>
  <si>
    <t>Energoresursu patēriņš</t>
  </si>
  <si>
    <t>Vidējais</t>
  </si>
  <si>
    <t>Rīga - Rēzekne - Zilupe</t>
  </si>
  <si>
    <t>Rīga - Daugavpils</t>
  </si>
  <si>
    <t>Rīga - Tukums</t>
  </si>
  <si>
    <t>Rīga - Jelgava</t>
  </si>
  <si>
    <t>% nokopējā</t>
  </si>
  <si>
    <t>Pilna maršruta km</t>
  </si>
  <si>
    <t>% no kopējā</t>
  </si>
  <si>
    <t>Vidēji 3 gadi</t>
  </si>
  <si>
    <t>Dzelzceļa līnijas</t>
  </si>
  <si>
    <t>Pasažieru kilometri/pasažieru skaitu</t>
  </si>
  <si>
    <t>Pasažieru kilometri pa līnijām</t>
  </si>
  <si>
    <t>Ieņēmumi/pasažierkilometru</t>
  </si>
  <si>
    <t>vidēji 3 gadi</t>
  </si>
  <si>
    <t>Pārvadāto pasažieru skaits pa līnijām</t>
  </si>
  <si>
    <t>pasažierkilometri līnijas/kopā</t>
  </si>
  <si>
    <r>
      <t xml:space="preserve">Pasažieru apgrozība, </t>
    </r>
    <r>
      <rPr>
        <b/>
        <sz val="10"/>
        <rFont val="Arial"/>
        <family val="2"/>
        <charset val="186"/>
      </rPr>
      <t>tūkst.</t>
    </r>
    <r>
      <rPr>
        <sz val="10"/>
        <rFont val="Arial"/>
        <family val="2"/>
        <charset val="186"/>
      </rPr>
      <t>pasažieru km</t>
    </r>
  </si>
  <si>
    <t>Pārvadāto pasažieru skaits</t>
  </si>
  <si>
    <t>Pārvadāto pasažieru skaits un pasažieru apgrozība elektrovilcienos un dīzeļvilcienos</t>
  </si>
  <si>
    <t>Vagonu km</t>
  </si>
  <si>
    <t>Vilcienu km</t>
  </si>
  <si>
    <t>t.sk.pas.</t>
  </si>
  <si>
    <t>kopējie</t>
  </si>
  <si>
    <t>Dīzeļvilcienu un elektrovilcienu vilcienu un vagonu km 2002. ÷ 2011.gados.</t>
  </si>
  <si>
    <t>Braukšanas maksa ar PVN</t>
  </si>
  <si>
    <t>Spēkā no 01.01.2011</t>
  </si>
  <si>
    <t>Spēkā no 01.01.2009</t>
  </si>
  <si>
    <t>Spēkā no 01.07.2008</t>
  </si>
  <si>
    <t>Spēkā no 01.07.2007</t>
  </si>
  <si>
    <t>Spēkā no 01.01.2007</t>
  </si>
  <si>
    <t>Attālums, km</t>
  </si>
  <si>
    <t>Pasažieru braukšanas maksa vienam braucienam</t>
  </si>
  <si>
    <t>Tādā veidā Jūs varat iegūt braukšanas maksu stacijām, kuras Jūs interesē.</t>
  </si>
  <si>
    <t>Šeit ir norādīts tarifs katram kilometram. Blakus lapā ir attālumu tabula, kurā var redzēt attālumu kilometros starp jebkurām stacijām.</t>
  </si>
  <si>
    <t>Tabulā ir norādīti tarifi pilnai biļetes cenai vienam braucienam.</t>
  </si>
  <si>
    <t>Komentārs:</t>
  </si>
  <si>
    <t>Kādi bija / ir pārvadājumu tarifi (un biļešu cenas) no 2007.līdz 2011. gadam minētajos posmos un prognozes (ja tādas ir)?</t>
  </si>
  <si>
    <t>Jaunie pasažierkilometri</t>
  </si>
  <si>
    <t>km</t>
  </si>
  <si>
    <t>Spāre</t>
  </si>
  <si>
    <t>Sabile</t>
  </si>
  <si>
    <t>Kandava</t>
  </si>
  <si>
    <t>Valga</t>
  </si>
  <si>
    <t>Ugāle</t>
  </si>
  <si>
    <t>Stende</t>
  </si>
  <si>
    <t>Aglona*</t>
  </si>
  <si>
    <t>LIEPĀJA PASAŽIERU</t>
  </si>
  <si>
    <t>SKRUNDA</t>
  </si>
  <si>
    <t>SALDUS</t>
  </si>
  <si>
    <t>BROCĒNI</t>
  </si>
  <si>
    <t>DOBELE</t>
  </si>
  <si>
    <t>GULBENE</t>
  </si>
  <si>
    <t>ELSTE</t>
  </si>
  <si>
    <t>JAUNGULBENE</t>
  </si>
  <si>
    <t>DEGAS</t>
  </si>
  <si>
    <t>DZELZAVA</t>
  </si>
  <si>
    <t>CESVAINE</t>
  </si>
  <si>
    <t>MADONA</t>
  </si>
  <si>
    <t>MĀRCIENA</t>
  </si>
  <si>
    <t>KALSNAVA</t>
  </si>
  <si>
    <t>JAUNKALSNAVA</t>
  </si>
  <si>
    <t>SPIGANA</t>
  </si>
  <si>
    <t>ZILUPE</t>
  </si>
  <si>
    <t>BRIĢI</t>
  </si>
  <si>
    <t>NERZA</t>
  </si>
  <si>
    <t>ISTALSNA</t>
  </si>
  <si>
    <t>LUDZA</t>
  </si>
  <si>
    <t>CIRMA</t>
  </si>
  <si>
    <t>TAUDIJĀŅI</t>
  </si>
  <si>
    <t>RĒZEKNE - 2</t>
  </si>
  <si>
    <t>SAKSTAGALS</t>
  </si>
  <si>
    <t>VIĻĀNI</t>
  </si>
  <si>
    <t>VARAKĻĀNI</t>
  </si>
  <si>
    <t>STIRNIENE</t>
  </si>
  <si>
    <t>ATAŠIENE</t>
  </si>
  <si>
    <t>MEŽARE</t>
  </si>
  <si>
    <t>KŪKAS</t>
  </si>
  <si>
    <t>DAUGAVPILS-PASS</t>
  </si>
  <si>
    <t>MEŽCIEMS</t>
  </si>
  <si>
    <t>LĪKSNA</t>
  </si>
  <si>
    <t>VABOLE</t>
  </si>
  <si>
    <t>RUŽI</t>
  </si>
  <si>
    <t>NĪCGALE</t>
  </si>
  <si>
    <t>SERGUNTA</t>
  </si>
  <si>
    <t>JERSIKA</t>
  </si>
  <si>
    <t>LĪVĀNI</t>
  </si>
  <si>
    <t>TREPE</t>
  </si>
  <si>
    <t>ERGĻI</t>
  </si>
  <si>
    <t>ROPLAINE</t>
  </si>
  <si>
    <t>BALTAVA</t>
  </si>
  <si>
    <t>LĪČUPE</t>
  </si>
  <si>
    <t>TAURUPE</t>
  </si>
  <si>
    <t>PLĀTERE</t>
  </si>
  <si>
    <t>ĶEIPENE</t>
  </si>
  <si>
    <t>VATRĀNE</t>
  </si>
  <si>
    <t>KASTRĀNE</t>
  </si>
  <si>
    <t>SUNTAŽI</t>
  </si>
  <si>
    <t>SIDGUNDA</t>
  </si>
  <si>
    <t>KĀRDE</t>
  </si>
  <si>
    <t>AUGŠCIEMS</t>
  </si>
  <si>
    <t>REMĪNE</t>
  </si>
  <si>
    <t>KANGARI</t>
  </si>
  <si>
    <t>BAJĀRI</t>
  </si>
  <si>
    <t>ĶIVUĻI</t>
  </si>
  <si>
    <t>JAUNCEKULE</t>
  </si>
  <si>
    <t>CEKULE</t>
  </si>
  <si>
    <t>SAURIEŠI</t>
  </si>
  <si>
    <t>ACONE</t>
  </si>
  <si>
    <t>RĪGA PREČU 2</t>
  </si>
  <si>
    <t>LUGAŽI</t>
  </si>
  <si>
    <t>SAULE</t>
  </si>
  <si>
    <t>SEDA</t>
  </si>
  <si>
    <t>STRENČI</t>
  </si>
  <si>
    <t>BRENGUĻI</t>
  </si>
  <si>
    <t>VALMIERA</t>
  </si>
  <si>
    <t>BĀLE</t>
  </si>
  <si>
    <t>LODE</t>
  </si>
  <si>
    <t>JAŅĀMUIŽA</t>
  </si>
  <si>
    <t>CĒSIS</t>
  </si>
  <si>
    <t>ARAIŠI</t>
  </si>
  <si>
    <t>MELTURI</t>
  </si>
  <si>
    <t>IERIĶI</t>
  </si>
  <si>
    <t>LĪGATNE</t>
  </si>
  <si>
    <t>SIGULDA</t>
  </si>
  <si>
    <t>SILCIEMS</t>
  </si>
  <si>
    <t>EGĻUPE</t>
  </si>
  <si>
    <t>INČUKALNS</t>
  </si>
  <si>
    <t>VANGAŽI</t>
  </si>
  <si>
    <t>KRIEVUPE</t>
  </si>
  <si>
    <t>ROPAŽI</t>
  </si>
  <si>
    <t>BALTEZERS</t>
  </si>
  <si>
    <t>JUGLA</t>
  </si>
  <si>
    <t>ČIEKURKALNS</t>
  </si>
  <si>
    <t>REŅĢE</t>
  </si>
  <si>
    <t>VADAKSTE</t>
  </si>
  <si>
    <t>AUCE</t>
  </si>
  <si>
    <t>BĒNE</t>
  </si>
  <si>
    <t>PENKULE</t>
  </si>
  <si>
    <t>APGULDE</t>
  </si>
  <si>
    <t>AURI</t>
  </si>
  <si>
    <t>KRIMŪNAS</t>
  </si>
  <si>
    <t>GLŪDA</t>
  </si>
  <si>
    <t>DORUPE</t>
  </si>
  <si>
    <t>VIESTURI</t>
  </si>
  <si>
    <t>P. P. 50. km</t>
  </si>
  <si>
    <t>JELGAVA</t>
  </si>
  <si>
    <t>CUKURFABRIKA</t>
  </si>
  <si>
    <t>OZOLNIEKI</t>
  </si>
  <si>
    <t>CENA</t>
  </si>
  <si>
    <t>DALBE</t>
  </si>
  <si>
    <t>OLAINE</t>
  </si>
  <si>
    <t>JAUNOLAINE</t>
  </si>
  <si>
    <t>BALOŽI</t>
  </si>
  <si>
    <t>TĪRAINE</t>
  </si>
  <si>
    <t>TURĪBA</t>
  </si>
  <si>
    <t>ATGĀZENE</t>
  </si>
  <si>
    <t>TUKUMS 2</t>
  </si>
  <si>
    <t>TUKUMS 1</t>
  </si>
  <si>
    <t>MILZKALNE</t>
  </si>
  <si>
    <t>SMĀRDE</t>
  </si>
  <si>
    <t>ĶEMERI</t>
  </si>
  <si>
    <t>KŪDRA</t>
  </si>
  <si>
    <t>SLOKA</t>
  </si>
  <si>
    <t>VAIVARI</t>
  </si>
  <si>
    <t>ASARI</t>
  </si>
  <si>
    <t>MELLUŽI</t>
  </si>
  <si>
    <t>PUMPURI</t>
  </si>
  <si>
    <t>JAUNDUBULTI</t>
  </si>
  <si>
    <t>DUBULTI</t>
  </si>
  <si>
    <t>MAJORI</t>
  </si>
  <si>
    <t>DZINTARI</t>
  </si>
  <si>
    <t>BULDURI</t>
  </si>
  <si>
    <t>LIELUPE</t>
  </si>
  <si>
    <t>PRIEDAINE</t>
  </si>
  <si>
    <t>BABĪTE</t>
  </si>
  <si>
    <t>IMANTA</t>
  </si>
  <si>
    <t>ZOLITŪDE</t>
  </si>
  <si>
    <t>DEPO ZASUL</t>
  </si>
  <si>
    <t>ZASULAUKS</t>
  </si>
  <si>
    <t>TORŅAKALNS</t>
  </si>
  <si>
    <t>KRUSTPILS</t>
  </si>
  <si>
    <t>OZOLSALA</t>
  </si>
  <si>
    <t>PĻAVIŅAS</t>
  </si>
  <si>
    <t>ALOTENE</t>
  </si>
  <si>
    <t>KOKNESE</t>
  </si>
  <si>
    <t>AIZKRAUKLE</t>
  </si>
  <si>
    <t>MULDAKMENS</t>
  </si>
  <si>
    <t>SKRĪVERI</t>
  </si>
  <si>
    <t>DENDRĀRIJS</t>
  </si>
  <si>
    <t>JUMPRAVA</t>
  </si>
  <si>
    <t>KAIBALA</t>
  </si>
  <si>
    <t>LIELVĀRDE</t>
  </si>
  <si>
    <t>ĶEGUMS</t>
  </si>
  <si>
    <t>CIEMUPE</t>
  </si>
  <si>
    <t>PĀROGRE</t>
  </si>
  <si>
    <t>OGRE</t>
  </si>
  <si>
    <t>JAUNOGRE</t>
  </si>
  <si>
    <t>IKŠĶILE</t>
  </si>
  <si>
    <t>SAULKALNE</t>
  </si>
  <si>
    <t>SALASPILS</t>
  </si>
  <si>
    <t>DOLE</t>
  </si>
  <si>
    <t>DĀRZIŅI</t>
  </si>
  <si>
    <t>RUMBULA</t>
  </si>
  <si>
    <t>GAISMA</t>
  </si>
  <si>
    <t>ŠĶIROTAVA</t>
  </si>
  <si>
    <t>DAUGMALE</t>
  </si>
  <si>
    <t>JĀŅAVĀRTI</t>
  </si>
  <si>
    <t>VAGONU PARKS</t>
  </si>
  <si>
    <t>SKULTE</t>
  </si>
  <si>
    <t>ZVEJNIEKCIEM</t>
  </si>
  <si>
    <t>ĶĪŠUPE</t>
  </si>
  <si>
    <t>SAULKRASTI</t>
  </si>
  <si>
    <t>PABAŽI</t>
  </si>
  <si>
    <t>INČUPE</t>
  </si>
  <si>
    <t>LILASTE</t>
  </si>
  <si>
    <t>GAUJA</t>
  </si>
  <si>
    <t>CARNIKAVA</t>
  </si>
  <si>
    <t>GARUPE</t>
  </si>
  <si>
    <t>GARCIEMS</t>
  </si>
  <si>
    <t>KALNGALE</t>
  </si>
  <si>
    <t>VECĀĶI</t>
  </si>
  <si>
    <t>VECDAUGAVA</t>
  </si>
  <si>
    <t>ZIEMEĻBLĀZMA</t>
  </si>
  <si>
    <t>MANGAĻI</t>
  </si>
  <si>
    <t>SARKANDAUGAVA</t>
  </si>
  <si>
    <t>BRASA</t>
  </si>
  <si>
    <t>ZEMITĀNI</t>
  </si>
  <si>
    <t>RĪGA</t>
  </si>
  <si>
    <t>STACIJAS</t>
  </si>
  <si>
    <t>Attālumi kilometros starp stacijām</t>
  </si>
  <si>
    <t>kop. zaud. (Ls)</t>
  </si>
  <si>
    <r>
      <t>TZ</t>
    </r>
    <r>
      <rPr>
        <vertAlign val="subscript"/>
        <sz val="10"/>
        <rFont val="Times New Roman"/>
        <family val="1"/>
        <charset val="186"/>
      </rPr>
      <t>sm</t>
    </r>
    <r>
      <rPr>
        <sz val="10"/>
        <rFont val="Times New Roman"/>
        <family val="1"/>
        <charset val="186"/>
      </rPr>
      <t xml:space="preserve"> - zaudējumi, ko rada vidēji viens CSNg ar cietušajiem;</t>
    </r>
  </si>
  <si>
    <r>
      <t>TZ</t>
    </r>
    <r>
      <rPr>
        <vertAlign val="subscript"/>
        <sz val="10"/>
        <rFont val="Times New Roman"/>
        <family val="1"/>
        <charset val="186"/>
      </rPr>
      <t>b</t>
    </r>
    <r>
      <rPr>
        <sz val="10"/>
        <rFont val="Times New Roman"/>
        <family val="1"/>
        <charset val="186"/>
      </rPr>
      <t xml:space="preserve">  - zaudējumi, ko rada vidēji viens CSNg bojā gājušais;</t>
    </r>
  </si>
  <si>
    <t>TZi  - zaudējumi, ko rada vidēji viens CSNg ievainotais;</t>
  </si>
  <si>
    <r>
      <t>TZ</t>
    </r>
    <r>
      <rPr>
        <vertAlign val="subscript"/>
        <sz val="10"/>
        <rFont val="Times New Roman"/>
        <family val="1"/>
        <charset val="186"/>
      </rPr>
      <t>m</t>
    </r>
    <r>
      <rPr>
        <sz val="10"/>
        <rFont val="Times New Roman"/>
        <family val="1"/>
        <charset val="186"/>
      </rPr>
      <t xml:space="preserve">  - zaudējumi, ko rada vidēji viens CSNg, kurā nav cietušo;</t>
    </r>
  </si>
  <si>
    <t>TZsm</t>
  </si>
  <si>
    <t>TZb</t>
  </si>
  <si>
    <t>TZi</t>
  </si>
  <si>
    <t xml:space="preserve">TZm </t>
  </si>
  <si>
    <t>2011.g.</t>
  </si>
  <si>
    <t>2010.g.</t>
  </si>
  <si>
    <t>2009.g.</t>
  </si>
  <si>
    <t>2008.g.</t>
  </si>
  <si>
    <t>2007.g.</t>
  </si>
  <si>
    <t>2006.g.</t>
  </si>
  <si>
    <t>2005.g.</t>
  </si>
  <si>
    <t>2004.g.</t>
  </si>
  <si>
    <t>2003.g.</t>
  </si>
  <si>
    <t>2002.g.</t>
  </si>
  <si>
    <t>2001.g.</t>
  </si>
  <si>
    <t>2000.g.</t>
  </si>
  <si>
    <t>1999.g.</t>
  </si>
  <si>
    <t>1998.g.</t>
  </si>
  <si>
    <t>1997.g.</t>
  </si>
  <si>
    <t>1996.g.</t>
  </si>
  <si>
    <t>1995.g.</t>
  </si>
  <si>
    <t>1994.g.</t>
  </si>
  <si>
    <t>1993.g.</t>
  </si>
  <si>
    <t>izmaksas (Ls)</t>
  </si>
  <si>
    <t>Viena CSNg un viena cietušā vidējo izmaksu novērtējums.</t>
  </si>
  <si>
    <t>Salaspils</t>
  </si>
  <si>
    <t>Salaspils novads</t>
  </si>
  <si>
    <t>Ogre</t>
  </si>
  <si>
    <t>Ogres novads</t>
  </si>
  <si>
    <t>Ikšķile</t>
  </si>
  <si>
    <t>Ikšķiles novads</t>
  </si>
  <si>
    <t>Olaine</t>
  </si>
  <si>
    <t>Olaina</t>
  </si>
  <si>
    <t>Cukurfabrika</t>
  </si>
  <si>
    <t>Vaivari</t>
  </si>
  <si>
    <t>Melluži</t>
  </si>
  <si>
    <t>Babīte</t>
  </si>
  <si>
    <t>Sloka</t>
  </si>
  <si>
    <t>Dubulti</t>
  </si>
  <si>
    <t>Lielupe</t>
  </si>
  <si>
    <t>Dzintari</t>
  </si>
  <si>
    <t>Majori</t>
  </si>
  <si>
    <t>Bulduri</t>
  </si>
  <si>
    <t>Jūrmala</t>
  </si>
  <si>
    <t>Zolitūde</t>
  </si>
  <si>
    <t>Imanta</t>
  </si>
  <si>
    <t>Rīga</t>
  </si>
  <si>
    <t>Laiks ar auto</t>
  </si>
  <si>
    <t>Laiks ar vilcienu</t>
  </si>
  <si>
    <t>Sekunžu ietaupījums 1 pasažierim</t>
  </si>
  <si>
    <t>Pasažieru apgrozījums vienam vilcienam</t>
  </si>
  <si>
    <t>Reisu skaits gadā, Rīga_Jelgava, gadā</t>
  </si>
  <si>
    <t>Reisu skaits gadā, Rīga_Tukums, gadā</t>
  </si>
  <si>
    <t>ar vilcienu Rīga-</t>
  </si>
  <si>
    <t>Biļešu cena Rīga-</t>
  </si>
  <si>
    <t>vid. Pasažierkilometri/pasažieri</t>
  </si>
  <si>
    <t>% pieaugums</t>
  </si>
  <si>
    <t>Ietaupījums</t>
  </si>
  <si>
    <t>Vilciena biļešu cena</t>
  </si>
  <si>
    <t>Autobusu biļešu cena</t>
  </si>
  <si>
    <t>Pasažieru pieaugums pēc investīcijām</t>
  </si>
  <si>
    <t>Pasažieru apgrozījums stacijās 2011.gadā</t>
  </si>
  <si>
    <r>
      <t xml:space="preserve">Pasažieru apgrozījums stacijās </t>
    </r>
    <r>
      <rPr>
        <b/>
        <sz val="11"/>
        <color indexed="8"/>
        <rFont val="Calibri"/>
        <family val="2"/>
        <charset val="186"/>
      </rPr>
      <t>dienā</t>
    </r>
    <r>
      <rPr>
        <sz val="10"/>
        <rFont val="Arial"/>
        <family val="2"/>
        <charset val="186"/>
      </rPr>
      <t xml:space="preserve"> 2011.gadā</t>
    </r>
  </si>
  <si>
    <t>vidēji pasažieri vilceinā</t>
  </si>
  <si>
    <t>Tukums 2</t>
  </si>
  <si>
    <t>Tukums 1</t>
  </si>
  <si>
    <t>Milzkalne</t>
  </si>
  <si>
    <t>Smārde</t>
  </si>
  <si>
    <t>Ķemeri</t>
  </si>
  <si>
    <t>Kūdra</t>
  </si>
  <si>
    <t>Asari</t>
  </si>
  <si>
    <t>Pumpuri</t>
  </si>
  <si>
    <t>Jaundubulti</t>
  </si>
  <si>
    <t>Priedaine</t>
  </si>
  <si>
    <t>Depo Zasulauks</t>
  </si>
  <si>
    <t>Zasulauks</t>
  </si>
  <si>
    <t>Torņakalns</t>
  </si>
  <si>
    <t>Rīga Pasažieru</t>
  </si>
  <si>
    <t>Pasažieru skaits līnijā starp stacijām 2011.gadā</t>
  </si>
  <si>
    <t>Regulāro vilcienpāru skaits līnijā diennaktī gadā</t>
  </si>
  <si>
    <t>Regulāro vilcienpāru skaits līnijā diennaktī</t>
  </si>
  <si>
    <t>Vilcienu skaits uz/no gala stacijām</t>
  </si>
  <si>
    <t>Stacija</t>
  </si>
  <si>
    <t>Sākotnēji</t>
  </si>
  <si>
    <t>Pasažieri, kuri neiekāpj un neizkāpj Rīgā</t>
  </si>
  <si>
    <t>Rīgā iek-izk skaits pret pārējiem</t>
  </si>
  <si>
    <t>Kopā bez Rīgas</t>
  </si>
  <si>
    <t>Liepāja Pasažieru</t>
  </si>
  <si>
    <t>Skrunda</t>
  </si>
  <si>
    <t>Dobele</t>
  </si>
  <si>
    <t>Ozolnieki</t>
  </si>
  <si>
    <t>Cena</t>
  </si>
  <si>
    <t>Dalbe</t>
  </si>
  <si>
    <t>Jaunolaine</t>
  </si>
  <si>
    <t>Baloži</t>
  </si>
  <si>
    <t>Tīraine</t>
  </si>
  <si>
    <t>BA  Turība</t>
  </si>
  <si>
    <t>Atgāzene</t>
  </si>
  <si>
    <t>Torņakalns koriģētais</t>
  </si>
  <si>
    <t>Rīga Pasažieru koriģētais</t>
  </si>
  <si>
    <t>Vidējais  cilvēku skaits  vilcienā</t>
  </si>
  <si>
    <t>Regulāro vilcienpāru skaits līnijā gadā</t>
  </si>
  <si>
    <t>Vilcienu skaits gala stacijā</t>
  </si>
  <si>
    <t>Kopējā plūsma līnijā 2011. diennaktī</t>
  </si>
  <si>
    <t>Kopējā plūsma līnijā 2011. gadā</t>
  </si>
  <si>
    <t>Pasažieru, kuri neiekāpj un nezkāpj Rīgā plūsma</t>
  </si>
  <si>
    <t>Pasažieru skaits  kas dodas no/uz Rīgas staciju 2011.gadā</t>
  </si>
  <si>
    <t>Pasažieru skaits līnijā starp stacijām, kas dodas no/uz Rīgas staciju dienā 2011.gadā</t>
  </si>
  <si>
    <t>Pasažieru skaits līnijā starp stacijām, kas dodas no/uz Rīgas staciju 2011.gadā</t>
  </si>
  <si>
    <t>Pārvadātie pasažieri līnijā 2011</t>
  </si>
  <si>
    <t>Pārvadātie pasažieri līnijā 2010</t>
  </si>
  <si>
    <t>Pārvadātie pasažieri līnijā 2009</t>
  </si>
  <si>
    <t>Pārvadātie pasažieri līnijā 2008</t>
  </si>
  <si>
    <t>Pārvadātie pasažieri līnijā 2007</t>
  </si>
  <si>
    <t>Apgrozījums dienā 2011</t>
  </si>
  <si>
    <t>Apgrozījums 2011</t>
  </si>
  <si>
    <t>Izkāpušie 2011</t>
  </si>
  <si>
    <t>Iekāpušie 2011</t>
  </si>
  <si>
    <t>Pasažieru plūsmas pieaugums pēc IKP un atalgojuma pieauguma</t>
  </si>
  <si>
    <t>letāls</t>
  </si>
  <si>
    <t>ievainots</t>
  </si>
  <si>
    <t>videji</t>
  </si>
  <si>
    <t>Jauno peronu stacijas</t>
  </si>
  <si>
    <t>st.Pļaviņas</t>
  </si>
  <si>
    <t>st. Šķirotava  p.p.Jāņavārti</t>
  </si>
  <si>
    <t>st.Saldus</t>
  </si>
  <si>
    <t>4st.43min</t>
  </si>
  <si>
    <t xml:space="preserve">st.Daugavpils </t>
  </si>
  <si>
    <t>st.Livāni</t>
  </si>
  <si>
    <t>1st.52min</t>
  </si>
  <si>
    <t>st. Strenči</t>
  </si>
  <si>
    <t>1st.04min</t>
  </si>
  <si>
    <t>st.Skriveri</t>
  </si>
  <si>
    <t>29min</t>
  </si>
  <si>
    <t>st,Salaspils</t>
  </si>
  <si>
    <t>2st.51min</t>
  </si>
  <si>
    <t>st.Mangaļi</t>
  </si>
  <si>
    <t>2st.18min</t>
  </si>
  <si>
    <t>st.Malta</t>
  </si>
  <si>
    <t>parks Sarkandaugava</t>
  </si>
  <si>
    <t xml:space="preserve">st.Rēzekne </t>
  </si>
  <si>
    <t>st.Ogre p.p. Jaunogre</t>
  </si>
  <si>
    <t>2st.48min</t>
  </si>
  <si>
    <t>st.Misa</t>
  </si>
  <si>
    <t>2st.41min</t>
  </si>
  <si>
    <t>st.Ogre</t>
  </si>
  <si>
    <t xml:space="preserve">st.Ventspils </t>
  </si>
  <si>
    <t>10st.25min</t>
  </si>
  <si>
    <t xml:space="preserve">st .Kokmese </t>
  </si>
  <si>
    <t>h/cilvēku</t>
  </si>
  <si>
    <t>h</t>
  </si>
  <si>
    <t>min</t>
  </si>
  <si>
    <t>aizkavēta satiksme</t>
  </si>
  <si>
    <t>letāl.</t>
  </si>
  <si>
    <t>kopā</t>
  </si>
  <si>
    <t>2012.g. uz 17.12.</t>
  </si>
  <si>
    <t>st.Tukums1</t>
  </si>
  <si>
    <t xml:space="preserve">st.Sloka </t>
  </si>
  <si>
    <t>st.Rīga-Krasta</t>
  </si>
  <si>
    <t>st.Zemitāni</t>
  </si>
  <si>
    <t>p.p.Pārogre</t>
  </si>
  <si>
    <t xml:space="preserve">p.p.Depo </t>
  </si>
  <si>
    <t xml:space="preserve">st. Mangaļu.Sarkandaugavas parks </t>
  </si>
  <si>
    <t>39min</t>
  </si>
  <si>
    <t>st.Rīgas pas, Torņakalna parks</t>
  </si>
  <si>
    <t xml:space="preserve">st. Zasulauks  </t>
  </si>
  <si>
    <t>st.Carnikava</t>
  </si>
  <si>
    <t>1st.25min</t>
  </si>
  <si>
    <t xml:space="preserve">st. Šķirotava </t>
  </si>
  <si>
    <t xml:space="preserve">st.Ogre   </t>
  </si>
  <si>
    <t>2011.g</t>
  </si>
  <si>
    <t>st.Slampe</t>
  </si>
  <si>
    <t xml:space="preserve">st.Ropaži </t>
  </si>
  <si>
    <t xml:space="preserve">st.Malta </t>
  </si>
  <si>
    <t xml:space="preserve">st. Cena </t>
  </si>
  <si>
    <t xml:space="preserve">st.Carņikava </t>
  </si>
  <si>
    <t>st.Daugavpils</t>
  </si>
  <si>
    <t xml:space="preserve">st.Koknese </t>
  </si>
  <si>
    <t>st.Sloka</t>
  </si>
  <si>
    <t>st.Čiekurkalns</t>
  </si>
  <si>
    <t>st.Zemitāni  p.p.Brasa</t>
  </si>
  <si>
    <t xml:space="preserve">st.Rīga pass  </t>
  </si>
  <si>
    <t xml:space="preserve">st.Salaspils  </t>
  </si>
  <si>
    <t xml:space="preserve">st. Šķirotava  </t>
  </si>
  <si>
    <t xml:space="preserve">st. Mangaļu. </t>
  </si>
  <si>
    <t>p.p.Priedaine</t>
  </si>
  <si>
    <t>st.Zemitāni p.p.Brasa</t>
  </si>
  <si>
    <t xml:space="preserve">st.Zemitāni </t>
  </si>
  <si>
    <t xml:space="preserve">st.Krustpils   </t>
  </si>
  <si>
    <t xml:space="preserve">st.Rīgas pas, Torņakalna parks </t>
  </si>
  <si>
    <t>2009.g</t>
  </si>
  <si>
    <t xml:space="preserve">Neparedzētās izmaksas </t>
  </si>
  <si>
    <t>Citas izmaksas</t>
  </si>
  <si>
    <t xml:space="preserve">Pasažieru pieturpunktu uzturēšanas un remonta izmaksas </t>
  </si>
  <si>
    <t>Ls</t>
  </si>
  <si>
    <t>2012. 11 mēn.</t>
  </si>
  <si>
    <t>Kārtējais remonts</t>
  </si>
  <si>
    <t>Tiešie izdevumi bez kom.pak.un nolietojuma</t>
  </si>
  <si>
    <t>t.sk.telpas, zaļā zona</t>
  </si>
  <si>
    <t>t.sk. peroni</t>
  </si>
  <si>
    <t>Kārtējais remonts (uz 08.01.2013.)</t>
  </si>
  <si>
    <t>Vidējās viena pasažieru pieturpunkta pastāvīgās uzturēšanas izmaksas mēnesī (bez kom. pakalpojumiem)</t>
  </si>
  <si>
    <t>Imanta DN00-1060</t>
  </si>
  <si>
    <t>Zolitūde DN00-1050</t>
  </si>
  <si>
    <t>Bulduri DN00-1100</t>
  </si>
  <si>
    <t>Majori DN00-1120</t>
  </si>
  <si>
    <t>Dzintari DN00-1110</t>
  </si>
  <si>
    <t>Lielupe DN00-1090</t>
  </si>
  <si>
    <t>Babīte DN00-1070</t>
  </si>
  <si>
    <t>Sloka DN00-1190</t>
  </si>
  <si>
    <t>Dubulti DN00-1130</t>
  </si>
  <si>
    <t>Melluži DN00-1160</t>
  </si>
  <si>
    <t>Vaivari DN00-1180</t>
  </si>
  <si>
    <t>Olaine DN00-4050</t>
  </si>
  <si>
    <t>Jelgava DN00-5350</t>
  </si>
  <si>
    <t>Cukurfabrika DN00-5170</t>
  </si>
  <si>
    <t>Ikšķile DN00-3110</t>
  </si>
  <si>
    <t>Ogre DN00-3130</t>
  </si>
  <si>
    <t>Salaspils DN00-3090</t>
  </si>
  <si>
    <t>Uzturēšanas izmaksās ietilpst galvenokārt darba samaksas fonds un sociālās iemaksas (76-79%), materiāli un pārējās izmaksas (atkritumu izvešana, apsardze,</t>
  </si>
  <si>
    <t>dezinfekcija, siltummezglu apkope, sniega tīrīšana).</t>
  </si>
  <si>
    <t>Invalīdu mobilo pacēlāju vienas iecelšanas izmaksas ir 6,70 Ls.</t>
  </si>
  <si>
    <t>Investīcijas/Informacija_paaugst_peroni.xls</t>
  </si>
  <si>
    <t>08.01.2013.g.</t>
  </si>
  <si>
    <t>17 staciju peroni (peroni 162tm,214tm,460tm)</t>
  </si>
  <si>
    <t>Ziemeļblāzma (salu 1x162)</t>
  </si>
  <si>
    <t>2.4.5.</t>
  </si>
  <si>
    <t>SCADA</t>
  </si>
  <si>
    <t>2.5.6.</t>
  </si>
  <si>
    <t>jaudas palielināšana no A/s „Sadales tīkls”</t>
  </si>
  <si>
    <t>-</t>
  </si>
  <si>
    <t>2.5.7.</t>
  </si>
  <si>
    <t>jaudas palielināšana no VAs „LDZ”</t>
  </si>
  <si>
    <t>2.5.8.</t>
  </si>
  <si>
    <t xml:space="preserve">Nr. </t>
  </si>
  <si>
    <t>Stacijas, pieturas punkta nosaukums</t>
  </si>
  <si>
    <t>Slodze, kW</t>
  </si>
  <si>
    <t>Peronu apgaismojums</t>
  </si>
  <si>
    <t xml:space="preserve">Piezīmes </t>
  </si>
  <si>
    <t>Plānotā orientējošā slodze, kW</t>
  </si>
  <si>
    <t>Atļautā slodze, kW</t>
  </si>
  <si>
    <t>Peronu apgaismojums, kW</t>
  </si>
  <si>
    <t>Dzelzceļa lietotāji, kW</t>
  </si>
  <si>
    <t>Pārējie lietotāji, kW</t>
  </si>
  <si>
    <t>Kopēja  slodze, kW</t>
  </si>
  <si>
    <t>Gaismekļu tips uz peroniem</t>
  </si>
  <si>
    <t>Gaismekļa jauda, W</t>
  </si>
  <si>
    <t>Gaismekļu daudzums</t>
  </si>
  <si>
    <t>Sakaru ierīces, kW</t>
  </si>
  <si>
    <t>Sakaru telpu apsildīšana un kondicionēšana</t>
  </si>
  <si>
    <t>Videonovērošanas ierīces, kW</t>
  </si>
  <si>
    <t>Ugunsaizsardzības un apsardzes signalizācijas sistēmas KW</t>
  </si>
  <si>
    <t>Pasažieru automātikas sistēmas, kW</t>
  </si>
  <si>
    <t>Tablo ierīces , kW</t>
  </si>
  <si>
    <t>Citas ierīces ekā, kW</t>
  </si>
  <si>
    <t>Kopēja   nepieciešamā slodze, kW</t>
  </si>
  <si>
    <t>Zolitūdes p.p.</t>
  </si>
  <si>
    <t>СКЗР-250</t>
  </si>
  <si>
    <t>HGS-102</t>
  </si>
  <si>
    <t>Imantas p.p.</t>
  </si>
  <si>
    <t>HGS-101</t>
  </si>
  <si>
    <t>Babītes p.p.</t>
  </si>
  <si>
    <t>Elektroapgāde no LDz KTVA-100 GL</t>
  </si>
  <si>
    <t>Lielupes p.p.</t>
  </si>
  <si>
    <t>Bulduru p.p.</t>
  </si>
  <si>
    <t>Dzintaru p.p.</t>
  </si>
  <si>
    <t>Majoru p.p.</t>
  </si>
  <si>
    <t>ПКН-1000</t>
  </si>
  <si>
    <t>ЖКУ-400</t>
  </si>
  <si>
    <t>Dubultu st.</t>
  </si>
  <si>
    <t>Mellužu p.p.</t>
  </si>
  <si>
    <t>SOLO-125</t>
  </si>
  <si>
    <t>Vaivaru p.p.</t>
  </si>
  <si>
    <t>Plutonia-125</t>
  </si>
  <si>
    <t>Slokas st.</t>
  </si>
  <si>
    <t>Algol 1100 F13</t>
  </si>
  <si>
    <t>Ikšķiles p.p.</t>
  </si>
  <si>
    <t>PLUTONIA (LRF-125)</t>
  </si>
  <si>
    <t>NIKKON M (HPL-N-125)</t>
  </si>
  <si>
    <t>Salaspils st.</t>
  </si>
  <si>
    <r>
      <t xml:space="preserve">15,0              </t>
    </r>
    <r>
      <rPr>
        <b/>
        <sz val="9"/>
        <color indexed="17"/>
        <rFont val="Arial"/>
        <family val="2"/>
        <charset val="204"/>
      </rPr>
      <t>(no ST)</t>
    </r>
  </si>
  <si>
    <t>NIKKON M (HQI-E - 100)</t>
  </si>
  <si>
    <r>
      <rPr>
        <b/>
        <sz val="12"/>
        <color indexed="17"/>
        <rFont val="Arial"/>
        <family val="2"/>
        <charset val="204"/>
      </rPr>
      <t>30,0</t>
    </r>
    <r>
      <rPr>
        <sz val="10"/>
        <color indexed="17"/>
        <rFont val="Arial"/>
        <family val="2"/>
        <charset val="204"/>
      </rPr>
      <t xml:space="preserve">              </t>
    </r>
    <r>
      <rPr>
        <b/>
        <sz val="9"/>
        <color indexed="17"/>
        <rFont val="Arial"/>
        <family val="2"/>
        <charset val="204"/>
      </rPr>
      <t>(no EVA-4)</t>
    </r>
  </si>
  <si>
    <t>LED OU  (45)</t>
  </si>
  <si>
    <t xml:space="preserve">Elektroapgāde no LDZ </t>
  </si>
  <si>
    <t>Ogres st.</t>
  </si>
  <si>
    <t>СКЗР-250 (DLR-250)</t>
  </si>
  <si>
    <t>Cukurfabrika p.p</t>
  </si>
  <si>
    <t>CK3P-250</t>
  </si>
  <si>
    <t>Elektroapgāde no LDz TP-1343</t>
  </si>
  <si>
    <t>Olaine st.</t>
  </si>
  <si>
    <t>ALGOL L250E-40</t>
  </si>
  <si>
    <t xml:space="preserve"> Elektroapgāde no LDz KTA- 219 GL </t>
  </si>
  <si>
    <t>SOLE - 125</t>
  </si>
  <si>
    <t>Jelgava st.</t>
  </si>
  <si>
    <t>Elektroapgāde no TP-1014</t>
  </si>
  <si>
    <t xml:space="preserve"> Stāciju un pietūras punktu  elektroenerģijas patēriņš (kWh) 2012.gadā</t>
  </si>
  <si>
    <t>Nr.p.p.</t>
  </si>
  <si>
    <t>Stac. Nosaukums</t>
  </si>
  <si>
    <t>Janv.</t>
  </si>
  <si>
    <t>Febr.</t>
  </si>
  <si>
    <t>Marts</t>
  </si>
  <si>
    <t>Aprīlis</t>
  </si>
  <si>
    <t>Maijs</t>
  </si>
  <si>
    <t>Jūnijs</t>
  </si>
  <si>
    <t>Jūlijs</t>
  </si>
  <si>
    <t>Augusts</t>
  </si>
  <si>
    <t>Sept.</t>
  </si>
  <si>
    <t>Oktob.</t>
  </si>
  <si>
    <t>Novem.</t>
  </si>
  <si>
    <t>Decem.</t>
  </si>
  <si>
    <t xml:space="preserve">Zolitude p.p. </t>
  </si>
  <si>
    <t xml:space="preserve"> dz/c liet.un perona apg.</t>
  </si>
  <si>
    <t>citie lietotāji</t>
  </si>
  <si>
    <t xml:space="preserve">dz/c lietotāji </t>
  </si>
  <si>
    <t>Babites p.p.</t>
  </si>
  <si>
    <t xml:space="preserve"> iekš.apg.</t>
  </si>
  <si>
    <r>
      <t xml:space="preserve">  peroni </t>
    </r>
    <r>
      <rPr>
        <b/>
        <sz val="12"/>
        <rFont val="Arial"/>
        <family val="2"/>
        <charset val="186"/>
      </rPr>
      <t>(GL)</t>
    </r>
  </si>
  <si>
    <r>
      <rPr>
        <b/>
        <sz val="12"/>
        <rFont val="Arial"/>
        <family val="2"/>
        <charset val="186"/>
      </rPr>
      <t>Dubultu st.</t>
    </r>
    <r>
      <rPr>
        <sz val="12"/>
        <rFont val="Arial"/>
        <family val="2"/>
        <charset val="186"/>
      </rPr>
      <t xml:space="preserve"> </t>
    </r>
  </si>
  <si>
    <t>Iekš.apg.</t>
  </si>
  <si>
    <t xml:space="preserve">Mellužu p.p. </t>
  </si>
  <si>
    <r>
      <rPr>
        <b/>
        <sz val="12"/>
        <rFont val="Arial"/>
        <family val="2"/>
        <charset val="186"/>
      </rPr>
      <t>Slokas st.</t>
    </r>
    <r>
      <rPr>
        <sz val="12"/>
        <rFont val="Arial"/>
        <family val="2"/>
        <charset val="186"/>
      </rPr>
      <t xml:space="preserve"> </t>
    </r>
  </si>
  <si>
    <t>Ikšķile p.p.</t>
  </si>
  <si>
    <t>Ogre st.</t>
  </si>
  <si>
    <t xml:space="preserve"> dz/c liet., citie liet. un perona apg.</t>
  </si>
  <si>
    <t>Cukurfabrika p.p.</t>
  </si>
  <si>
    <t>Perona apg.</t>
  </si>
  <si>
    <t xml:space="preserve"> perona apg.</t>
  </si>
  <si>
    <t>dz/c lietotāji</t>
  </si>
  <si>
    <t>perona apg.</t>
  </si>
  <si>
    <t>Apgaismojums</t>
  </si>
  <si>
    <t>apgaismojums</t>
  </si>
  <si>
    <t>KWH/gadā</t>
  </si>
  <si>
    <t>kw</t>
  </si>
  <si>
    <t>pieaugms</t>
  </si>
  <si>
    <t>Kopējās izmaksas</t>
  </si>
  <si>
    <t>ALTERNATĪVU ANALĪZE</t>
  </si>
  <si>
    <t>INVESTĪCIJU NAUDAS PLŪSMA</t>
  </si>
  <si>
    <t>SOCIĀLEKONOMISKĀ ANALĪZE</t>
  </si>
  <si>
    <t>1.1.3.</t>
  </si>
  <si>
    <t>1.1.4.</t>
  </si>
  <si>
    <t>1.1.5.</t>
  </si>
  <si>
    <t>1.8.3.</t>
  </si>
  <si>
    <t>KAPITĀLA NAUDAS PLŪSMA</t>
  </si>
  <si>
    <t>Dzelzceļa pasažieru piekļuves un apkalpošanas infrastruktūras modernizācija.I etaps</t>
  </si>
  <si>
    <t>Jelgava (malu un salu 2x162)</t>
  </si>
  <si>
    <t xml:space="preserve"> </t>
  </si>
  <si>
    <t>Būvlaukuma iekārtas,uzturēšana</t>
  </si>
  <si>
    <t>2.1.4.</t>
  </si>
  <si>
    <t>ŠEIT NEBIJA PIESUMMĒTA CUKURFABRIKA!</t>
  </si>
  <si>
    <t>Pagaidu peronu un pāreju montāža,demontāža</t>
  </si>
  <si>
    <t>Perona nojumes,zemēšana</t>
  </si>
  <si>
    <t>Norobežojošo margu montāža,zemēšana</t>
  </si>
  <si>
    <t>Norobežojošo žogu montāža,zemēšana</t>
  </si>
  <si>
    <t>Norādes un informatīvās zīmes</t>
  </si>
  <si>
    <t>Esošā gājēju tuneļa rekonstrukcija</t>
  </si>
  <si>
    <t>Sakaru telpas izbūve</t>
  </si>
  <si>
    <t>2.4.6.</t>
  </si>
  <si>
    <t>Ēkas fasādes un jumta remonts</t>
  </si>
  <si>
    <t>Neparedzētās izmaksas (līdz 5%)</t>
  </si>
  <si>
    <t>Imanta (malu 2x162)</t>
  </si>
  <si>
    <t>Priedaine (malu 2x162)</t>
  </si>
  <si>
    <t>Pumpuri (malu 2x 162)</t>
  </si>
  <si>
    <t>Asari (malu  2x162)</t>
  </si>
  <si>
    <t xml:space="preserve"> -  </t>
  </si>
  <si>
    <t>ok</t>
  </si>
  <si>
    <t>Kopā projektā</t>
  </si>
  <si>
    <t>Vizuālās informācijas sistēma</t>
  </si>
  <si>
    <t>Total</t>
  </si>
  <si>
    <t>Kopējās attiecināmās izmaksas</t>
  </si>
  <si>
    <t>EUR</t>
  </si>
  <si>
    <t>Vienība</t>
  </si>
  <si>
    <t>Dati jāievada projekta iesniedzējam</t>
  </si>
  <si>
    <t>Darbības izmaksas....</t>
  </si>
  <si>
    <t>1.2.3.</t>
  </si>
  <si>
    <t>1.6.2.</t>
  </si>
  <si>
    <t>1.6.3.</t>
  </si>
  <si>
    <t>Rezultāts</t>
  </si>
  <si>
    <t>Izmaksu pozīcijas nosaukums</t>
  </si>
  <si>
    <t>Kopējā summa</t>
  </si>
  <si>
    <t>attiecināmas</t>
  </si>
  <si>
    <t>neattiecināmas</t>
  </si>
  <si>
    <t>Projekta netiešās izmaksas kopā:</t>
  </si>
  <si>
    <t>Maksimālais ES finansējuma apjoms pie aprēķinātās atbalsta likmes</t>
  </si>
  <si>
    <t>Aizpilda projekta iesniedzējs, rediģējamas šūnas</t>
  </si>
  <si>
    <t xml:space="preserve">3) Investīcijas = AR projektu investīcijas </t>
  </si>
  <si>
    <t>Apzīmējumi:</t>
  </si>
  <si>
    <t>INVESTĪCIJU NAUDAS PLŪSMAS APRĒĶINS BEZ PROJEKTA</t>
  </si>
  <si>
    <t xml:space="preserve">Sociālekonomiskie ieguvumi </t>
  </si>
  <si>
    <t>Citas fiskālas korekcijas</t>
  </si>
  <si>
    <t>Kopējamas PIV formā</t>
  </si>
  <si>
    <t>1.5.3.</t>
  </si>
  <si>
    <t>1.5.4.</t>
  </si>
  <si>
    <t>1.5.5.</t>
  </si>
  <si>
    <t>ha</t>
  </si>
  <si>
    <t xml:space="preserve">Projekta kvalitātes kritēriju aprēķins </t>
  </si>
  <si>
    <t>Izmaksas kopā</t>
  </si>
  <si>
    <t>attiecināmas izmaksas</t>
  </si>
  <si>
    <t>neattiecināmas izmaksas</t>
  </si>
  <si>
    <t>ERAF finansējums, EUR</t>
  </si>
  <si>
    <t>Izmaksu pozīcijas nosaukums*</t>
  </si>
  <si>
    <t>Izmaksu veids (tiešās/ netiešās)</t>
  </si>
  <si>
    <t>Vienas vienības izmaksu pielietojums</t>
  </si>
  <si>
    <t>(ir vai nav**)</t>
  </si>
  <si>
    <t>Projekta darbības Nr.</t>
  </si>
  <si>
    <t>Izmaksas</t>
  </si>
  <si>
    <t>t.sk. PVN</t>
  </si>
  <si>
    <t>attiecināmās</t>
  </si>
  <si>
    <t>neattiecināmās</t>
  </si>
  <si>
    <t>Informatīvo un publicitātes pasākumu izmaksas</t>
  </si>
  <si>
    <t>* Izmaksu pozīcijas norāda saskaņā ar normatīvajā aktā par attiecīgā Eiropas Savienības fonda specifiskā atbalsta mērķa īstenošanu norādītajām attiecināmo izmaksu pozīcijām</t>
  </si>
  <si>
    <t>** ja izmaksu pozīcijai tiek pielietota vienas vienības izmaksa, jānorāda "ir", ja netiek - aile nav jāaizpilda (jāatstāj tukša)</t>
  </si>
  <si>
    <t>Projekta budžeta kopsavilkums</t>
  </si>
  <si>
    <t>Finansējuma avots</t>
  </si>
  <si>
    <t>Summa</t>
  </si>
  <si>
    <t>Publiskās neattiecināmās izmaksas</t>
  </si>
  <si>
    <t>Neattiecināmās izmaksas kopā</t>
  </si>
  <si>
    <t>Finansēšanas plāns</t>
  </si>
  <si>
    <t>Galvenie elementi un parametri</t>
  </si>
  <si>
    <t>Vērtība</t>
  </si>
  <si>
    <t>Pārskata periods (gadi)</t>
  </si>
  <si>
    <t>Finanšu diskonta likme (%) (saskaņā ar FM vadlīnijām)</t>
  </si>
  <si>
    <t>Nediskontēta vērtība</t>
  </si>
  <si>
    <t>Atsauce uz IIA dokumentu</t>
  </si>
  <si>
    <t>Atlikusī vērtība (EUR)</t>
  </si>
  <si>
    <t>Ieņēmumi (EUR)</t>
  </si>
  <si>
    <t>Darbības un aizstāšanas izmaksas (EUR)(Eiropas Komisijas 2014.gada 3.marta deleģētās regulas Nr. 480/2014 17.panta izpratnē</t>
  </si>
  <si>
    <t>2.1. Aizpilda tikai kopējas regulas Regula Nr. 1303/2013 61.panta 3.daļas b).punktā noteiktajā gadījumā un ievērojot citus 61.pantā noteiktus nosacījumus.</t>
  </si>
  <si>
    <t>Neto ieņēmumi = ieņēmumi - darbības izmaksas + atlikusī vērtība (EUR)</t>
  </si>
  <si>
    <t>Pro - rata bez diskontētiem neto ieņēmumiem (%)</t>
  </si>
  <si>
    <t>Projekta iesnieguma koriģēta lidzfinansējuma likme</t>
  </si>
  <si>
    <t>3. Finanšu analīzes galvenie rādītāji saskaņā ar IIA dokumentu</t>
  </si>
  <si>
    <t>Bez Savienības atbalsta</t>
  </si>
  <si>
    <t>Ar Savienību atbalsts</t>
  </si>
  <si>
    <t>A</t>
  </si>
  <si>
    <t>B</t>
  </si>
  <si>
    <t>FRR ( C)</t>
  </si>
  <si>
    <t>FRR(K)</t>
  </si>
  <si>
    <t>FNPV(C)</t>
  </si>
  <si>
    <t>FNPV(K)</t>
  </si>
  <si>
    <t xml:space="preserve"> = (8) / (3)</t>
  </si>
  <si>
    <t xml:space="preserve"> = (3) -(7)</t>
  </si>
  <si>
    <t xml:space="preserve"> = (5) -(6) +(4)</t>
  </si>
  <si>
    <t>Finanšu atdeves likme (%)</t>
  </si>
  <si>
    <t>Neto pašreizējā vērtība</t>
  </si>
  <si>
    <t>Ieguvumi</t>
  </si>
  <si>
    <t>Vienības vērtība (ja piemērojams)</t>
  </si>
  <si>
    <t>% no ieguvumu kopsummas</t>
  </si>
  <si>
    <t>% no izmaksu kopsummas</t>
  </si>
  <si>
    <t>3. Ekonomiskās analīzes galvenie rādītāji saskaņā ar IIA dokumentu</t>
  </si>
  <si>
    <t>Galvenie parametri un rādītāji</t>
  </si>
  <si>
    <t>1. Sociālā diskonta likme (%)</t>
  </si>
  <si>
    <t>2. Ekonomiskā ienesīguma norma ERR (%)</t>
  </si>
  <si>
    <t>3. Ekonomiskā neto pašreizējā vērtība ENPV</t>
  </si>
  <si>
    <t>4. Ieguvumu un izmaksu attiecība</t>
  </si>
  <si>
    <t>Nosaukums</t>
  </si>
  <si>
    <t>Paskaidrojums</t>
  </si>
  <si>
    <t>Kontroles lapas</t>
  </si>
  <si>
    <t>2. Investīciju naudas plūsmas aprēķins bez projekta</t>
  </si>
  <si>
    <t>3. Investīciju naudas plūsmas aprēķins ar projektu</t>
  </si>
  <si>
    <t>5. Sociālekonomiskās analīzes ieguvumi un zaudējumi</t>
  </si>
  <si>
    <t>6. Jūtīguma analīze investīciju naudas plūsmai</t>
  </si>
  <si>
    <t>7. Jūtīguma analīze sociālekonomiskajai analīzei</t>
  </si>
  <si>
    <t xml:space="preserve">Diskontēta vērtība </t>
  </si>
  <si>
    <t>I. Finanšu analīze</t>
  </si>
  <si>
    <t>Informācija par ekonomiskajiem ieguvumiem un izmaksām:</t>
  </si>
  <si>
    <t>I. Ekonomiskā analīze</t>
  </si>
  <si>
    <t>Aprēķinos jāizmanto papildus izmaksu metode</t>
  </si>
  <si>
    <t>1.2.4.</t>
  </si>
  <si>
    <t>1.6.4.</t>
  </si>
  <si>
    <t xml:space="preserve">Fiskālās korekcijas </t>
  </si>
  <si>
    <t>Projekta ieņēmumi</t>
  </si>
  <si>
    <t>kods</t>
  </si>
  <si>
    <t xml:space="preserve">Projekta plānotie darbības rezultāti </t>
  </si>
  <si>
    <t>1.Dati par projektu</t>
  </si>
  <si>
    <t>2. Informācija par aprēķinu procesu</t>
  </si>
  <si>
    <t>Dati tiek aprēķināti automātiski</t>
  </si>
  <si>
    <t>DARBA LAPA Nr.2</t>
  </si>
  <si>
    <t>DARBA LAPA Nr.3</t>
  </si>
  <si>
    <t>DARBA LAPA Nr.4</t>
  </si>
  <si>
    <t>DARBA LAPA Nr.5</t>
  </si>
  <si>
    <t>REZULTĀTU LAPA Nr.11</t>
  </si>
  <si>
    <t>REZULTĀTU LAPA Nr.12</t>
  </si>
  <si>
    <t>REZULTĀTU LAPA Nr.13</t>
  </si>
  <si>
    <t>PIV 2.pielikums</t>
  </si>
  <si>
    <t>PIV 4.pielikums</t>
  </si>
  <si>
    <r>
      <t xml:space="preserve">2. Galvenie elementi un parametri, ko izmanto IIA finanšu analīzei (visiem skaitļiem jāatbilst IIA dokumentam. IIA jāveic </t>
    </r>
    <r>
      <rPr>
        <b/>
        <i/>
        <sz val="10"/>
        <rFont val="Calibri"/>
        <family val="2"/>
        <charset val="186"/>
        <scheme val="minor"/>
      </rPr>
      <t>euro</t>
    </r>
    <r>
      <rPr>
        <b/>
        <sz val="10"/>
        <rFont val="Calibri"/>
        <family val="2"/>
        <charset val="186"/>
        <scheme val="minor"/>
      </rPr>
      <t>)</t>
    </r>
  </si>
  <si>
    <t>*(nodaļa / sadaļa / lapa)*</t>
  </si>
  <si>
    <t>Kopējā vērtība 
(EUR, diskontēta)</t>
  </si>
  <si>
    <t>Kopējā vērtība (EUR, diskontēta)</t>
  </si>
  <si>
    <t>PIV 3.pielikums</t>
  </si>
  <si>
    <t>INVESTĪCIJU NAUDAS PLŪSMAS APRĒĶINS AR PROJEKTU</t>
  </si>
  <si>
    <t>SOCIĀLEKONOMISKĀS ANALĪZES  IEGUVUMI UN ZAUDĒJUMI</t>
  </si>
  <si>
    <t>SOCIĀLEKONOMISKĀS ANALĪZES APRĒĶINS</t>
  </si>
  <si>
    <t>APRĒĶINU LAPA Nr.9</t>
  </si>
  <si>
    <t>FINANSIĀLĀ ILGTSPĒJA</t>
  </si>
  <si>
    <t>Ieņēmumus gūstošs projekts</t>
  </si>
  <si>
    <t>Ieņēmumus negūstošs projekts</t>
  </si>
  <si>
    <t>Projekta veids 
*tiek atspoguļots pēc 2.dl. un 3. dl aizpildīšanas*:</t>
  </si>
  <si>
    <t>Ātri nolietojamu iekārtu aizvietošanas izmaksas</t>
  </si>
  <si>
    <t>Diskontētās investīciju izmaksas bez neparedzētajiem izdevumiem</t>
  </si>
  <si>
    <t>2.1.5.</t>
  </si>
  <si>
    <t>1. Kopējie ieņēmumi (+):</t>
  </si>
  <si>
    <t>2. Kopējās izmaksas (-):</t>
  </si>
  <si>
    <t>Kontrole</t>
  </si>
  <si>
    <t>ar DL#1 rezultātiem</t>
  </si>
  <si>
    <t>Tiek veikti aprēķini ar jau savadītām formulām, projekta iesniedzējs datus neievada</t>
  </si>
  <si>
    <t>Galvenie rezultātu dati no aprēķinu lapām, formulas visu sarēķina, projekta iesniedzējs datus neievada</t>
  </si>
  <si>
    <t>Tiek kontrolēta kritēriju izpilde. Informatīva lapa finansējuma saņēmējam</t>
  </si>
  <si>
    <t>Diskontētais ieguldītais kapitāls</t>
  </si>
  <si>
    <t>1) Projekta (papildus) ieņēmumi = AR projektu ieņēmumi - BEZ projekta ieņēmumi</t>
  </si>
  <si>
    <t>2) Projekta (papildus) izmaksas (+) vai Ietaupītās izmaksas (-) = AR projektu izmaksas - BEZ projekta izmaksas</t>
  </si>
  <si>
    <t>Projekta darbības izmaksas</t>
  </si>
  <si>
    <t>Diskontētie projekta ieņēmumi</t>
  </si>
  <si>
    <t>Diskontētās projekta darbības izmaksas</t>
  </si>
  <si>
    <t>Finanšu ieņēmumi un sociālekonomiskie ieguvumi</t>
  </si>
  <si>
    <t>Projekta (papildus) izmaksu naudas plūsma</t>
  </si>
  <si>
    <t>Ieguvums ...</t>
  </si>
  <si>
    <t>Zaudējumi...</t>
  </si>
  <si>
    <t>Diskontētie  projekta ieņēmumi</t>
  </si>
  <si>
    <t>Diskontētas projekta darbības izmaksas</t>
  </si>
  <si>
    <t>Projekta darbības izmaksu darbaspēka izmaksu fiskālās korekcijas</t>
  </si>
  <si>
    <t>Projekta  ieņēmumi</t>
  </si>
  <si>
    <t>Investīciju izmaksas bez neparedzētajiem izdevumiem</t>
  </si>
  <si>
    <t>Darbības izmaksas AR projektu (-)</t>
  </si>
  <si>
    <t>Investīciju izmaksas (-)</t>
  </si>
  <si>
    <t>Ieņēmumi AR projektu (+)</t>
  </si>
  <si>
    <t>Projekta atlikusī vērtība (+)</t>
  </si>
  <si>
    <t>Ieņēmumi BEZ projekta (+)</t>
  </si>
  <si>
    <t>Darbības izmaksas BEZ projekta (-)</t>
  </si>
  <si>
    <t>Sociālekonomiskie ieguvumi (+)</t>
  </si>
  <si>
    <t>Sociālekonomiskie zaudējumi (-)</t>
  </si>
  <si>
    <t>JUTĪGUMA ANALĪZE INVESTĪCIJU NAUDAS PLŪSMAI</t>
  </si>
  <si>
    <t>JUTĪGUMA ANALĪZE SOCIĀLEKONOMISKAJAI ANALĪZEI</t>
  </si>
  <si>
    <t>VSAOI darba devējam</t>
  </si>
  <si>
    <t>Neto ieņēmumi (DNR)</t>
  </si>
  <si>
    <t>Neto ieņēmumi (DNR) &gt;0</t>
  </si>
  <si>
    <t>neto ieņēmumi (DNR)≤0</t>
  </si>
  <si>
    <t>Darba lapas (DL)</t>
  </si>
  <si>
    <t>Aprēķinu lapas (AL)</t>
  </si>
  <si>
    <t>Rezultātu lapas (RL)</t>
  </si>
  <si>
    <t>Projekta iesnieguma veidlapas tabulas (PIV)</t>
  </si>
  <si>
    <t>Ieņēmumus gūst(2) vai negūst(1)?</t>
  </si>
  <si>
    <t xml:space="preserve">ja ieņēmumus negūstošs projekts, tad likme 100% </t>
  </si>
  <si>
    <t>0 / 1</t>
  </si>
  <si>
    <t>8. AL budžets kopā</t>
  </si>
  <si>
    <t>9. Alternatīvu analīze</t>
  </si>
  <si>
    <t>10. Sociālekonomiskās analīzes aprēķins</t>
  </si>
  <si>
    <t>11. Kapitāla naudas plūsma</t>
  </si>
  <si>
    <t>12. Investīciju naudas plūsma</t>
  </si>
  <si>
    <t>13. Sociālekonomiskā analīze</t>
  </si>
  <si>
    <t>13. RL Sociālekonomiskā an</t>
  </si>
  <si>
    <t>Norāda uz lapām, kurās ir jāpilda dati</t>
  </si>
  <si>
    <t>ERAF finansējums, EUR ( pa gadiem)</t>
  </si>
  <si>
    <t>DARBA LAPA Nr.6</t>
  </si>
  <si>
    <t>DARBA LAPA Nr.7</t>
  </si>
  <si>
    <t>APRĒĶINU LAPA  Nr.8</t>
  </si>
  <si>
    <t>APRĒĶINU LAPA Nr.10</t>
  </si>
  <si>
    <t>Tiešās attiecināmās izmaksas</t>
  </si>
  <si>
    <t>Projekta izmaksu ierobežojumu kontrole</t>
  </si>
  <si>
    <t>Skaits/ vērtība</t>
  </si>
  <si>
    <t xml:space="preserve">ERAF atbalsta likme (%) </t>
  </si>
  <si>
    <t>BUDŽETS KOPĀ</t>
  </si>
  <si>
    <t>Netiešās attiecināmās izmaksas</t>
  </si>
  <si>
    <t>Projekta izmaksu un kritēriju kontroles lapa</t>
  </si>
  <si>
    <t>12. RL Investīciju n.pl.</t>
  </si>
  <si>
    <t>ERAF atbalsta likme (%) kopā</t>
  </si>
  <si>
    <t>koriģēta lidzfinansējuma likme</t>
  </si>
  <si>
    <t>koriģēta lidzfinansējuma likme kopā</t>
  </si>
  <si>
    <t>1.1.6.</t>
  </si>
  <si>
    <t>1.2.5.</t>
  </si>
  <si>
    <t>1.2.6.</t>
  </si>
  <si>
    <t>2.1.6.</t>
  </si>
  <si>
    <t>2.1.7.</t>
  </si>
  <si>
    <t>2.1.8.</t>
  </si>
  <si>
    <t>2.1.9.</t>
  </si>
  <si>
    <t>2.4.7.</t>
  </si>
  <si>
    <t>2.4.8.</t>
  </si>
  <si>
    <t>2.4.9.</t>
  </si>
  <si>
    <t>1.1.7.</t>
  </si>
  <si>
    <t>1.1.8.</t>
  </si>
  <si>
    <t>1.1.9.</t>
  </si>
  <si>
    <t>1.5.6.</t>
  </si>
  <si>
    <t>1.5.7.</t>
  </si>
  <si>
    <t>1.5.8.</t>
  </si>
  <si>
    <t>1.5.9.</t>
  </si>
  <si>
    <t>1.6.5.</t>
  </si>
  <si>
    <t>1.6.6.</t>
  </si>
  <si>
    <t>Dati darba spēka izmaksām un citām fiskālajām korekcijām</t>
  </si>
  <si>
    <t>Projekta darbības izmaksu darbaspēka izmaksas (-)</t>
  </si>
  <si>
    <t>Investīciju darba spēka izmaksas (-)</t>
  </si>
  <si>
    <t>Citas fiskālās korekcijas (+)</t>
  </si>
  <si>
    <t>Maksimālā ERAF atbalsta likme (%)</t>
  </si>
  <si>
    <t>Projekta izmaksas saskaņā ar vienoto izmaksu likmi (netiešās izmaksas)</t>
  </si>
  <si>
    <t xml:space="preserve">Maksimālā ERAF atbalsta likme (%) </t>
  </si>
  <si>
    <t>Aizņēmuma pamatsummas atmaksa</t>
  </si>
  <si>
    <t>Aizņēmuma procentu atmaksa</t>
  </si>
  <si>
    <t>4. Finansiālā ilgtspēja</t>
  </si>
  <si>
    <t>14. Kontroles lapa</t>
  </si>
  <si>
    <t>15. PIV 2.Pielikums</t>
  </si>
  <si>
    <t>16. PIV 3.Pielikums</t>
  </si>
  <si>
    <t>17. PIV 4.Pielikums: I. Finanšu analīze</t>
  </si>
  <si>
    <t>18. PIV 4.Pielikum:s II. Ekonomiskā analīze</t>
  </si>
  <si>
    <t>3.DL  invest.n.pl.AR pr.;    12. RL Investīciju n.pl.</t>
  </si>
  <si>
    <t>BUDŽETS (+)</t>
  </si>
  <si>
    <t>"Ar projektu" darbības izmaksas</t>
  </si>
  <si>
    <t xml:space="preserve">Projektā ieguldītais kapitāls </t>
  </si>
  <si>
    <t>1. Budžets</t>
  </si>
  <si>
    <t xml:space="preserve">Neparedzētie izdevumi </t>
  </si>
  <si>
    <t>Ieņēmumi….</t>
  </si>
  <si>
    <t>Izvēlieties projekta iesniedzēja veidu!</t>
  </si>
  <si>
    <t>Projekta iesniedzēja nosaukums:</t>
  </si>
  <si>
    <t>Projekta nosaukums</t>
  </si>
  <si>
    <t>Projekta plānotie darbības rezultāti un to rezultatīvie rādītāji</t>
  </si>
  <si>
    <t>Pārbaude</t>
  </si>
  <si>
    <t>Izmaksu veids</t>
  </si>
  <si>
    <t>jūnijs</t>
  </si>
  <si>
    <t>11. RL Kapitāla  naudas plūsma; 12. RL Investīciju n.pl.</t>
  </si>
  <si>
    <t>1.11.</t>
  </si>
  <si>
    <t>1.12.</t>
  </si>
  <si>
    <t>Lūdzu ievadīt pašvaldības aizņēmumu un galvojumus norādot saistības un to apjomu pa gadiem. Nepieciešamības gadījumā ievietojiet rindas.</t>
  </si>
  <si>
    <t>Pašvaldības budžeta ieņēmumi</t>
  </si>
  <si>
    <t>Kopā pašvaldības ilgtermiņa saistības</t>
  </si>
  <si>
    <t>Pašvaldības galvojumu saraksts</t>
  </si>
  <si>
    <t>Saistību apjoms pret pamatbudžeta ieņēmumiem</t>
  </si>
  <si>
    <t>jūlijs</t>
  </si>
  <si>
    <t>max kredīta apjoms pašvaldībai</t>
  </si>
  <si>
    <t xml:space="preserve">Projekta iesniegšanas laiks: </t>
  </si>
  <si>
    <t>Projekta pārskata periods (gadi):</t>
  </si>
  <si>
    <t>Pašvaldības kredītu saraksts</t>
  </si>
  <si>
    <t>3. Izmaksu - ieguvumu analīzes saturs</t>
  </si>
  <si>
    <t>DARBA LAPA Nr.1</t>
  </si>
  <si>
    <t>ERAF</t>
  </si>
  <si>
    <t>Nacionālais finansējums (pašvaldību finansējums, valsts budžeta dotācija pašvaldībām, valsts budžeta finansējums, privātais finansējums)</t>
  </si>
  <si>
    <t>LĪDZ PROJEKTA IESNIEGŠANAI, bet ne agrāk kā no 01.01.2016.</t>
  </si>
  <si>
    <t xml:space="preserve">Atlīdzības izmaksas projekta vadības personālam </t>
  </si>
  <si>
    <t>Atlīdzības izmaksas projekta vadības personālam nepārsniedz 24 426 EUR gadā un 10% no projekta tiešajām attiecināmajām izmaksām (MK noteikumu 29.6.punkts)</t>
  </si>
  <si>
    <t>Atlīdzības izmaksu pārsniegums virs 24426 EUR gadā</t>
  </si>
  <si>
    <t>Publicitātes izmaksas nepārsniedz 1% no projekta kopējām attiecināmajām izmaksām (MK not. 29.5.punkts)</t>
  </si>
  <si>
    <t>Projekta maksimālā attiecināmo ERAF izmaksu kopsumma nepārsniedz 500000 EUR (MK not. 11.punkts)</t>
  </si>
  <si>
    <t>Projekta netiešās attiecināmās izmaksas nepārsniedz 15% no atlīdzības izmaksām projekta vadības personālam (MK not. 33.punkts)</t>
  </si>
  <si>
    <t xml:space="preserve">Biotopu platība, kuras saņem atbalstu, lai panāktu labāku aizsardzības pakāpi </t>
  </si>
  <si>
    <t>Maksimālie ieguldījumi uz 1 ha ietekmēto biotopu platību nepārsniedz 1300 EUR (MK not. 11.punkts)</t>
  </si>
  <si>
    <t>Projekta ieguldījumi uz 1 ha labvēlīgi ietekmēto biotopu platību</t>
  </si>
  <si>
    <t>būvuzraudzības un autoruzraudzības izmaksas</t>
  </si>
  <si>
    <t>infrastruktūras jaunas būvniecības, pārbūves un atjaunošanas izmaksas</t>
  </si>
  <si>
    <t>4.</t>
  </si>
  <si>
    <t>5.</t>
  </si>
  <si>
    <t>1.13.</t>
  </si>
  <si>
    <t>1.14.</t>
  </si>
  <si>
    <t>Aktuālās diskonta likmes ir atrodamas: http://fm.gov.lv/lv/sadalas/ppp/tiesibu_akti/makroekonomiskie_pienemumi_un_prognozes/</t>
  </si>
  <si>
    <t>PVN</t>
  </si>
  <si>
    <t>Ieņēmumi…</t>
  </si>
  <si>
    <t>6.</t>
  </si>
  <si>
    <t>Projekta iesniedzēja veids:</t>
  </si>
  <si>
    <t>Pakalpojumu, preču piegāžu un būvdarbu līgumu izmaksas MK noteikumu 27.punktā minētajām atbalstāmajām darbībām</t>
  </si>
  <si>
    <t>būvniecības ieceres dokumentācijas un būvprojekta sagatavošanas un būvekspertīzes izmaksas</t>
  </si>
  <si>
    <t>Projekta iesniedzēja finansējums</t>
  </si>
  <si>
    <t>ES fondu finansējums</t>
  </si>
  <si>
    <t>apmeklētāju skaitīšanas ierīču, informācijas stendu, norāžu un zīmju, tai skaitā veselības maršrutu vajadzībām, iegādes, izgatavošanas, transportēšanas un uzstādīšanas izmaksas</t>
  </si>
  <si>
    <t>Plānotais projekta sākuma laiks:</t>
  </si>
  <si>
    <t>Izvēlieties variantu!</t>
  </si>
  <si>
    <t>Projekta sadarbības partnera  veids:</t>
  </si>
  <si>
    <t>Vai projekta sadarbības partneris līdzfinansēs projektu?</t>
  </si>
  <si>
    <t>Vai projekta iesniedzējs projekta finansēšanai plāno ņemt kredītu?</t>
  </si>
  <si>
    <t>1.15.</t>
  </si>
  <si>
    <t>1.16.</t>
  </si>
  <si>
    <t>1.18.</t>
  </si>
  <si>
    <t>1.19.</t>
  </si>
  <si>
    <t>Projekta partnera - pašvaldības budžeta ieņēmumi</t>
  </si>
  <si>
    <t>Kopā projekta partnera - pašvaldības ilgtermiņa saistības</t>
  </si>
  <si>
    <t>Projekta partnera -pašvaldības kredītu saraksts</t>
  </si>
  <si>
    <t>Projekta partnera - pašvaldības galvojumu saraksts</t>
  </si>
  <si>
    <t>1.17.</t>
  </si>
  <si>
    <t>Būvniecības ieceres dokumetnācijas, būvprojekta sagatavošanas un būvekspertīzes, būvuzraudzības un autoruzraudzības kopējās izmaksas nepārsniedz 10% no kopējām tiešajām attiecināmajām izmaksām (MK not. 30.punkts)</t>
  </si>
  <si>
    <t>Projekta iesniedzēja - pašvaldības ilgtermiņa saistības nepārsniedz 20% no pašvaldības ieņēmumiem</t>
  </si>
  <si>
    <t>Projekta partnera - pašvaldības ilgtermiņa saistības nepārsniedz 20% no pašvaldības ieņēmumiem</t>
  </si>
  <si>
    <t>Izvēlieties projekta sadarbības partnera veidu!</t>
  </si>
  <si>
    <t>Ja uz 1.8.jautājumu atbildējāt ar "Jā", lūdzu norādiet kredīta apjomu, EUR:</t>
  </si>
  <si>
    <t>Ja uz 1.8.jautājumu atbildējāt ar "Jā", lūdzu, norādiet kredīta atmaksas termiņu, gados:</t>
  </si>
  <si>
    <t xml:space="preserve"> Ja uz 1.8.jautājumu atbildējāt "Jā", lūdzu, norādiet kredīta procentu kopējo likmi, %:</t>
  </si>
  <si>
    <t xml:space="preserve">Pašvaldības ilgtermiņa saistības, EUR (minēto sadaļu nepieciešams aizpildīt, ja projekta iesniedzējs ir pašvaldība vai pašvaldības iestāde un uz 1.8.jautājumu sniegta atbilde "Jā"): </t>
  </si>
  <si>
    <t>Vai sadarbības partneris finansēšanai plāno ņemt kredītu? (atbildiet uz jautājumu, ja 1.15.jautājumā ir sniegta atbilde "Jā")</t>
  </si>
  <si>
    <t xml:space="preserve">Projekta partnera - pašvaldības ilgtermiņa saistības, EUR (minēto sadaļu nepieciešams aizpildīt, ja projekta sadarbības partneris ir pašvaldība vai pašvaldības iestāde un uz 1.16.jautājumu sniegta atbilde "Jā"): </t>
  </si>
  <si>
    <t>Vai projektu īstenos sadarbībā ar partneri?</t>
  </si>
  <si>
    <t>Projekta neparedzētie izdevumi nepārsniedz 3% no projekta kopējām tiešajām attiecināmajām izmaksām (MK not. 32.punkts)</t>
  </si>
  <si>
    <t>Jā</t>
  </si>
  <si>
    <t>3.1.1.1.</t>
  </si>
  <si>
    <t>Investīciju attiecināmās izmaksas bez neparedzētajām izmaksām</t>
  </si>
  <si>
    <t>3.1.1.2.</t>
  </si>
  <si>
    <t>Investīciju neattiecināmās izmaksas bez neparedzētajām izmaksām</t>
  </si>
  <si>
    <t>1.3.1.1</t>
  </si>
  <si>
    <t>1.3.1.2.</t>
  </si>
  <si>
    <t>2.3.1.1.</t>
  </si>
  <si>
    <t>2.3.1.2.</t>
  </si>
  <si>
    <t>Diskontētās investīciju attiecināmās izmaksas bez neparedzētajām izmaksām</t>
  </si>
  <si>
    <t>Diskontētās investīciju neattiecināmās izmaksas bez neparedzētajām izmaksām</t>
  </si>
  <si>
    <t>Kopējas attiecināmās izmaksas - neto ieņēmumi (EUR, diskontēta)</t>
  </si>
  <si>
    <t xml:space="preserve"> = MK noteikta SAM līdzfinansējuma likme ** (9)</t>
  </si>
  <si>
    <t xml:space="preserve">* Kopējās izmaksās līdzfinansējuma likmes aprēķinā ieskaita tikai attiecināmās izmaksas
** Ja PVN ir atgūstams, izmaksas un ieņēmumus būtu jārēķina bez PVN.
</t>
  </si>
  <si>
    <r>
      <t>Kopējais investīciju*</t>
    </r>
    <r>
      <rPr>
        <sz val="10"/>
        <rFont val="Calibri"/>
        <family val="2"/>
        <charset val="186"/>
        <scheme val="minor"/>
      </rPr>
      <t xml:space="preserve"> izmaksas, izņemot neparedzētus izdevumus (EUR)</t>
    </r>
  </si>
  <si>
    <t>Minējums, kas jūsuprāt ir tuvu FRR/C</t>
  </si>
  <si>
    <t>Norādiet minējumu, kas jūsuprāt ir tuvu FRR/C vērtībai:</t>
  </si>
  <si>
    <t>Norādiet minējumu, kas jūsuprāt ir tuvu FRR/k vērtībai:</t>
  </si>
  <si>
    <t>Norādiet minējumu, kas jūsuprāt ir tuvu ERR vērtībai:</t>
  </si>
  <si>
    <t>Norādiet minējumu, kas jūsuprāt ir tuvu FRR/c vērtībai:</t>
  </si>
</sst>
</file>

<file path=xl/styles.xml><?xml version="1.0" encoding="utf-8"?>
<styleSheet xmlns="http://schemas.openxmlformats.org/spreadsheetml/2006/main" xmlns:mc="http://schemas.openxmlformats.org/markup-compatibility/2006" xmlns:x14ac="http://schemas.microsoft.com/office/spreadsheetml/2009/9/ac" mc:Ignorable="x14ac">
  <numFmts count="34">
    <numFmt numFmtId="41" formatCode="_-* #,##0_-;\-* #,##0_-;_-* &quot;-&quot;_-;_-@_-"/>
    <numFmt numFmtId="43" formatCode="_-* #,##0.00_-;\-* #,##0.00_-;_-* &quot;-&quot;??_-;_-@_-"/>
    <numFmt numFmtId="164" formatCode="_(&quot;$&quot;* #,##0_);_(&quot;$&quot;* \(#,##0\);_(&quot;$&quot;* &quot;-&quot;_);_(@_)"/>
    <numFmt numFmtId="165" formatCode="_-[$€-2]* #,##0.00_-;\-[$€-2]* #,##0.00_-;_-[$€-2]* &quot;-&quot;??_-"/>
    <numFmt numFmtId="166" formatCode="0.000"/>
    <numFmt numFmtId="167" formatCode="dd\ mmm\ yy"/>
    <numFmt numFmtId="168" formatCode="General&quot;.&quot;"/>
    <numFmt numFmtId="169" formatCode="#,##0;\(#,##0\);&quot;-&quot;"/>
    <numFmt numFmtId="170" formatCode="#,##0_);\(#,##0\);&quot; - &quot;_);@_)"/>
    <numFmt numFmtId="171" formatCode="#,##0;[Red]\(#,##0\);0"/>
    <numFmt numFmtId="172" formatCode="d\ mmmm\ yyyy"/>
    <numFmt numFmtId="173" formatCode="0.00;[Red]0.00"/>
    <numFmt numFmtId="174" formatCode="\ #,##0.00_);\(#,##0.00\);&quot; - &quot;_);@_)"/>
    <numFmt numFmtId="175" formatCode="\ #,##0.000_);\(#,##0.000\);&quot; - &quot;_);@_)"/>
    <numFmt numFmtId="176" formatCode="\ #,##0.0_);\(#,##0.0\);&quot; - &quot;_);@_)"/>
    <numFmt numFmtId="177" formatCode="_(\ #,##0.0_%_);_(\ \(#,##0.0_%\);_(\ &quot; - &quot;_%_);_(@_)"/>
    <numFmt numFmtId="178" formatCode="_(\ #,##0.0%_);_(\ \(#,##0.0%\);_(\ &quot; - &quot;\%_);_(@_)"/>
    <numFmt numFmtId="179" formatCode="_(* #,###.0_);_(* \(#,###.0\);_(* &quot;-&quot;?_);_(@_)"/>
    <numFmt numFmtId="180" formatCode="#,##0;\(#,##0\);&quot;0&quot;"/>
    <numFmt numFmtId="181" formatCode="0.0%"/>
    <numFmt numFmtId="182" formatCode="\+0.00%;\-0.00%;0%"/>
    <numFmt numFmtId="183" formatCode="0.0"/>
    <numFmt numFmtId="184" formatCode="0.0000000"/>
    <numFmt numFmtId="185" formatCode="#,##0;[Red]\-&quot;Ls&quot;\ #,##0"/>
    <numFmt numFmtId="186" formatCode="[$-426]General"/>
    <numFmt numFmtId="187" formatCode="#,##0.0000"/>
    <numFmt numFmtId="188" formatCode="[$-426]0.00"/>
    <numFmt numFmtId="189" formatCode="0.000%"/>
    <numFmt numFmtId="190" formatCode="#,##0.000"/>
    <numFmt numFmtId="191" formatCode="#,##0.00000"/>
    <numFmt numFmtId="192" formatCode="#,##0.00;\(#,##0.00\);&quot;0&quot;"/>
    <numFmt numFmtId="193" formatCode="0.000000"/>
    <numFmt numFmtId="194" formatCode="0.000000000000000%"/>
    <numFmt numFmtId="195" formatCode="_-* #,##0_-;\-* #,##0_-;_-* &quot;-&quot;??_-;_-@_-"/>
  </numFmts>
  <fonts count="236">
    <font>
      <sz val="10"/>
      <name val="Arial"/>
    </font>
    <font>
      <sz val="11"/>
      <color indexed="8"/>
      <name val="Calibri"/>
      <family val="2"/>
      <charset val="186"/>
    </font>
    <font>
      <sz val="10"/>
      <name val="Arial"/>
      <family val="2"/>
      <charset val="186"/>
    </font>
    <font>
      <sz val="8"/>
      <name val="Arial"/>
      <family val="2"/>
      <charset val="186"/>
    </font>
    <font>
      <sz val="10"/>
      <name val="Arial"/>
      <family val="2"/>
    </font>
    <font>
      <b/>
      <sz val="10"/>
      <name val="Arial"/>
      <family val="2"/>
      <charset val="186"/>
    </font>
    <font>
      <sz val="10"/>
      <color indexed="8"/>
      <name val="Arial"/>
      <family val="2"/>
    </font>
    <font>
      <i/>
      <sz val="10"/>
      <color indexed="32"/>
      <name val="Arial Narrow"/>
      <family val="2"/>
    </font>
    <font>
      <sz val="11"/>
      <color indexed="8"/>
      <name val="Calibri"/>
      <family val="2"/>
    </font>
    <font>
      <sz val="11"/>
      <color indexed="9"/>
      <name val="Calibri"/>
      <family val="2"/>
    </font>
    <font>
      <sz val="8"/>
      <name val="Times"/>
      <family val="1"/>
    </font>
    <font>
      <b/>
      <sz val="10"/>
      <color indexed="9"/>
      <name val="Arial"/>
      <family val="2"/>
    </font>
    <font>
      <b/>
      <sz val="8"/>
      <color indexed="9"/>
      <name val="Arial"/>
      <family val="2"/>
    </font>
    <font>
      <b/>
      <sz val="8"/>
      <color indexed="8"/>
      <name val="Arial"/>
      <family val="2"/>
    </font>
    <font>
      <b/>
      <sz val="8"/>
      <color indexed="8"/>
      <name val="Courier New"/>
      <family val="3"/>
    </font>
    <font>
      <u val="doubleAccounting"/>
      <sz val="10"/>
      <name val="Times New Roman"/>
      <family val="1"/>
    </font>
    <font>
      <sz val="10"/>
      <name val="Times New Roman"/>
      <family val="1"/>
    </font>
    <font>
      <sz val="10"/>
      <name val="Arial Narrow"/>
      <family val="2"/>
    </font>
    <font>
      <i/>
      <sz val="10"/>
      <name val="Arial Narrow"/>
      <family val="2"/>
    </font>
    <font>
      <b/>
      <sz val="10"/>
      <color indexed="32"/>
      <name val="Arial Narrow"/>
      <family val="2"/>
    </font>
    <font>
      <sz val="14"/>
      <name val="Arial"/>
      <family val="2"/>
    </font>
    <font>
      <b/>
      <sz val="12"/>
      <color indexed="55"/>
      <name val="Arial"/>
      <family val="2"/>
    </font>
    <font>
      <b/>
      <sz val="14"/>
      <name val="Arial"/>
      <family val="2"/>
    </font>
    <font>
      <b/>
      <sz val="12"/>
      <name val="Times New Roman"/>
      <family val="1"/>
      <charset val="186"/>
    </font>
    <font>
      <b/>
      <sz val="10.5"/>
      <name val="Times New Roman"/>
      <family val="1"/>
      <charset val="186"/>
    </font>
    <font>
      <b/>
      <sz val="11"/>
      <name val="Times New Roman"/>
      <family val="1"/>
    </font>
    <font>
      <b/>
      <sz val="10"/>
      <name val="Times New Roman"/>
      <family val="1"/>
    </font>
    <font>
      <b/>
      <i/>
      <sz val="9.5"/>
      <name val="Times New Roman"/>
      <family val="1"/>
    </font>
    <font>
      <sz val="10"/>
      <color indexed="32"/>
      <name val="Arial Narrow"/>
      <family val="2"/>
    </font>
    <font>
      <sz val="12"/>
      <name val="Arial"/>
      <family val="2"/>
    </font>
    <font>
      <b/>
      <sz val="16"/>
      <name val="Arial"/>
      <family val="2"/>
    </font>
    <font>
      <b/>
      <sz val="14"/>
      <color indexed="32"/>
      <name val="Arial"/>
      <family val="2"/>
    </font>
    <font>
      <sz val="8"/>
      <color indexed="32"/>
      <name val="Arial Narrow"/>
      <family val="2"/>
      <charset val="204"/>
    </font>
    <font>
      <b/>
      <sz val="10"/>
      <name val="Arial Narrow"/>
      <family val="2"/>
    </font>
    <font>
      <b/>
      <i/>
      <sz val="10"/>
      <name val="Arial Narrow"/>
      <family val="2"/>
    </font>
    <font>
      <b/>
      <sz val="10"/>
      <color indexed="8"/>
      <name val="Arial"/>
      <family val="2"/>
    </font>
    <font>
      <sz val="10"/>
      <name val="Helv"/>
    </font>
    <font>
      <sz val="10"/>
      <color indexed="8"/>
      <name val="Arial"/>
      <family val="2"/>
      <charset val="186"/>
    </font>
    <font>
      <b/>
      <i/>
      <sz val="10"/>
      <color indexed="8"/>
      <name val="Arial"/>
      <family val="2"/>
      <charset val="186"/>
    </font>
    <font>
      <b/>
      <sz val="10"/>
      <color indexed="9"/>
      <name val="Arial"/>
      <family val="2"/>
      <charset val="186"/>
    </font>
    <font>
      <b/>
      <i/>
      <sz val="22"/>
      <color indexed="8"/>
      <name val="Times New Roman"/>
      <family val="1"/>
      <charset val="186"/>
    </font>
    <font>
      <b/>
      <sz val="12"/>
      <color indexed="8"/>
      <name val="Arial"/>
      <family val="2"/>
    </font>
    <font>
      <sz val="8"/>
      <color indexed="8"/>
      <name val="Arial"/>
      <family val="2"/>
    </font>
    <font>
      <sz val="8"/>
      <color indexed="12"/>
      <name val="Arial"/>
      <family val="2"/>
    </font>
    <font>
      <b/>
      <sz val="10"/>
      <name val="Arial"/>
      <family val="2"/>
      <charset val="186"/>
    </font>
    <font>
      <u val="singleAccounting"/>
      <sz val="10"/>
      <name val="Times New Roman"/>
      <family val="1"/>
    </font>
    <font>
      <sz val="10"/>
      <name val="MS Sans Serif"/>
      <family val="2"/>
      <charset val="186"/>
    </font>
    <font>
      <i/>
      <sz val="8"/>
      <name val="Arial"/>
      <family val="2"/>
      <charset val="186"/>
    </font>
    <font>
      <sz val="8"/>
      <color indexed="8"/>
      <name val="Arial"/>
      <family val="2"/>
      <charset val="186"/>
    </font>
    <font>
      <sz val="8"/>
      <color indexed="8"/>
      <name val="Wingdings"/>
      <charset val="2"/>
    </font>
    <font>
      <sz val="11"/>
      <color indexed="62"/>
      <name val="Calibri"/>
      <family val="2"/>
    </font>
    <font>
      <b/>
      <sz val="11"/>
      <color indexed="63"/>
      <name val="Calibri"/>
      <family val="2"/>
    </font>
    <font>
      <b/>
      <sz val="11"/>
      <color indexed="52"/>
      <name val="Calibri"/>
      <family val="2"/>
    </font>
    <font>
      <b/>
      <sz val="15"/>
      <color indexed="56"/>
      <name val="Calibri"/>
      <family val="2"/>
    </font>
    <font>
      <b/>
      <sz val="13"/>
      <color indexed="56"/>
      <name val="Calibri"/>
      <family val="2"/>
    </font>
    <font>
      <b/>
      <sz val="11"/>
      <color indexed="56"/>
      <name val="Calibri"/>
      <family val="2"/>
    </font>
    <font>
      <b/>
      <sz val="11"/>
      <color indexed="8"/>
      <name val="Calibri"/>
      <family val="2"/>
    </font>
    <font>
      <b/>
      <sz val="11"/>
      <color indexed="9"/>
      <name val="Calibri"/>
      <family val="2"/>
    </font>
    <font>
      <b/>
      <sz val="18"/>
      <color indexed="56"/>
      <name val="Cambria"/>
      <family val="2"/>
    </font>
    <font>
      <sz val="11"/>
      <color indexed="60"/>
      <name val="Calibri"/>
      <family val="2"/>
    </font>
    <font>
      <sz val="11"/>
      <color indexed="20"/>
      <name val="Calibri"/>
      <family val="2"/>
    </font>
    <font>
      <i/>
      <sz val="11"/>
      <color indexed="23"/>
      <name val="Calibri"/>
      <family val="2"/>
    </font>
    <font>
      <sz val="10"/>
      <name val="Arial Cyr"/>
      <charset val="204"/>
    </font>
    <font>
      <sz val="11"/>
      <color indexed="52"/>
      <name val="Calibri"/>
      <family val="2"/>
    </font>
    <font>
      <sz val="11"/>
      <color indexed="10"/>
      <name val="Calibri"/>
      <family val="2"/>
    </font>
    <font>
      <sz val="11"/>
      <color indexed="17"/>
      <name val="Calibri"/>
      <family val="2"/>
    </font>
    <font>
      <sz val="12"/>
      <name val="新細明體"/>
      <charset val="136"/>
    </font>
    <font>
      <sz val="8"/>
      <name val="Arial"/>
      <family val="2"/>
      <charset val="186"/>
    </font>
    <font>
      <sz val="12"/>
      <name val="Times New Roman"/>
      <family val="1"/>
      <charset val="186"/>
    </font>
    <font>
      <sz val="12"/>
      <name val="Arial"/>
      <family val="2"/>
      <charset val="186"/>
    </font>
    <font>
      <sz val="10"/>
      <name val="Arial"/>
      <family val="2"/>
      <charset val="186"/>
    </font>
    <font>
      <sz val="10"/>
      <name val="Arial"/>
      <family val="2"/>
      <charset val="204"/>
    </font>
    <font>
      <b/>
      <sz val="11"/>
      <color indexed="52"/>
      <name val="Calibri"/>
      <family val="2"/>
      <charset val="186"/>
    </font>
    <font>
      <sz val="11"/>
      <color indexed="10"/>
      <name val="Calibri"/>
      <family val="2"/>
      <charset val="186"/>
    </font>
    <font>
      <sz val="11"/>
      <color indexed="62"/>
      <name val="Calibri"/>
      <family val="2"/>
      <charset val="186"/>
    </font>
    <font>
      <b/>
      <sz val="11"/>
      <color indexed="63"/>
      <name val="Calibri"/>
      <family val="2"/>
      <charset val="186"/>
    </font>
    <font>
      <b/>
      <sz val="11"/>
      <color indexed="8"/>
      <name val="Calibri"/>
      <family val="2"/>
      <charset val="186"/>
    </font>
    <font>
      <sz val="11"/>
      <color indexed="60"/>
      <name val="Calibri"/>
      <family val="2"/>
      <charset val="186"/>
    </font>
    <font>
      <b/>
      <sz val="18"/>
      <color indexed="56"/>
      <name val="Cambria"/>
      <family val="2"/>
      <charset val="186"/>
    </font>
    <font>
      <sz val="7"/>
      <name val="Arial"/>
      <family val="2"/>
      <charset val="186"/>
    </font>
    <font>
      <b/>
      <sz val="9"/>
      <name val="Arial"/>
      <family val="2"/>
      <charset val="186"/>
    </font>
    <font>
      <sz val="9"/>
      <name val="Arial"/>
      <family val="2"/>
      <charset val="186"/>
    </font>
    <font>
      <b/>
      <sz val="16"/>
      <name val="Times New Roman"/>
      <family val="1"/>
      <charset val="186"/>
    </font>
    <font>
      <sz val="10"/>
      <color indexed="10"/>
      <name val="Arial"/>
      <family val="2"/>
      <charset val="186"/>
    </font>
    <font>
      <sz val="10"/>
      <name val="Times New Roman"/>
      <family val="1"/>
      <charset val="186"/>
    </font>
    <font>
      <b/>
      <sz val="10"/>
      <name val="Times New Roman"/>
      <family val="1"/>
      <charset val="186"/>
    </font>
    <font>
      <vertAlign val="subscript"/>
      <sz val="10"/>
      <name val="Times New Roman"/>
      <family val="1"/>
      <charset val="186"/>
    </font>
    <font>
      <sz val="10"/>
      <color indexed="8"/>
      <name val="Times New Roman"/>
      <family val="1"/>
      <charset val="186"/>
    </font>
    <font>
      <sz val="9"/>
      <name val="Lucida Sans Unicode"/>
      <family val="2"/>
      <charset val="186"/>
    </font>
    <font>
      <i/>
      <sz val="11"/>
      <color indexed="8"/>
      <name val="Calibri"/>
      <family val="2"/>
      <charset val="186"/>
    </font>
    <font>
      <sz val="9"/>
      <name val="Arial Baltic"/>
      <family val="2"/>
      <charset val="186"/>
    </font>
    <font>
      <sz val="11"/>
      <name val="Calibri"/>
      <family val="2"/>
      <charset val="186"/>
    </font>
    <font>
      <sz val="10"/>
      <color indexed="8"/>
      <name val="Calibri"/>
      <family val="2"/>
      <charset val="186"/>
    </font>
    <font>
      <b/>
      <sz val="12"/>
      <color indexed="8"/>
      <name val="Calibri"/>
      <family val="2"/>
      <charset val="186"/>
    </font>
    <font>
      <sz val="9"/>
      <color indexed="8"/>
      <name val="Calibri"/>
      <family val="2"/>
      <charset val="186"/>
    </font>
    <font>
      <sz val="11"/>
      <name val="Albertus Extra Bold"/>
      <family val="2"/>
    </font>
    <font>
      <sz val="10"/>
      <color indexed="12"/>
      <name val="Arial"/>
      <family val="2"/>
      <charset val="186"/>
    </font>
    <font>
      <sz val="10"/>
      <color indexed="12"/>
      <name val="Arial"/>
      <family val="2"/>
      <charset val="204"/>
    </font>
    <font>
      <sz val="9"/>
      <color indexed="12"/>
      <name val="Arial"/>
      <family val="2"/>
      <charset val="186"/>
    </font>
    <font>
      <sz val="8"/>
      <color indexed="12"/>
      <name val="Arial"/>
      <family val="2"/>
      <charset val="186"/>
    </font>
    <font>
      <b/>
      <i/>
      <sz val="10"/>
      <name val="Arial"/>
      <family val="2"/>
      <charset val="204"/>
    </font>
    <font>
      <sz val="10"/>
      <name val="Arial"/>
      <family val="2"/>
      <charset val="186"/>
    </font>
    <font>
      <b/>
      <sz val="12"/>
      <name val="Arial"/>
      <family val="2"/>
      <charset val="204"/>
    </font>
    <font>
      <sz val="8"/>
      <name val="Arial"/>
      <family val="2"/>
      <charset val="204"/>
    </font>
    <font>
      <b/>
      <sz val="9"/>
      <color indexed="17"/>
      <name val="Arial"/>
      <family val="2"/>
      <charset val="204"/>
    </font>
    <font>
      <b/>
      <sz val="12"/>
      <color indexed="17"/>
      <name val="Arial"/>
      <family val="2"/>
      <charset val="204"/>
    </font>
    <font>
      <sz val="10"/>
      <color indexed="17"/>
      <name val="Arial"/>
      <family val="2"/>
      <charset val="204"/>
    </font>
    <font>
      <b/>
      <i/>
      <sz val="14"/>
      <name val="Arial"/>
      <family val="2"/>
      <charset val="204"/>
    </font>
    <font>
      <b/>
      <sz val="12"/>
      <name val="Arial"/>
      <family val="2"/>
      <charset val="186"/>
    </font>
    <font>
      <b/>
      <sz val="14"/>
      <name val="Arial"/>
      <family val="2"/>
      <charset val="186"/>
    </font>
    <font>
      <sz val="14"/>
      <name val="Arial"/>
      <family val="2"/>
      <charset val="186"/>
    </font>
    <font>
      <b/>
      <sz val="11"/>
      <name val="Tt"/>
    </font>
    <font>
      <sz val="11"/>
      <name val="Tt"/>
    </font>
    <font>
      <sz val="11"/>
      <name val="Albertus Medium"/>
      <family val="2"/>
    </font>
    <font>
      <b/>
      <sz val="11"/>
      <name val="Albertus Medium"/>
      <family val="2"/>
    </font>
    <font>
      <b/>
      <sz val="11"/>
      <name val="Albertus Extra Bold"/>
      <family val="2"/>
    </font>
    <font>
      <sz val="10"/>
      <name val="Lucida Sans"/>
      <family val="2"/>
    </font>
    <font>
      <sz val="10"/>
      <color indexed="8"/>
      <name val="Lucida Sans"/>
      <family val="2"/>
    </font>
    <font>
      <sz val="11"/>
      <color rgb="FF000000"/>
      <name val="Calibri"/>
      <family val="2"/>
      <charset val="186"/>
    </font>
    <font>
      <u/>
      <sz val="10"/>
      <color theme="10"/>
      <name val="Arial"/>
      <family val="2"/>
      <charset val="186"/>
    </font>
    <font>
      <sz val="11"/>
      <color theme="1"/>
      <name val="Calibri"/>
      <family val="2"/>
      <scheme val="minor"/>
    </font>
    <font>
      <b/>
      <sz val="11"/>
      <color theme="1"/>
      <name val="Calibri"/>
      <family val="2"/>
      <charset val="186"/>
      <scheme val="minor"/>
    </font>
    <font>
      <b/>
      <sz val="11"/>
      <color theme="1"/>
      <name val="Tt"/>
      <charset val="186"/>
    </font>
    <font>
      <sz val="11"/>
      <color theme="1"/>
      <name val="Tt"/>
      <charset val="186"/>
    </font>
    <font>
      <b/>
      <sz val="14"/>
      <color theme="1"/>
      <name val="Tt"/>
      <charset val="186"/>
    </font>
    <font>
      <b/>
      <sz val="14"/>
      <color theme="1"/>
      <name val="Albertus Extra Bold"/>
      <family val="2"/>
    </font>
    <font>
      <sz val="11"/>
      <color theme="1"/>
      <name val="Albertus Extra Bold"/>
      <family val="2"/>
    </font>
    <font>
      <b/>
      <sz val="14"/>
      <color theme="1"/>
      <name val="Albertus Medium"/>
      <family val="2"/>
    </font>
    <font>
      <sz val="11"/>
      <color theme="1"/>
      <name val="Albertus Medium"/>
      <family val="2"/>
    </font>
    <font>
      <b/>
      <sz val="11"/>
      <color theme="1"/>
      <name val="Albertus Extra Bold"/>
      <family val="2"/>
    </font>
    <font>
      <b/>
      <sz val="12"/>
      <color theme="1"/>
      <name val="Tt"/>
      <charset val="186"/>
    </font>
    <font>
      <b/>
      <sz val="11"/>
      <color theme="1"/>
      <name val="Albertus Medium"/>
      <family val="2"/>
    </font>
    <font>
      <sz val="12"/>
      <color theme="1"/>
      <name val="Tt"/>
      <charset val="186"/>
    </font>
    <font>
      <sz val="12"/>
      <color theme="1"/>
      <name val="Times New Roman"/>
      <family val="1"/>
      <charset val="186"/>
    </font>
    <font>
      <sz val="12"/>
      <color theme="1"/>
      <name val="Albertus Extra Bold"/>
      <family val="2"/>
    </font>
    <font>
      <b/>
      <sz val="16"/>
      <color theme="1"/>
      <name val="Calibri"/>
      <family val="2"/>
      <charset val="186"/>
      <scheme val="minor"/>
    </font>
    <font>
      <b/>
      <sz val="11"/>
      <color theme="1"/>
      <name val="Calibri"/>
      <family val="2"/>
      <scheme val="minor"/>
    </font>
    <font>
      <sz val="11"/>
      <color theme="0"/>
      <name val="Calibri"/>
      <family val="2"/>
      <scheme val="minor"/>
    </font>
    <font>
      <sz val="12"/>
      <color rgb="FF000000"/>
      <name val="Times New Roman"/>
      <family val="1"/>
      <charset val="186"/>
    </font>
    <font>
      <b/>
      <sz val="12"/>
      <color rgb="FF000000"/>
      <name val="Times New Roman"/>
      <family val="1"/>
      <charset val="186"/>
    </font>
    <font>
      <sz val="11"/>
      <color rgb="FF000000"/>
      <name val="Times New Roman"/>
      <family val="1"/>
      <charset val="186"/>
    </font>
    <font>
      <sz val="10"/>
      <color rgb="FF000000"/>
      <name val="Times New Roman"/>
      <family val="1"/>
      <charset val="186"/>
    </font>
    <font>
      <b/>
      <sz val="10"/>
      <color rgb="FF000000"/>
      <name val="Times New Roman"/>
      <family val="1"/>
      <charset val="186"/>
    </font>
    <font>
      <b/>
      <sz val="11"/>
      <color rgb="FF000000"/>
      <name val="Times New Roman"/>
      <family val="1"/>
      <charset val="186"/>
    </font>
    <font>
      <b/>
      <sz val="11"/>
      <color rgb="FF0070C0"/>
      <name val="Times New Roman"/>
      <family val="1"/>
      <charset val="186"/>
    </font>
    <font>
      <b/>
      <i/>
      <sz val="12"/>
      <color rgb="FF0070C0"/>
      <name val="Calibri"/>
      <family val="2"/>
      <charset val="186"/>
    </font>
    <font>
      <sz val="8"/>
      <color rgb="FF000000"/>
      <name val="Calibri"/>
      <family val="2"/>
      <charset val="186"/>
    </font>
    <font>
      <b/>
      <sz val="8"/>
      <color rgb="FF993300"/>
      <name val="Calibri"/>
      <family val="2"/>
      <charset val="186"/>
    </font>
    <font>
      <b/>
      <i/>
      <sz val="8"/>
      <color rgb="FF000000"/>
      <name val="Calibri"/>
      <family val="2"/>
      <charset val="186"/>
    </font>
    <font>
      <sz val="11"/>
      <color theme="1"/>
      <name val="Calibri"/>
      <family val="2"/>
      <charset val="186"/>
      <scheme val="minor"/>
    </font>
    <font>
      <sz val="11"/>
      <color rgb="FFC00000"/>
      <name val="Calibri"/>
      <family val="2"/>
      <charset val="186"/>
      <scheme val="minor"/>
    </font>
    <font>
      <i/>
      <sz val="11"/>
      <color rgb="FFC00000"/>
      <name val="Calibri"/>
      <family val="2"/>
      <charset val="186"/>
    </font>
    <font>
      <sz val="11"/>
      <color theme="9"/>
      <name val="Calibri"/>
      <family val="2"/>
      <charset val="186"/>
      <scheme val="minor"/>
    </font>
    <font>
      <i/>
      <sz val="11"/>
      <color theme="9"/>
      <name val="Calibri"/>
      <family val="2"/>
      <charset val="186"/>
    </font>
    <font>
      <b/>
      <i/>
      <sz val="12"/>
      <color theme="1"/>
      <name val="Calibri"/>
      <family val="2"/>
      <charset val="186"/>
      <scheme val="minor"/>
    </font>
    <font>
      <b/>
      <i/>
      <sz val="12"/>
      <color theme="1"/>
      <name val="Calibri"/>
      <family val="2"/>
      <scheme val="minor"/>
    </font>
    <font>
      <sz val="11"/>
      <color rgb="FFFF0000"/>
      <name val="Calibri"/>
      <family val="2"/>
      <charset val="186"/>
    </font>
    <font>
      <b/>
      <sz val="11"/>
      <color rgb="FF000000"/>
      <name val="Calibri"/>
      <family val="2"/>
      <charset val="186"/>
    </font>
    <font>
      <sz val="11"/>
      <color rgb="FFFF0000"/>
      <name val="Tt"/>
      <charset val="186"/>
    </font>
    <font>
      <sz val="11"/>
      <color rgb="FFFF0000"/>
      <name val="Albertus Medium"/>
      <family val="2"/>
    </font>
    <font>
      <sz val="11"/>
      <color rgb="FFFF0000"/>
      <name val="Albertus Extra Bold"/>
      <family val="2"/>
    </font>
    <font>
      <b/>
      <sz val="11"/>
      <color rgb="FFFF0000"/>
      <name val="Tt"/>
      <charset val="186"/>
    </font>
    <font>
      <sz val="12"/>
      <color theme="1"/>
      <name val="Times New Roman"/>
      <family val="1"/>
      <charset val="204"/>
    </font>
    <font>
      <b/>
      <sz val="12"/>
      <color rgb="FF00B050"/>
      <name val="Arial"/>
      <family val="2"/>
      <charset val="204"/>
    </font>
    <font>
      <sz val="10"/>
      <color theme="1"/>
      <name val="Arial"/>
      <family val="2"/>
      <charset val="186"/>
    </font>
    <font>
      <sz val="7"/>
      <color rgb="FFFF0000"/>
      <name val="Arial"/>
      <family val="2"/>
      <charset val="204"/>
    </font>
    <font>
      <b/>
      <sz val="12"/>
      <color rgb="FFFF0000"/>
      <name val="Arial"/>
      <family val="2"/>
      <charset val="204"/>
    </font>
    <font>
      <sz val="10"/>
      <color rgb="FF00B050"/>
      <name val="Arial"/>
      <family val="2"/>
      <charset val="204"/>
    </font>
    <font>
      <sz val="9"/>
      <color rgb="FF0070C0"/>
      <name val="Arial"/>
      <family val="2"/>
      <charset val="186"/>
    </font>
    <font>
      <b/>
      <i/>
      <sz val="10"/>
      <color rgb="FF0070C0"/>
      <name val="Arial"/>
      <family val="2"/>
      <charset val="186"/>
    </font>
    <font>
      <b/>
      <sz val="9"/>
      <color rgb="FF0070C0"/>
      <name val="Arial"/>
      <family val="2"/>
      <charset val="186"/>
    </font>
    <font>
      <b/>
      <sz val="10"/>
      <color indexed="9"/>
      <name val="Calibri"/>
      <family val="2"/>
      <charset val="186"/>
      <scheme val="minor"/>
    </font>
    <font>
      <sz val="10"/>
      <name val="Calibri"/>
      <family val="2"/>
      <charset val="186"/>
      <scheme val="minor"/>
    </font>
    <font>
      <b/>
      <sz val="10"/>
      <name val="Calibri"/>
      <family val="2"/>
      <charset val="186"/>
      <scheme val="minor"/>
    </font>
    <font>
      <sz val="11"/>
      <name val="Calibri"/>
      <family val="2"/>
      <charset val="186"/>
      <scheme val="minor"/>
    </font>
    <font>
      <b/>
      <sz val="11"/>
      <color indexed="10"/>
      <name val="Calibri"/>
      <family val="2"/>
      <charset val="186"/>
      <scheme val="minor"/>
    </font>
    <font>
      <i/>
      <sz val="10"/>
      <name val="Calibri"/>
      <family val="2"/>
      <charset val="186"/>
      <scheme val="minor"/>
    </font>
    <font>
      <b/>
      <sz val="10"/>
      <color indexed="20"/>
      <name val="Calibri"/>
      <family val="2"/>
      <charset val="186"/>
      <scheme val="minor"/>
    </font>
    <font>
      <b/>
      <sz val="11"/>
      <name val="Calibri"/>
      <family val="2"/>
      <charset val="186"/>
      <scheme val="minor"/>
    </font>
    <font>
      <b/>
      <i/>
      <sz val="10"/>
      <name val="Calibri"/>
      <family val="2"/>
      <charset val="186"/>
      <scheme val="minor"/>
    </font>
    <font>
      <b/>
      <sz val="10"/>
      <color indexed="10"/>
      <name val="Calibri"/>
      <family val="2"/>
      <charset val="186"/>
      <scheme val="minor"/>
    </font>
    <font>
      <b/>
      <sz val="12"/>
      <name val="Calibri"/>
      <family val="2"/>
      <charset val="186"/>
      <scheme val="minor"/>
    </font>
    <font>
      <b/>
      <sz val="10"/>
      <color rgb="FFFF0000"/>
      <name val="Calibri"/>
      <family val="2"/>
      <charset val="186"/>
      <scheme val="minor"/>
    </font>
    <font>
      <b/>
      <sz val="16"/>
      <color theme="1"/>
      <name val="Calibri"/>
      <family val="2"/>
      <scheme val="minor"/>
    </font>
    <font>
      <b/>
      <sz val="12"/>
      <color theme="1"/>
      <name val="Tt"/>
    </font>
    <font>
      <b/>
      <sz val="11"/>
      <color theme="1"/>
      <name val="Tt"/>
    </font>
    <font>
      <sz val="11"/>
      <color theme="1"/>
      <name val="Tt"/>
    </font>
    <font>
      <b/>
      <sz val="14"/>
      <color theme="1"/>
      <name val="Tt"/>
    </font>
    <font>
      <sz val="12"/>
      <color theme="1"/>
      <name val="Tt"/>
    </font>
    <font>
      <sz val="11"/>
      <color rgb="FFFF0000"/>
      <name val="Calibri"/>
      <family val="2"/>
      <scheme val="minor"/>
    </font>
    <font>
      <sz val="12"/>
      <color theme="1"/>
      <name val="Times New Roman"/>
      <family val="1"/>
    </font>
    <font>
      <b/>
      <sz val="11"/>
      <color rgb="FF000000"/>
      <name val="Tt"/>
    </font>
    <font>
      <sz val="11"/>
      <color rgb="FF000000"/>
      <name val="Tt"/>
    </font>
    <font>
      <b/>
      <sz val="14"/>
      <color rgb="FF000000"/>
      <name val="Tt"/>
    </font>
    <font>
      <sz val="11"/>
      <color theme="1"/>
      <name val="Arial"/>
      <family val="2"/>
    </font>
    <font>
      <sz val="12"/>
      <color rgb="FF000000"/>
      <name val="Tt"/>
    </font>
    <font>
      <b/>
      <sz val="11"/>
      <color rgb="FFFF0000"/>
      <name val="Calibri"/>
      <family val="2"/>
      <charset val="186"/>
      <scheme val="minor"/>
    </font>
    <font>
      <sz val="12"/>
      <color rgb="FF000000"/>
      <name val="Times New Roman"/>
      <family val="1"/>
    </font>
    <font>
      <sz val="10"/>
      <color rgb="FFFF0000"/>
      <name val="Calibri"/>
      <family val="2"/>
      <charset val="186"/>
      <scheme val="minor"/>
    </font>
    <font>
      <sz val="10"/>
      <color theme="3" tint="0.39997558519241921"/>
      <name val="Calibri"/>
      <family val="2"/>
      <charset val="186"/>
      <scheme val="minor"/>
    </font>
    <font>
      <b/>
      <sz val="10"/>
      <color theme="1"/>
      <name val="Calibri"/>
      <family val="2"/>
      <charset val="186"/>
      <scheme val="minor"/>
    </font>
    <font>
      <b/>
      <sz val="10"/>
      <color rgb="FFFF0000"/>
      <name val="Lucida Sans"/>
      <family val="2"/>
    </font>
    <font>
      <sz val="10"/>
      <color theme="1"/>
      <name val="Calibri"/>
      <family val="2"/>
      <charset val="186"/>
      <scheme val="minor"/>
    </font>
    <font>
      <b/>
      <sz val="10"/>
      <color rgb="FF0070C0"/>
      <name val="Calibri"/>
      <family val="2"/>
      <charset val="186"/>
      <scheme val="minor"/>
    </font>
    <font>
      <sz val="10"/>
      <color theme="0"/>
      <name val="Calibri"/>
      <family val="2"/>
      <charset val="186"/>
      <scheme val="minor"/>
    </font>
    <font>
      <b/>
      <sz val="10"/>
      <color rgb="FF002060"/>
      <name val="Calibri"/>
      <family val="2"/>
      <charset val="186"/>
      <scheme val="minor"/>
    </font>
    <font>
      <sz val="10"/>
      <color rgb="FF002060"/>
      <name val="Calibri"/>
      <family val="2"/>
      <charset val="186"/>
      <scheme val="minor"/>
    </font>
    <font>
      <b/>
      <sz val="12"/>
      <color rgb="FF7030A0"/>
      <name val="Calibri"/>
      <family val="2"/>
      <charset val="186"/>
      <scheme val="minor"/>
    </font>
    <font>
      <b/>
      <sz val="10"/>
      <color theme="0"/>
      <name val="Calibri"/>
      <family val="2"/>
      <charset val="186"/>
      <scheme val="minor"/>
    </font>
    <font>
      <sz val="9"/>
      <name val="Calibri"/>
      <family val="2"/>
      <charset val="186"/>
      <scheme val="minor"/>
    </font>
    <font>
      <i/>
      <sz val="9"/>
      <name val="Calibri"/>
      <family val="2"/>
      <charset val="186"/>
      <scheme val="minor"/>
    </font>
    <font>
      <b/>
      <sz val="9"/>
      <name val="Calibri"/>
      <family val="2"/>
      <charset val="186"/>
      <scheme val="minor"/>
    </font>
    <font>
      <b/>
      <sz val="9"/>
      <color rgb="FFFF0000"/>
      <name val="Calibri"/>
      <family val="2"/>
      <charset val="186"/>
      <scheme val="minor"/>
    </font>
    <font>
      <b/>
      <sz val="10"/>
      <color rgb="FFFF0000"/>
      <name val="Arial"/>
      <family val="2"/>
      <charset val="204"/>
    </font>
    <font>
      <b/>
      <sz val="12"/>
      <color rgb="FF000000"/>
      <name val="Tt"/>
    </font>
    <font>
      <b/>
      <sz val="16"/>
      <name val="Calibri"/>
      <family val="2"/>
      <charset val="186"/>
      <scheme val="minor"/>
    </font>
    <font>
      <u/>
      <sz val="10"/>
      <name val="Calibri"/>
      <family val="2"/>
      <charset val="186"/>
      <scheme val="minor"/>
    </font>
    <font>
      <sz val="12"/>
      <name val="Calibri"/>
      <family val="2"/>
      <charset val="186"/>
      <scheme val="minor"/>
    </font>
    <font>
      <b/>
      <sz val="20"/>
      <color theme="0"/>
      <name val="Calibri"/>
      <family val="2"/>
      <charset val="186"/>
      <scheme val="minor"/>
    </font>
    <font>
      <b/>
      <i/>
      <sz val="10"/>
      <color theme="0"/>
      <name val="Calibri"/>
      <family val="2"/>
      <charset val="186"/>
      <scheme val="minor"/>
    </font>
    <font>
      <sz val="10"/>
      <color theme="0" tint="-0.34998626667073579"/>
      <name val="Calibri"/>
      <family val="2"/>
      <charset val="186"/>
      <scheme val="minor"/>
    </font>
    <font>
      <sz val="16"/>
      <name val="Calibri"/>
      <family val="2"/>
      <charset val="186"/>
      <scheme val="minor"/>
    </font>
    <font>
      <b/>
      <sz val="16"/>
      <color rgb="FFFF0000"/>
      <name val="Calibri"/>
      <family val="2"/>
      <charset val="186"/>
      <scheme val="minor"/>
    </font>
    <font>
      <u/>
      <sz val="10"/>
      <color theme="10"/>
      <name val="Calibri"/>
      <family val="2"/>
      <charset val="186"/>
      <scheme val="minor"/>
    </font>
    <font>
      <b/>
      <u/>
      <sz val="16"/>
      <name val="Calibri"/>
      <family val="2"/>
      <charset val="186"/>
      <scheme val="minor"/>
    </font>
    <font>
      <b/>
      <sz val="10"/>
      <color rgb="FFFF0000"/>
      <name val="Arial"/>
      <family val="2"/>
      <charset val="186"/>
    </font>
    <font>
      <sz val="10"/>
      <color rgb="FFFF0000"/>
      <name val="Arial"/>
      <family val="2"/>
      <charset val="186"/>
    </font>
    <font>
      <i/>
      <sz val="10"/>
      <color theme="1"/>
      <name val="Calibri"/>
      <family val="2"/>
      <charset val="186"/>
      <scheme val="minor"/>
    </font>
    <font>
      <b/>
      <i/>
      <sz val="10"/>
      <color theme="1"/>
      <name val="Calibri"/>
      <family val="2"/>
      <charset val="186"/>
      <scheme val="minor"/>
    </font>
    <font>
      <sz val="10"/>
      <color theme="0" tint="-0.499984740745262"/>
      <name val="Calibri"/>
      <family val="2"/>
      <charset val="186"/>
      <scheme val="minor"/>
    </font>
    <font>
      <b/>
      <sz val="10"/>
      <color theme="0" tint="-0.499984740745262"/>
      <name val="Calibri"/>
      <family val="2"/>
      <charset val="186"/>
      <scheme val="minor"/>
    </font>
    <font>
      <sz val="10"/>
      <name val="Arial"/>
    </font>
    <font>
      <i/>
      <sz val="10"/>
      <color rgb="FFFF0000"/>
      <name val="Arial"/>
      <family val="2"/>
      <charset val="186"/>
    </font>
    <font>
      <sz val="12"/>
      <color indexed="8"/>
      <name val="Calibri"/>
      <family val="2"/>
      <charset val="186"/>
      <scheme val="minor"/>
    </font>
    <font>
      <i/>
      <sz val="12"/>
      <color rgb="FFFF0000"/>
      <name val="Calibri"/>
      <family val="2"/>
      <charset val="186"/>
      <scheme val="minor"/>
    </font>
    <font>
      <b/>
      <sz val="12"/>
      <color rgb="FFFF0000"/>
      <name val="Calibri"/>
      <family val="2"/>
      <charset val="186"/>
      <scheme val="minor"/>
    </font>
  </fonts>
  <fills count="6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12"/>
      </patternFill>
    </fill>
    <fill>
      <patternFill patternType="solid">
        <fgColor indexed="9"/>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indexed="21"/>
        <bgColor indexed="64"/>
      </patternFill>
    </fill>
    <fill>
      <patternFill patternType="solid">
        <fgColor indexed="40"/>
        <bgColor indexed="64"/>
      </patternFill>
    </fill>
    <fill>
      <patternFill patternType="solid">
        <fgColor indexed="41"/>
        <bgColor indexed="64"/>
      </patternFill>
    </fill>
    <fill>
      <patternFill patternType="solid">
        <fgColor indexed="42"/>
        <bgColor indexed="64"/>
      </patternFill>
    </fill>
    <fill>
      <patternFill patternType="solid">
        <fgColor rgb="FFC0C0C0"/>
        <bgColor rgb="FF000000"/>
      </patternFill>
    </fill>
    <fill>
      <patternFill patternType="solid">
        <fgColor rgb="FFFFC000"/>
        <bgColor indexed="64"/>
      </patternFill>
    </fill>
    <fill>
      <patternFill patternType="solid">
        <fgColor rgb="FFFFFF99"/>
        <bgColor rgb="FF000000"/>
      </patternFill>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92D050"/>
        <bgColor indexed="64"/>
      </patternFill>
    </fill>
    <fill>
      <patternFill patternType="solid">
        <fgColor theme="2" tint="-0.499984740745262"/>
        <bgColor theme="7" tint="-0.249977111117893"/>
      </patternFill>
    </fill>
    <fill>
      <patternFill patternType="solid">
        <fgColor rgb="FFFFFF00"/>
        <bgColor indexed="64"/>
      </patternFill>
    </fill>
    <fill>
      <patternFill patternType="solid">
        <fgColor rgb="FF0070C0"/>
        <bgColor theme="7" tint="-0.249977111117893"/>
      </patternFill>
    </fill>
    <fill>
      <patternFill patternType="solid">
        <fgColor theme="7" tint="-0.249977111117893"/>
        <bgColor theme="7" tint="-0.249977111117893"/>
      </patternFill>
    </fill>
    <fill>
      <patternFill patternType="solid">
        <fgColor rgb="FFD9D9D9"/>
        <bgColor indexed="64"/>
      </patternFill>
    </fill>
    <fill>
      <patternFill patternType="solid">
        <fgColor rgb="FFFFFFDD"/>
        <bgColor indexed="64"/>
      </patternFill>
    </fill>
    <fill>
      <patternFill patternType="solid">
        <fgColor theme="0" tint="-0.34998626667073579"/>
        <bgColor indexed="64"/>
      </patternFill>
    </fill>
    <fill>
      <patternFill patternType="solid">
        <fgColor rgb="FFFFFF99"/>
        <bgColor indexed="64"/>
      </patternFill>
    </fill>
    <fill>
      <patternFill patternType="solid">
        <fgColor rgb="FFFFFFFF"/>
        <bgColor rgb="FF000000"/>
      </patternFill>
    </fill>
    <fill>
      <patternFill patternType="solid">
        <fgColor rgb="FFF2F2F2"/>
        <bgColor rgb="FF000000"/>
      </patternFill>
    </fill>
    <fill>
      <patternFill patternType="solid">
        <fgColor theme="3" tint="0.39997558519241921"/>
        <bgColor indexed="64"/>
      </patternFill>
    </fill>
    <fill>
      <patternFill patternType="solid">
        <fgColor rgb="FFFFFFFF"/>
        <bgColor indexed="64"/>
      </patternFill>
    </fill>
    <fill>
      <patternFill patternType="solid">
        <fgColor theme="3" tint="0.59999389629810485"/>
        <bgColor indexed="64"/>
      </patternFill>
    </fill>
    <fill>
      <patternFill patternType="solid">
        <fgColor theme="7"/>
        <bgColor indexed="64"/>
      </patternFill>
    </fill>
    <fill>
      <patternFill patternType="solid">
        <fgColor theme="6" tint="0.39997558519241921"/>
        <bgColor indexed="64"/>
      </patternFill>
    </fill>
    <fill>
      <patternFill patternType="solid">
        <fgColor rgb="FFFFCC00"/>
        <bgColor indexed="64"/>
      </patternFill>
    </fill>
    <fill>
      <patternFill patternType="solid">
        <fgColor theme="5" tint="0.79998168889431442"/>
        <bgColor indexed="64"/>
      </patternFill>
    </fill>
    <fill>
      <patternFill patternType="solid">
        <fgColor theme="7" tint="0.39997558519241921"/>
        <bgColor indexed="64"/>
      </patternFill>
    </fill>
    <fill>
      <patternFill patternType="solid">
        <fgColor theme="4"/>
        <bgColor indexed="64"/>
      </patternFill>
    </fill>
    <fill>
      <patternFill patternType="solid">
        <fgColor theme="7" tint="0.59999389629810485"/>
        <bgColor indexed="64"/>
      </patternFill>
    </fill>
    <fill>
      <patternFill patternType="solid">
        <fgColor rgb="FFFFFFCC"/>
      </patternFill>
    </fill>
    <fill>
      <patternFill patternType="solid">
        <fgColor rgb="FFFFC000"/>
        <bgColor indexed="26"/>
      </patternFill>
    </fill>
  </fills>
  <borders count="158">
    <border>
      <left/>
      <right/>
      <top/>
      <bottom/>
      <diagonal/>
    </border>
    <border>
      <left/>
      <right/>
      <top style="thin">
        <color indexed="32"/>
      </top>
      <bottom style="thin">
        <color indexed="3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thin">
        <color indexed="64"/>
      </top>
      <bottom style="thin">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style="thin">
        <color indexed="64"/>
      </right>
      <top/>
      <bottom/>
      <diagonal/>
    </border>
    <border>
      <left style="thin">
        <color indexed="48"/>
      </left>
      <right style="thin">
        <color indexed="48"/>
      </right>
      <top style="thin">
        <color indexed="48"/>
      </top>
      <bottom style="thin">
        <color indexed="48"/>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right/>
      <top style="medium">
        <color indexed="64"/>
      </top>
      <bottom style="medium">
        <color indexed="64"/>
      </bottom>
      <diagonal/>
    </border>
    <border>
      <left style="thin">
        <color indexed="64"/>
      </left>
      <right style="thin">
        <color indexed="64"/>
      </right>
      <top/>
      <bottom/>
      <diagonal/>
    </border>
    <border>
      <left style="medium">
        <color indexed="64"/>
      </left>
      <right style="thin">
        <color indexed="64"/>
      </right>
      <top/>
      <bottom/>
      <diagonal/>
    </border>
    <border>
      <left style="thin">
        <color indexed="64"/>
      </left>
      <right style="medium">
        <color indexed="64"/>
      </right>
      <top/>
      <bottom/>
      <diagonal/>
    </border>
    <border>
      <left/>
      <right style="thin">
        <color indexed="64"/>
      </right>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right/>
      <top style="thin">
        <color indexed="64"/>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top style="medium">
        <color indexed="64"/>
      </top>
      <bottom style="medium">
        <color indexed="64"/>
      </bottom>
      <diagonal/>
    </border>
    <border>
      <left style="medium">
        <color indexed="64"/>
      </left>
      <right/>
      <top style="thin">
        <color indexed="64"/>
      </top>
      <bottom style="thin">
        <color indexed="64"/>
      </bottom>
      <diagonal/>
    </border>
    <border>
      <left/>
      <right style="medium">
        <color indexed="64"/>
      </right>
      <top/>
      <bottom/>
      <diagonal/>
    </border>
    <border>
      <left style="thin">
        <color indexed="64"/>
      </left>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double">
        <color indexed="64"/>
      </left>
      <right/>
      <top style="thin">
        <color indexed="64"/>
      </top>
      <bottom style="thin">
        <color indexed="64"/>
      </bottom>
      <diagonal/>
    </border>
    <border>
      <left/>
      <right style="double">
        <color indexed="64"/>
      </right>
      <top/>
      <bottom style="thin">
        <color indexed="64"/>
      </bottom>
      <diagonal/>
    </border>
    <border>
      <left style="double">
        <color indexed="64"/>
      </left>
      <right style="medium">
        <color indexed="64"/>
      </right>
      <top style="thin">
        <color indexed="64"/>
      </top>
      <bottom style="thin">
        <color indexed="64"/>
      </bottom>
      <diagonal/>
    </border>
    <border>
      <left/>
      <right style="thin">
        <color indexed="64"/>
      </right>
      <top/>
      <bottom style="thin">
        <color indexed="64"/>
      </bottom>
      <diagonal/>
    </border>
    <border>
      <left style="thin">
        <color indexed="64"/>
      </left>
      <right style="double">
        <color indexed="64"/>
      </right>
      <top style="thin">
        <color indexed="64"/>
      </top>
      <bottom style="thin">
        <color indexed="64"/>
      </bottom>
      <diagonal/>
    </border>
    <border>
      <left/>
      <right style="double">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diagonal/>
    </border>
    <border>
      <left/>
      <right style="medium">
        <color indexed="64"/>
      </right>
      <top style="thin">
        <color indexed="64"/>
      </top>
      <bottom style="thin">
        <color indexed="64"/>
      </bottom>
      <diagonal/>
    </border>
    <border>
      <left/>
      <right style="thin">
        <color indexed="64"/>
      </right>
      <top style="medium">
        <color indexed="64"/>
      </top>
      <bottom/>
      <diagonal/>
    </border>
    <border>
      <left/>
      <right style="medium">
        <color indexed="64"/>
      </right>
      <top style="medium">
        <color indexed="64"/>
      </top>
      <bottom style="thin">
        <color indexed="64"/>
      </bottom>
      <diagonal/>
    </border>
    <border>
      <left/>
      <right/>
      <top style="thin">
        <color theme="7" tint="0.79998168889431442"/>
      </top>
      <bottom style="thin">
        <color theme="7" tint="0.79998168889431442"/>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right/>
      <top/>
      <bottom style="thin">
        <color rgb="FF000000"/>
      </bottom>
      <diagonal/>
    </border>
    <border>
      <left/>
      <right style="thin">
        <color rgb="FF000000"/>
      </right>
      <top/>
      <bottom/>
      <diagonal/>
    </border>
    <border>
      <left style="thin">
        <color rgb="FF000000"/>
      </left>
      <right style="thin">
        <color rgb="FF000000"/>
      </right>
      <top/>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right style="medium">
        <color rgb="FF000000"/>
      </right>
      <top style="medium">
        <color indexed="64"/>
      </top>
      <bottom style="thin">
        <color indexed="64"/>
      </bottom>
      <diagonal/>
    </border>
    <border>
      <left style="medium">
        <color rgb="FF000000"/>
      </left>
      <right/>
      <top style="medium">
        <color indexed="64"/>
      </top>
      <bottom style="thin">
        <color indexed="64"/>
      </bottom>
      <diagonal/>
    </border>
    <border>
      <left style="medium">
        <color indexed="64"/>
      </left>
      <right style="dashed">
        <color indexed="64"/>
      </right>
      <top style="dashed">
        <color indexed="64"/>
      </top>
      <bottom style="dash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right/>
      <top style="dashed">
        <color indexed="64"/>
      </top>
      <bottom style="dashed">
        <color indexed="64"/>
      </bottom>
      <diagonal/>
    </border>
    <border>
      <left/>
      <right style="medium">
        <color indexed="64"/>
      </right>
      <top style="dashed">
        <color indexed="64"/>
      </top>
      <bottom style="dashed">
        <color indexed="64"/>
      </bottom>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right/>
      <top style="dashed">
        <color indexed="64"/>
      </top>
      <bottom/>
      <diagonal/>
    </border>
    <border>
      <left style="medium">
        <color indexed="64"/>
      </left>
      <right style="medium">
        <color indexed="64"/>
      </right>
      <top style="medium">
        <color indexed="64"/>
      </top>
      <bottom/>
      <diagonal/>
    </border>
    <border diagonalUp="1" diagonalDown="1">
      <left/>
      <right/>
      <top style="thin">
        <color indexed="64"/>
      </top>
      <bottom style="dashed">
        <color indexed="64"/>
      </bottom>
      <diagonal style="dotted">
        <color indexed="64"/>
      </diagonal>
    </border>
    <border diagonalUp="1" diagonalDown="1">
      <left/>
      <right/>
      <top style="dashed">
        <color indexed="64"/>
      </top>
      <bottom style="dashed">
        <color indexed="64"/>
      </bottom>
      <diagonal style="dotted">
        <color indexed="64"/>
      </diagonal>
    </border>
    <border diagonalUp="1" diagonalDown="1">
      <left/>
      <right/>
      <top style="thin">
        <color indexed="64"/>
      </top>
      <bottom style="thin">
        <color indexed="64"/>
      </bottom>
      <diagonal style="dotted">
        <color indexed="64"/>
      </diagonal>
    </border>
    <border diagonalUp="1" diagonalDown="1">
      <left style="thin">
        <color indexed="64"/>
      </left>
      <right style="thin">
        <color indexed="64"/>
      </right>
      <top style="thin">
        <color indexed="64"/>
      </top>
      <bottom style="thin">
        <color indexed="64"/>
      </bottom>
      <diagonal style="thin">
        <color indexed="64"/>
      </diagonal>
    </border>
    <border diagonalUp="1" diagonalDown="1">
      <left style="thin">
        <color indexed="64"/>
      </left>
      <right style="thin">
        <color indexed="64"/>
      </right>
      <top style="thin">
        <color indexed="64"/>
      </top>
      <bottom/>
      <diagonal style="thin">
        <color indexed="64"/>
      </diagonal>
    </border>
    <border diagonalUp="1" diagonalDown="1">
      <left style="thin">
        <color indexed="64"/>
      </left>
      <right style="thin">
        <color indexed="64"/>
      </right>
      <top/>
      <bottom style="thin">
        <color indexed="64"/>
      </bottom>
      <diagonal style="thin">
        <color indexed="64"/>
      </diagonal>
    </border>
    <border diagonalUp="1" diagonalDown="1">
      <left style="thin">
        <color indexed="64"/>
      </left>
      <right style="thin">
        <color indexed="64"/>
      </right>
      <top style="thin">
        <color indexed="64"/>
      </top>
      <bottom style="thin">
        <color indexed="64"/>
      </bottom>
      <diagonal style="dashed">
        <color indexed="64"/>
      </diagonal>
    </border>
    <border diagonalUp="1" diagonalDown="1">
      <left style="thin">
        <color indexed="64"/>
      </left>
      <right style="thin">
        <color indexed="64"/>
      </right>
      <top style="thin">
        <color indexed="64"/>
      </top>
      <bottom/>
      <diagonal style="dashed">
        <color indexed="64"/>
      </diagonal>
    </border>
    <border>
      <left style="thin">
        <color rgb="FFB2B2B2"/>
      </left>
      <right style="thin">
        <color rgb="FFB2B2B2"/>
      </right>
      <top style="thin">
        <color rgb="FFB2B2B2"/>
      </top>
      <bottom style="thin">
        <color rgb="FFB2B2B2"/>
      </bottom>
      <diagonal/>
    </border>
    <border>
      <left style="thin">
        <color indexed="59"/>
      </left>
      <right style="thin">
        <color indexed="59"/>
      </right>
      <top style="thin">
        <color indexed="59"/>
      </top>
      <bottom/>
      <diagonal/>
    </border>
    <border>
      <left style="thin">
        <color indexed="59"/>
      </left>
      <right/>
      <top style="thin">
        <color indexed="59"/>
      </top>
      <bottom/>
      <diagonal/>
    </border>
    <border>
      <left style="thin">
        <color indexed="59"/>
      </left>
      <right style="thin">
        <color indexed="59"/>
      </right>
      <top style="thin">
        <color indexed="59"/>
      </top>
      <bottom style="thin">
        <color indexed="59"/>
      </bottom>
      <diagonal/>
    </border>
    <border>
      <left style="thin">
        <color indexed="59"/>
      </left>
      <right/>
      <top style="thin">
        <color indexed="59"/>
      </top>
      <bottom style="thin">
        <color indexed="59"/>
      </bottom>
      <diagonal/>
    </border>
    <border diagonalUp="1" diagonalDown="1">
      <left/>
      <right/>
      <top style="dashed">
        <color indexed="64"/>
      </top>
      <bottom style="dashed">
        <color indexed="64"/>
      </bottom>
      <diagonal style="dashed">
        <color indexed="64"/>
      </diagonal>
    </border>
    <border diagonalUp="1" diagonalDown="1">
      <left style="thin">
        <color indexed="64"/>
      </left>
      <right/>
      <top style="dashed">
        <color indexed="64"/>
      </top>
      <bottom style="thin">
        <color indexed="64"/>
      </bottom>
      <diagonal style="dotted">
        <color indexed="64"/>
      </diagonal>
    </border>
    <border diagonalUp="1" diagonalDown="1">
      <left/>
      <right/>
      <top style="dashed">
        <color indexed="64"/>
      </top>
      <bottom style="thin">
        <color indexed="64"/>
      </bottom>
      <diagonal style="dotted">
        <color indexed="64"/>
      </diagonal>
    </border>
    <border>
      <left style="dotted">
        <color indexed="64"/>
      </left>
      <right style="dotted">
        <color indexed="64"/>
      </right>
      <top style="dashed">
        <color indexed="64"/>
      </top>
      <bottom style="dashed">
        <color indexed="64"/>
      </bottom>
      <diagonal/>
    </border>
    <border>
      <left style="dotted">
        <color indexed="64"/>
      </left>
      <right style="thin">
        <color indexed="64"/>
      </right>
      <top style="dashed">
        <color indexed="64"/>
      </top>
      <bottom style="dashed">
        <color indexed="64"/>
      </bottom>
      <diagonal/>
    </border>
    <border>
      <left style="dotted">
        <color indexed="64"/>
      </left>
      <right style="dotted">
        <color indexed="64"/>
      </right>
      <top style="dashed">
        <color indexed="64"/>
      </top>
      <bottom style="thin">
        <color indexed="64"/>
      </bottom>
      <diagonal/>
    </border>
    <border>
      <left style="dotted">
        <color indexed="64"/>
      </left>
      <right style="thin">
        <color indexed="64"/>
      </right>
      <top style="dashed">
        <color indexed="64"/>
      </top>
      <bottom style="thin">
        <color indexed="64"/>
      </bottom>
      <diagonal/>
    </border>
    <border>
      <left style="thin">
        <color indexed="64"/>
      </left>
      <right style="dotted">
        <color indexed="64"/>
      </right>
      <top style="thin">
        <color indexed="64"/>
      </top>
      <bottom style="dashed">
        <color indexed="64"/>
      </bottom>
      <diagonal/>
    </border>
    <border>
      <left style="dotted">
        <color indexed="64"/>
      </left>
      <right style="dotted">
        <color indexed="64"/>
      </right>
      <top style="thin">
        <color indexed="64"/>
      </top>
      <bottom style="dashed">
        <color indexed="64"/>
      </bottom>
      <diagonal/>
    </border>
    <border>
      <left style="dotted">
        <color indexed="64"/>
      </left>
      <right style="thin">
        <color indexed="64"/>
      </right>
      <top style="thin">
        <color indexed="64"/>
      </top>
      <bottom style="dashed">
        <color indexed="64"/>
      </bottom>
      <diagonal/>
    </border>
    <border>
      <left/>
      <right style="thin">
        <color indexed="64"/>
      </right>
      <top style="dashed">
        <color indexed="64"/>
      </top>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ashed">
        <color indexed="64"/>
      </top>
      <bottom style="dotted">
        <color indexed="64"/>
      </bottom>
      <diagonal/>
    </border>
    <border>
      <left/>
      <right/>
      <top style="dashed">
        <color indexed="64"/>
      </top>
      <bottom style="dotted">
        <color indexed="64"/>
      </bottom>
      <diagonal/>
    </border>
  </borders>
  <cellStyleXfs count="143">
    <xf numFmtId="0" fontId="0" fillId="0" borderId="0" applyNumberFormat="0" applyFill="0" applyBorder="0" applyAlignment="0" applyProtection="0"/>
    <xf numFmtId="0" fontId="2" fillId="0" borderId="0"/>
    <xf numFmtId="169" fontId="7" fillId="0" borderId="1">
      <alignment horizontal="left" vertical="center"/>
    </xf>
    <xf numFmtId="0" fontId="8" fillId="2" borderId="0" applyNumberFormat="0" applyBorder="0" applyAlignment="0" applyProtection="0"/>
    <xf numFmtId="0" fontId="8" fillId="3" borderId="0" applyNumberFormat="0" applyBorder="0" applyAlignment="0" applyProtection="0"/>
    <xf numFmtId="0" fontId="8" fillId="4" borderId="0" applyNumberFormat="0" applyBorder="0" applyAlignment="0" applyProtection="0"/>
    <xf numFmtId="0" fontId="8" fillId="5" borderId="0" applyNumberFormat="0" applyBorder="0" applyAlignment="0" applyProtection="0"/>
    <xf numFmtId="0" fontId="8" fillId="6" borderId="0" applyNumberFormat="0" applyBorder="0" applyAlignment="0" applyProtection="0"/>
    <xf numFmtId="0" fontId="8" fillId="7" borderId="0" applyNumberFormat="0" applyBorder="0" applyAlignment="0" applyProtection="0"/>
    <xf numFmtId="169" fontId="7" fillId="0" borderId="1">
      <alignment horizontal="left" vertical="center"/>
    </xf>
    <xf numFmtId="0" fontId="8" fillId="8"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5" borderId="0" applyNumberFormat="0" applyBorder="0" applyAlignment="0" applyProtection="0"/>
    <xf numFmtId="0" fontId="8" fillId="8" borderId="0" applyNumberFormat="0" applyBorder="0" applyAlignment="0" applyProtection="0"/>
    <xf numFmtId="0" fontId="8" fillId="11" borderId="0" applyNumberFormat="0" applyBorder="0" applyAlignment="0" applyProtection="0"/>
    <xf numFmtId="0" fontId="9" fillId="12"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13" borderId="0" applyNumberFormat="0" applyBorder="0" applyAlignment="0" applyProtection="0"/>
    <xf numFmtId="0" fontId="9" fillId="14" borderId="0" applyNumberFormat="0" applyBorder="0" applyAlignment="0" applyProtection="0"/>
    <xf numFmtId="0" fontId="9" fillId="15" borderId="0" applyNumberFormat="0" applyBorder="0" applyAlignment="0" applyProtection="0"/>
    <xf numFmtId="0" fontId="10" fillId="0" borderId="0"/>
    <xf numFmtId="0" fontId="72" fillId="20" borderId="2" applyNumberFormat="0" applyAlignment="0" applyProtection="0"/>
    <xf numFmtId="0" fontId="73" fillId="0" borderId="0" applyNumberFormat="0" applyFill="0" applyBorder="0" applyAlignment="0" applyProtection="0"/>
    <xf numFmtId="0" fontId="11" fillId="22" borderId="0">
      <alignment horizontal="left"/>
    </xf>
    <xf numFmtId="0" fontId="12" fillId="22" borderId="0">
      <alignment horizontal="right"/>
    </xf>
    <xf numFmtId="0" fontId="13" fillId="23" borderId="0">
      <alignment horizontal="center"/>
    </xf>
    <xf numFmtId="0" fontId="12" fillId="22" borderId="0">
      <alignment horizontal="right"/>
    </xf>
    <xf numFmtId="0" fontId="14" fillId="23" borderId="0">
      <alignment horizontal="left"/>
    </xf>
    <xf numFmtId="43" fontId="70" fillId="0" borderId="0" applyFont="0" applyFill="0" applyBorder="0" applyAlignment="0" applyProtection="0"/>
    <xf numFmtId="164" fontId="15" fillId="0" borderId="0"/>
    <xf numFmtId="179" fontId="15" fillId="0" borderId="0"/>
    <xf numFmtId="164" fontId="16" fillId="0" borderId="0"/>
    <xf numFmtId="165" fontId="3" fillId="0" borderId="0" applyFont="0" applyFill="0" applyBorder="0" applyAlignment="0" applyProtection="0"/>
    <xf numFmtId="186" fontId="118" fillId="0" borderId="0" applyBorder="0" applyProtection="0"/>
    <xf numFmtId="49" fontId="17" fillId="0" borderId="0" applyNumberFormat="0" applyFill="0" applyBorder="0" applyProtection="0">
      <alignment horizontal="center" vertical="top"/>
    </xf>
    <xf numFmtId="177" fontId="18" fillId="0" borderId="0" applyBorder="0">
      <alignment horizontal="right" vertical="top"/>
    </xf>
    <xf numFmtId="178" fontId="17" fillId="0" borderId="0" applyBorder="0">
      <alignment horizontal="right" vertical="top"/>
    </xf>
    <xf numFmtId="178" fontId="18" fillId="0" borderId="0" applyBorder="0">
      <alignment horizontal="right" vertical="top"/>
    </xf>
    <xf numFmtId="170" fontId="17" fillId="0" borderId="0" applyFill="0" applyBorder="0">
      <alignment horizontal="right" vertical="top"/>
    </xf>
    <xf numFmtId="176" fontId="17" fillId="0" borderId="0" applyFill="0" applyBorder="0">
      <alignment horizontal="right" vertical="top"/>
    </xf>
    <xf numFmtId="174" fontId="17" fillId="0" borderId="0" applyFill="0" applyBorder="0">
      <alignment horizontal="right" vertical="top"/>
    </xf>
    <xf numFmtId="175" fontId="17" fillId="0" borderId="0" applyFill="0" applyBorder="0">
      <alignment horizontal="right" vertical="top"/>
    </xf>
    <xf numFmtId="0" fontId="19" fillId="0" borderId="0">
      <alignment horizontal="left"/>
    </xf>
    <xf numFmtId="0" fontId="19" fillId="0" borderId="1">
      <alignment horizontal="right" wrapText="1"/>
    </xf>
    <xf numFmtId="169" fontId="7" fillId="0" borderId="1">
      <alignment horizontal="left"/>
    </xf>
    <xf numFmtId="0" fontId="20" fillId="0" borderId="0">
      <alignment vertical="center"/>
    </xf>
    <xf numFmtId="172" fontId="20" fillId="0" borderId="0">
      <alignment horizontal="left" vertical="center"/>
    </xf>
    <xf numFmtId="171" fontId="21" fillId="0" borderId="0">
      <alignment vertical="center"/>
    </xf>
    <xf numFmtId="0" fontId="22" fillId="0" borderId="0">
      <alignment vertical="center"/>
    </xf>
    <xf numFmtId="169" fontId="7" fillId="0" borderId="1">
      <alignment horizontal="left"/>
    </xf>
    <xf numFmtId="168" fontId="23" fillId="20" borderId="4" applyAlignment="0" applyProtection="0"/>
    <xf numFmtId="0" fontId="24" fillId="0" borderId="0" applyNumberFormat="0" applyFill="0" applyBorder="0" applyAlignment="0" applyProtection="0"/>
    <xf numFmtId="169" fontId="25" fillId="0" borderId="0" applyFill="0" applyBorder="0">
      <alignment vertical="top"/>
    </xf>
    <xf numFmtId="169" fontId="26" fillId="0" borderId="0" applyFill="0" applyBorder="0" applyProtection="0">
      <alignment vertical="top"/>
    </xf>
    <xf numFmtId="169" fontId="27" fillId="0" borderId="0">
      <alignment vertical="top"/>
    </xf>
    <xf numFmtId="169" fontId="17" fillId="0" borderId="0">
      <alignment horizontal="center"/>
    </xf>
    <xf numFmtId="169" fontId="28" fillId="0" borderId="1">
      <alignment horizontal="center"/>
    </xf>
    <xf numFmtId="41" fontId="17" fillId="0" borderId="1" applyFill="0" applyBorder="0" applyProtection="0">
      <alignment horizontal="right" vertical="top"/>
    </xf>
    <xf numFmtId="169" fontId="29" fillId="0" borderId="0"/>
    <xf numFmtId="169" fontId="30" fillId="0" borderId="0"/>
    <xf numFmtId="169" fontId="31" fillId="0" borderId="0"/>
    <xf numFmtId="169" fontId="4" fillId="0" borderId="0"/>
    <xf numFmtId="169" fontId="32" fillId="0" borderId="0">
      <alignment horizontal="left" vertical="top" wrapText="1"/>
    </xf>
    <xf numFmtId="0" fontId="17" fillId="0" borderId="0" applyFill="0" applyBorder="0">
      <alignment horizontal="left" vertical="top" wrapText="1"/>
    </xf>
    <xf numFmtId="0" fontId="33" fillId="0" borderId="0">
      <alignment horizontal="left" vertical="top" wrapText="1"/>
    </xf>
    <xf numFmtId="0" fontId="34" fillId="0" borderId="0">
      <alignment horizontal="left" vertical="top" wrapText="1"/>
    </xf>
    <xf numFmtId="0" fontId="18" fillId="0" borderId="0">
      <alignment horizontal="left" vertical="top" wrapText="1"/>
    </xf>
    <xf numFmtId="0" fontId="119" fillId="0" borderId="0" applyNumberFormat="0" applyFill="0" applyBorder="0" applyAlignment="0" applyProtection="0"/>
    <xf numFmtId="0" fontId="74" fillId="7" borderId="2" applyNumberFormat="0" applyAlignment="0" applyProtection="0"/>
    <xf numFmtId="0" fontId="75" fillId="20" borderId="8" applyNumberFormat="0" applyAlignment="0" applyProtection="0"/>
    <xf numFmtId="0" fontId="76" fillId="0" borderId="9" applyNumberFormat="0" applyFill="0" applyAlignment="0" applyProtection="0"/>
    <xf numFmtId="0" fontId="11" fillId="22" borderId="0">
      <alignment horizontal="left"/>
    </xf>
    <xf numFmtId="0" fontId="35" fillId="23" borderId="0">
      <alignment horizontal="left"/>
    </xf>
    <xf numFmtId="0" fontId="77" fillId="24" borderId="0" applyNumberFormat="0" applyBorder="0" applyAlignment="0" applyProtection="0"/>
    <xf numFmtId="2" fontId="36" fillId="0" borderId="0">
      <alignment horizontal="left"/>
    </xf>
    <xf numFmtId="0" fontId="2" fillId="0" borderId="0" applyNumberFormat="0" applyFill="0" applyBorder="0" applyAlignment="0" applyProtection="0"/>
    <xf numFmtId="0" fontId="68" fillId="0" borderId="0"/>
    <xf numFmtId="0" fontId="120" fillId="0" borderId="0"/>
    <xf numFmtId="0" fontId="10" fillId="0" borderId="0"/>
    <xf numFmtId="0" fontId="2" fillId="0" borderId="0"/>
    <xf numFmtId="0" fontId="68" fillId="0" borderId="0"/>
    <xf numFmtId="0" fontId="78" fillId="0" borderId="0" applyNumberFormat="0" applyFill="0" applyBorder="0" applyAlignment="0" applyProtection="0"/>
    <xf numFmtId="0" fontId="1" fillId="25" borderId="11" applyNumberFormat="0" applyFont="0" applyAlignment="0" applyProtection="0"/>
    <xf numFmtId="4" fontId="37" fillId="26" borderId="0">
      <alignment horizontal="right"/>
    </xf>
    <xf numFmtId="0" fontId="38" fillId="26" borderId="0">
      <alignment horizontal="center" vertical="center"/>
    </xf>
    <xf numFmtId="0" fontId="39" fillId="27" borderId="12"/>
    <xf numFmtId="0" fontId="38" fillId="26" borderId="0" applyBorder="0">
      <alignment horizontal="centerContinuous"/>
    </xf>
    <xf numFmtId="0" fontId="40" fillId="26" borderId="0" applyBorder="0">
      <alignment horizontal="centerContinuous"/>
    </xf>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20" fillId="0" borderId="0" applyFont="0" applyFill="0" applyBorder="0" applyAlignment="0" applyProtection="0"/>
    <xf numFmtId="0" fontId="35" fillId="24" borderId="0">
      <alignment horizontal="center"/>
    </xf>
    <xf numFmtId="49" fontId="41" fillId="23" borderId="0">
      <alignment horizontal="center"/>
    </xf>
    <xf numFmtId="0" fontId="12" fillId="22" borderId="0">
      <alignment horizontal="center"/>
    </xf>
    <xf numFmtId="0" fontId="12" fillId="22" borderId="0">
      <alignment horizontal="centerContinuous"/>
    </xf>
    <xf numFmtId="0" fontId="42" fillId="23" borderId="0">
      <alignment horizontal="left"/>
    </xf>
    <xf numFmtId="49" fontId="42" fillId="23" borderId="0">
      <alignment horizontal="center"/>
    </xf>
    <xf numFmtId="0" fontId="11" fillId="22" borderId="0">
      <alignment horizontal="left"/>
    </xf>
    <xf numFmtId="49" fontId="42" fillId="23" borderId="0">
      <alignment horizontal="left"/>
    </xf>
    <xf numFmtId="0" fontId="11" fillId="22" borderId="0">
      <alignment horizontal="centerContinuous"/>
    </xf>
    <xf numFmtId="0" fontId="11" fillId="22" borderId="0">
      <alignment horizontal="right"/>
    </xf>
    <xf numFmtId="49" fontId="35" fillId="23" borderId="0">
      <alignment horizontal="left"/>
    </xf>
    <xf numFmtId="0" fontId="12" fillId="22" borderId="0">
      <alignment horizontal="right"/>
    </xf>
    <xf numFmtId="0" fontId="42" fillId="7" borderId="0">
      <alignment horizontal="center"/>
    </xf>
    <xf numFmtId="0" fontId="43" fillId="7" borderId="0">
      <alignment horizontal="center"/>
    </xf>
    <xf numFmtId="0" fontId="44" fillId="28" borderId="13" applyNumberFormat="0" applyProtection="0">
      <alignment horizontal="left" vertical="center" indent="1"/>
    </xf>
    <xf numFmtId="173" fontId="6" fillId="29" borderId="13" applyProtection="0">
      <alignment horizontal="right" vertical="center"/>
    </xf>
    <xf numFmtId="41" fontId="45" fillId="0" borderId="0"/>
    <xf numFmtId="179" fontId="45" fillId="0" borderId="0"/>
    <xf numFmtId="0" fontId="46" fillId="0" borderId="0"/>
    <xf numFmtId="0" fontId="47" fillId="0" borderId="0">
      <alignment horizontal="right"/>
    </xf>
    <xf numFmtId="0" fontId="48" fillId="0" borderId="0">
      <alignment vertical="top"/>
    </xf>
    <xf numFmtId="43" fontId="2" fillId="0" borderId="0" applyFont="0" applyFill="0" applyBorder="0" applyAlignment="0" applyProtection="0"/>
    <xf numFmtId="0" fontId="49" fillId="23" borderId="0">
      <alignment horizontal="center"/>
    </xf>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13" borderId="0" applyNumberFormat="0" applyBorder="0" applyAlignment="0" applyProtection="0"/>
    <xf numFmtId="0" fontId="9" fillId="14" borderId="0" applyNumberFormat="0" applyBorder="0" applyAlignment="0" applyProtection="0"/>
    <xf numFmtId="0" fontId="9" fillId="19" borderId="0" applyNumberFormat="0" applyBorder="0" applyAlignment="0" applyProtection="0"/>
    <xf numFmtId="0" fontId="50" fillId="7" borderId="2" applyNumberFormat="0" applyAlignment="0" applyProtection="0"/>
    <xf numFmtId="0" fontId="51" fillId="20" borderId="8" applyNumberFormat="0" applyAlignment="0" applyProtection="0"/>
    <xf numFmtId="0" fontId="52" fillId="20" borderId="2" applyNumberFormat="0" applyAlignment="0" applyProtection="0"/>
    <xf numFmtId="0" fontId="53" fillId="0" borderId="5" applyNumberFormat="0" applyFill="0" applyAlignment="0" applyProtection="0"/>
    <xf numFmtId="0" fontId="54" fillId="0" borderId="6" applyNumberFormat="0" applyFill="0" applyAlignment="0" applyProtection="0"/>
    <xf numFmtId="0" fontId="55" fillId="0" borderId="7" applyNumberFormat="0" applyFill="0" applyAlignment="0" applyProtection="0"/>
    <xf numFmtId="0" fontId="55" fillId="0" borderId="0" applyNumberFormat="0" applyFill="0" applyBorder="0" applyAlignment="0" applyProtection="0"/>
    <xf numFmtId="0" fontId="56" fillId="0" borderId="9" applyNumberFormat="0" applyFill="0" applyAlignment="0" applyProtection="0"/>
    <xf numFmtId="0" fontId="57" fillId="21" borderId="3" applyNumberFormat="0" applyAlignment="0" applyProtection="0"/>
    <xf numFmtId="0" fontId="58" fillId="0" borderId="0" applyNumberFormat="0" applyFill="0" applyBorder="0" applyAlignment="0" applyProtection="0"/>
    <xf numFmtId="0" fontId="59" fillId="24" borderId="0" applyNumberFormat="0" applyBorder="0" applyAlignment="0" applyProtection="0"/>
    <xf numFmtId="0" fontId="2" fillId="0" borderId="0"/>
    <xf numFmtId="0" fontId="60" fillId="3" borderId="0" applyNumberFormat="0" applyBorder="0" applyAlignment="0" applyProtection="0"/>
    <xf numFmtId="0" fontId="61" fillId="0" borderId="0" applyNumberFormat="0" applyFill="0" applyBorder="0" applyAlignment="0" applyProtection="0"/>
    <xf numFmtId="0" fontId="62" fillId="25" borderId="11" applyNumberFormat="0" applyFont="0" applyAlignment="0" applyProtection="0"/>
    <xf numFmtId="0" fontId="63" fillId="0" borderId="10" applyNumberFormat="0" applyFill="0" applyAlignment="0" applyProtection="0"/>
    <xf numFmtId="0" fontId="64" fillId="0" borderId="0" applyNumberFormat="0" applyFill="0" applyBorder="0" applyAlignment="0" applyProtection="0"/>
    <xf numFmtId="0" fontId="65" fillId="4" borderId="0" applyNumberFormat="0" applyBorder="0" applyAlignment="0" applyProtection="0"/>
    <xf numFmtId="0" fontId="66" fillId="0" borderId="0">
      <alignment vertical="center"/>
    </xf>
    <xf numFmtId="0" fontId="231" fillId="58" borderId="138" applyNumberFormat="0" applyFont="0" applyAlignment="0" applyProtection="0"/>
  </cellStyleXfs>
  <cellXfs count="2442">
    <xf numFmtId="0" fontId="0" fillId="0" borderId="0" xfId="0"/>
    <xf numFmtId="0" fontId="0" fillId="0" borderId="14" xfId="0" applyBorder="1"/>
    <xf numFmtId="0" fontId="2" fillId="0" borderId="14" xfId="82" applyFont="1" applyBorder="1"/>
    <xf numFmtId="3" fontId="2" fillId="0" borderId="14" xfId="82" applyNumberFormat="1" applyFont="1" applyBorder="1"/>
    <xf numFmtId="0" fontId="2" fillId="31" borderId="15" xfId="82" applyFont="1" applyFill="1" applyBorder="1"/>
    <xf numFmtId="0" fontId="2" fillId="0" borderId="0" xfId="82" applyFont="1" applyBorder="1"/>
    <xf numFmtId="0" fontId="2" fillId="0" borderId="0" xfId="0" applyFont="1"/>
    <xf numFmtId="3" fontId="2" fillId="32" borderId="14" xfId="82" applyNumberFormat="1" applyFont="1" applyFill="1" applyBorder="1"/>
    <xf numFmtId="0" fontId="2" fillId="31" borderId="14" xfId="82" applyFont="1" applyFill="1" applyBorder="1"/>
    <xf numFmtId="3" fontId="2" fillId="33" borderId="14" xfId="82" applyNumberFormat="1" applyFont="1" applyFill="1" applyBorder="1"/>
    <xf numFmtId="0" fontId="2" fillId="0" borderId="16" xfId="82" applyFont="1" applyFill="1" applyBorder="1"/>
    <xf numFmtId="0" fontId="0" fillId="0" borderId="0" xfId="0" applyFont="1" applyAlignment="1"/>
    <xf numFmtId="0" fontId="0" fillId="34" borderId="0" xfId="0" applyFont="1" applyFill="1" applyAlignment="1"/>
    <xf numFmtId="10" fontId="122" fillId="34" borderId="0" xfId="90" applyNumberFormat="1" applyFont="1" applyFill="1" applyBorder="1"/>
    <xf numFmtId="43" fontId="123" fillId="34" borderId="0" xfId="0" applyNumberFormat="1" applyFont="1" applyFill="1" applyBorder="1" applyAlignment="1"/>
    <xf numFmtId="0" fontId="123" fillId="34" borderId="0" xfId="0" applyFont="1" applyFill="1" applyBorder="1" applyAlignment="1"/>
    <xf numFmtId="0" fontId="123" fillId="0" borderId="0" xfId="0" applyFont="1"/>
    <xf numFmtId="0" fontId="123" fillId="0" borderId="0" xfId="0" applyFont="1" applyAlignment="1"/>
    <xf numFmtId="9" fontId="124" fillId="35" borderId="17" xfId="90" applyNumberFormat="1" applyFont="1" applyFill="1" applyBorder="1"/>
    <xf numFmtId="43" fontId="124" fillId="35" borderId="18" xfId="0" applyNumberFormat="1" applyFont="1" applyFill="1" applyBorder="1"/>
    <xf numFmtId="0" fontId="124" fillId="35" borderId="19" xfId="0" applyFont="1" applyFill="1" applyBorder="1"/>
    <xf numFmtId="43" fontId="124" fillId="0" borderId="20" xfId="0" applyNumberFormat="1" applyFont="1" applyBorder="1"/>
    <xf numFmtId="0" fontId="123" fillId="0" borderId="18" xfId="0" applyFont="1" applyBorder="1" applyAlignment="1"/>
    <xf numFmtId="0" fontId="123" fillId="0" borderId="19" xfId="0" applyFont="1" applyBorder="1" applyAlignment="1"/>
    <xf numFmtId="43" fontId="124" fillId="34" borderId="21" xfId="0" applyNumberFormat="1" applyFont="1" applyFill="1" applyBorder="1"/>
    <xf numFmtId="0" fontId="123" fillId="34" borderId="18" xfId="0" applyFont="1" applyFill="1" applyBorder="1" applyAlignment="1"/>
    <xf numFmtId="0" fontId="123" fillId="34" borderId="19" xfId="0" applyFont="1" applyFill="1" applyBorder="1" applyAlignment="1"/>
    <xf numFmtId="43" fontId="125" fillId="34" borderId="21" xfId="0" applyNumberFormat="1" applyFont="1" applyFill="1" applyBorder="1"/>
    <xf numFmtId="0" fontId="126" fillId="0" borderId="18" xfId="0" applyFont="1" applyBorder="1" applyAlignment="1"/>
    <xf numFmtId="0" fontId="126" fillId="0" borderId="19" xfId="0" applyFont="1" applyBorder="1" applyAlignment="1"/>
    <xf numFmtId="43" fontId="124" fillId="0" borderId="21" xfId="0" applyNumberFormat="1" applyFont="1" applyBorder="1"/>
    <xf numFmtId="0" fontId="123" fillId="0" borderId="22" xfId="0" applyFont="1" applyBorder="1" applyAlignment="1"/>
    <xf numFmtId="0" fontId="123" fillId="0" borderId="18" xfId="0" applyNumberFormat="1" applyFont="1" applyBorder="1" applyAlignment="1"/>
    <xf numFmtId="1" fontId="123" fillId="0" borderId="19" xfId="0" applyNumberFormat="1" applyFont="1" applyBorder="1" applyAlignment="1"/>
    <xf numFmtId="4" fontId="124" fillId="0" borderId="23" xfId="0" applyNumberFormat="1" applyFont="1" applyBorder="1"/>
    <xf numFmtId="0" fontId="123" fillId="0" borderId="24" xfId="0" applyNumberFormat="1" applyFont="1" applyBorder="1" applyAlignment="1"/>
    <xf numFmtId="1" fontId="123" fillId="0" borderId="25" xfId="0" applyNumberFormat="1" applyFont="1" applyBorder="1" applyAlignment="1"/>
    <xf numFmtId="4" fontId="127" fillId="0" borderId="21" xfId="0" applyNumberFormat="1" applyFont="1" applyBorder="1"/>
    <xf numFmtId="0" fontId="128" fillId="0" borderId="18" xfId="0" applyFont="1" applyBorder="1" applyAlignment="1"/>
    <xf numFmtId="0" fontId="128" fillId="0" borderId="19" xfId="0" applyFont="1" applyBorder="1" applyAlignment="1"/>
    <xf numFmtId="0" fontId="124" fillId="0" borderId="26" xfId="0" applyFont="1" applyBorder="1"/>
    <xf numFmtId="0" fontId="124" fillId="35" borderId="21" xfId="0" applyFont="1" applyFill="1" applyBorder="1" applyAlignment="1">
      <alignment horizontal="right"/>
    </xf>
    <xf numFmtId="0" fontId="124" fillId="35" borderId="19" xfId="0" applyFont="1" applyFill="1" applyBorder="1" applyAlignment="1">
      <alignment horizontal="right"/>
    </xf>
    <xf numFmtId="10" fontId="122" fillId="35" borderId="17" xfId="90" applyNumberFormat="1" applyFont="1" applyFill="1" applyBorder="1"/>
    <xf numFmtId="43" fontId="122" fillId="35" borderId="18" xfId="0" applyNumberFormat="1" applyFont="1" applyFill="1" applyBorder="1"/>
    <xf numFmtId="0" fontId="122" fillId="35" borderId="19" xfId="0" applyFont="1" applyFill="1" applyBorder="1"/>
    <xf numFmtId="43" fontId="122" fillId="0" borderId="16" xfId="0" applyNumberFormat="1" applyFont="1" applyBorder="1"/>
    <xf numFmtId="0" fontId="123" fillId="0" borderId="27" xfId="0" applyFont="1" applyBorder="1" applyAlignment="1"/>
    <xf numFmtId="0" fontId="123" fillId="0" borderId="28" xfId="0" applyFont="1" applyBorder="1" applyAlignment="1"/>
    <xf numFmtId="43" fontId="122" fillId="34" borderId="29" xfId="0" applyNumberFormat="1" applyFont="1" applyFill="1" applyBorder="1"/>
    <xf numFmtId="0" fontId="123" fillId="34" borderId="27" xfId="0" applyFont="1" applyFill="1" applyBorder="1" applyAlignment="1"/>
    <xf numFmtId="0" fontId="123" fillId="34" borderId="28" xfId="0" applyFont="1" applyFill="1" applyBorder="1" applyAlignment="1"/>
    <xf numFmtId="43" fontId="129" fillId="0" borderId="23" xfId="0" applyNumberFormat="1" applyFont="1" applyBorder="1"/>
    <xf numFmtId="0" fontId="126" fillId="0" borderId="24" xfId="0" applyFont="1" applyBorder="1" applyAlignment="1"/>
    <xf numFmtId="0" fontId="126" fillId="0" borderId="30" xfId="0" applyFont="1" applyBorder="1" applyAlignment="1"/>
    <xf numFmtId="43" fontId="122" fillId="34" borderId="31" xfId="0" applyNumberFormat="1" applyFont="1" applyFill="1" applyBorder="1"/>
    <xf numFmtId="0" fontId="123" fillId="0" borderId="15" xfId="0" applyFont="1" applyBorder="1" applyAlignment="1"/>
    <xf numFmtId="0" fontId="123" fillId="0" borderId="32" xfId="0" applyFont="1" applyBorder="1" applyAlignment="1"/>
    <xf numFmtId="43" fontId="122" fillId="0" borderId="29" xfId="0" applyNumberFormat="1" applyFont="1" applyBorder="1"/>
    <xf numFmtId="0" fontId="123" fillId="0" borderId="12" xfId="0" applyFont="1" applyBorder="1" applyAlignment="1"/>
    <xf numFmtId="0" fontId="123" fillId="0" borderId="15" xfId="0" applyNumberFormat="1" applyFont="1" applyBorder="1" applyAlignment="1"/>
    <xf numFmtId="0" fontId="123" fillId="0" borderId="33" xfId="0" applyFont="1" applyBorder="1" applyAlignment="1"/>
    <xf numFmtId="4" fontId="122" fillId="34" borderId="34" xfId="0" applyNumberFormat="1" applyFont="1" applyFill="1" applyBorder="1"/>
    <xf numFmtId="0" fontId="123" fillId="0" borderId="35" xfId="0" applyNumberFormat="1" applyFont="1" applyBorder="1" applyAlignment="1"/>
    <xf numFmtId="1" fontId="123" fillId="0" borderId="36" xfId="0" applyNumberFormat="1" applyFont="1" applyBorder="1" applyAlignment="1"/>
    <xf numFmtId="0" fontId="128" fillId="0" borderId="27" xfId="0" applyFont="1" applyBorder="1" applyAlignment="1"/>
    <xf numFmtId="0" fontId="128" fillId="0" borderId="28" xfId="0" applyFont="1" applyBorder="1" applyAlignment="1"/>
    <xf numFmtId="43" fontId="122" fillId="0" borderId="31" xfId="0" applyNumberFormat="1" applyFont="1" applyBorder="1"/>
    <xf numFmtId="0" fontId="122" fillId="0" borderId="33" xfId="0" applyFont="1" applyBorder="1"/>
    <xf numFmtId="0" fontId="130" fillId="35" borderId="31" xfId="0" applyFont="1" applyFill="1" applyBorder="1" applyAlignment="1">
      <alignment horizontal="left" vertical="center" wrapText="1"/>
    </xf>
    <xf numFmtId="0" fontId="130" fillId="35" borderId="32" xfId="0" applyFont="1" applyFill="1" applyBorder="1" applyAlignment="1">
      <alignment horizontal="right"/>
    </xf>
    <xf numFmtId="43" fontId="122" fillId="0" borderId="37" xfId="0" applyNumberFormat="1" applyFont="1" applyBorder="1"/>
    <xf numFmtId="0" fontId="123" fillId="0" borderId="38" xfId="0" applyFont="1" applyBorder="1" applyAlignment="1"/>
    <xf numFmtId="0" fontId="123" fillId="0" borderId="39" xfId="0" applyFont="1" applyBorder="1" applyAlignment="1"/>
    <xf numFmtId="43" fontId="122" fillId="34" borderId="40" xfId="0" applyNumberFormat="1" applyFont="1" applyFill="1" applyBorder="1"/>
    <xf numFmtId="0" fontId="123" fillId="34" borderId="38" xfId="0" applyFont="1" applyFill="1" applyBorder="1" applyAlignment="1"/>
    <xf numFmtId="0" fontId="123" fillId="34" borderId="39" xfId="0" applyFont="1" applyFill="1" applyBorder="1" applyAlignment="1"/>
    <xf numFmtId="43" fontId="129" fillId="0" borderId="41" xfId="0" applyNumberFormat="1" applyFont="1" applyBorder="1"/>
    <xf numFmtId="0" fontId="126" fillId="0" borderId="14" xfId="0" applyFont="1" applyBorder="1" applyAlignment="1"/>
    <xf numFmtId="0" fontId="126" fillId="0" borderId="4" xfId="0" applyFont="1" applyBorder="1" applyAlignment="1"/>
    <xf numFmtId="0" fontId="123" fillId="0" borderId="42" xfId="0" applyFont="1" applyBorder="1" applyAlignment="1"/>
    <xf numFmtId="43" fontId="122" fillId="0" borderId="40" xfId="0" applyNumberFormat="1" applyFont="1" applyBorder="1"/>
    <xf numFmtId="0" fontId="123" fillId="34" borderId="43" xfId="0" applyFont="1" applyFill="1" applyBorder="1" applyAlignment="1"/>
    <xf numFmtId="0" fontId="123" fillId="0" borderId="38" xfId="0" applyNumberFormat="1" applyFont="1" applyBorder="1" applyAlignment="1"/>
    <xf numFmtId="0" fontId="123" fillId="0" borderId="43" xfId="0" applyFont="1" applyBorder="1" applyAlignment="1"/>
    <xf numFmtId="4" fontId="122" fillId="0" borderId="44" xfId="0" applyNumberFormat="1" applyFont="1" applyBorder="1"/>
    <xf numFmtId="0" fontId="123" fillId="0" borderId="45" xfId="0" applyNumberFormat="1" applyFont="1" applyBorder="1" applyAlignment="1"/>
    <xf numFmtId="1" fontId="123" fillId="0" borderId="46" xfId="0" applyNumberFormat="1" applyFont="1" applyBorder="1" applyAlignment="1"/>
    <xf numFmtId="4" fontId="131" fillId="0" borderId="34" xfId="0" applyNumberFormat="1" applyFont="1" applyBorder="1"/>
    <xf numFmtId="0" fontId="128" fillId="34" borderId="35" xfId="0" applyFont="1" applyFill="1" applyBorder="1" applyAlignment="1"/>
    <xf numFmtId="0" fontId="128" fillId="34" borderId="47" xfId="0" applyFont="1" applyFill="1" applyBorder="1" applyAlignment="1"/>
    <xf numFmtId="0" fontId="122" fillId="0" borderId="43" xfId="0" applyFont="1" applyBorder="1"/>
    <xf numFmtId="0" fontId="130" fillId="35" borderId="40" xfId="0" applyFont="1" applyFill="1" applyBorder="1" applyAlignment="1">
      <alignment horizontal="left" vertical="center" wrapText="1"/>
    </xf>
    <xf numFmtId="0" fontId="130" fillId="35" borderId="42" xfId="0" applyFont="1" applyFill="1" applyBorder="1" applyAlignment="1">
      <alignment horizontal="right"/>
    </xf>
    <xf numFmtId="10" fontId="124" fillId="35" borderId="17" xfId="90" applyNumberFormat="1" applyFont="1" applyFill="1" applyBorder="1"/>
    <xf numFmtId="4" fontId="124" fillId="0" borderId="48" xfId="0" applyNumberFormat="1" applyFont="1" applyBorder="1"/>
    <xf numFmtId="0" fontId="123" fillId="0" borderId="49" xfId="0" applyNumberFormat="1" applyFont="1" applyBorder="1" applyAlignment="1"/>
    <xf numFmtId="1" fontId="123" fillId="0" borderId="50" xfId="0" applyNumberFormat="1" applyFont="1" applyBorder="1" applyAlignment="1"/>
    <xf numFmtId="43" fontId="127" fillId="0" borderId="21" xfId="0" applyNumberFormat="1" applyFont="1" applyBorder="1"/>
    <xf numFmtId="0" fontId="122" fillId="0" borderId="26" xfId="0" applyFont="1" applyBorder="1"/>
    <xf numFmtId="0" fontId="130" fillId="35" borderId="21" xfId="0" applyFont="1" applyFill="1" applyBorder="1" applyAlignment="1">
      <alignment horizontal="left" vertical="center" wrapText="1"/>
    </xf>
    <xf numFmtId="0" fontId="130" fillId="35" borderId="19" xfId="0" applyFont="1" applyFill="1" applyBorder="1" applyAlignment="1">
      <alignment horizontal="left"/>
    </xf>
    <xf numFmtId="0" fontId="123" fillId="35" borderId="19" xfId="0" applyFont="1" applyFill="1" applyBorder="1"/>
    <xf numFmtId="43" fontId="122" fillId="0" borderId="20" xfId="0" applyNumberFormat="1" applyFont="1" applyBorder="1"/>
    <xf numFmtId="0" fontId="123" fillId="0" borderId="51" xfId="0" applyFont="1" applyBorder="1" applyAlignment="1"/>
    <xf numFmtId="43" fontId="122" fillId="34" borderId="21" xfId="0" applyNumberFormat="1" applyFont="1" applyFill="1" applyBorder="1"/>
    <xf numFmtId="0" fontId="123" fillId="34" borderId="51" xfId="0" applyFont="1" applyFill="1" applyBorder="1" applyAlignment="1"/>
    <xf numFmtId="43" fontId="126" fillId="0" borderId="41" xfId="0" applyNumberFormat="1" applyFont="1" applyBorder="1"/>
    <xf numFmtId="43" fontId="122" fillId="0" borderId="21" xfId="0" applyNumberFormat="1" applyFont="1" applyBorder="1"/>
    <xf numFmtId="0" fontId="123" fillId="0" borderId="26" xfId="0" applyFont="1" applyBorder="1" applyAlignment="1"/>
    <xf numFmtId="43" fontId="123" fillId="0" borderId="31" xfId="0" applyNumberFormat="1" applyFont="1" applyBorder="1"/>
    <xf numFmtId="4" fontId="122" fillId="0" borderId="21" xfId="0" applyNumberFormat="1" applyFont="1" applyBorder="1"/>
    <xf numFmtId="4" fontId="128" fillId="0" borderId="41" xfId="0" applyNumberFormat="1" applyFont="1" applyBorder="1"/>
    <xf numFmtId="0" fontId="128" fillId="0" borderId="14" xfId="0" applyFont="1" applyBorder="1" applyAlignment="1"/>
    <xf numFmtId="0" fontId="128" fillId="0" borderId="52" xfId="0" applyFont="1" applyBorder="1" applyAlignment="1"/>
    <xf numFmtId="0" fontId="130" fillId="35" borderId="21" xfId="0" applyFont="1" applyFill="1" applyBorder="1" applyAlignment="1">
      <alignment wrapText="1"/>
    </xf>
    <xf numFmtId="0" fontId="130" fillId="35" borderId="19" xfId="0" applyFont="1" applyFill="1" applyBorder="1" applyAlignment="1">
      <alignment horizontal="right"/>
    </xf>
    <xf numFmtId="43" fontId="126" fillId="34" borderId="41" xfId="0" applyNumberFormat="1" applyFont="1" applyFill="1" applyBorder="1"/>
    <xf numFmtId="3" fontId="126" fillId="0" borderId="4" xfId="0" applyNumberFormat="1" applyFont="1" applyBorder="1" applyAlignment="1"/>
    <xf numFmtId="43" fontId="123" fillId="0" borderId="41" xfId="0" applyNumberFormat="1" applyFont="1" applyBorder="1"/>
    <xf numFmtId="0" fontId="123" fillId="0" borderId="14" xfId="0" applyNumberFormat="1" applyFont="1" applyBorder="1" applyAlignment="1"/>
    <xf numFmtId="0" fontId="123" fillId="0" borderId="4" xfId="0" applyFont="1" applyBorder="1" applyAlignment="1"/>
    <xf numFmtId="4" fontId="123" fillId="0" borderId="21" xfId="0" applyNumberFormat="1" applyFont="1" applyBorder="1"/>
    <xf numFmtId="14" fontId="130" fillId="35" borderId="19" xfId="0" applyNumberFormat="1" applyFont="1" applyFill="1" applyBorder="1" applyAlignment="1">
      <alignment horizontal="right"/>
    </xf>
    <xf numFmtId="10" fontId="123" fillId="35" borderId="53" xfId="90" applyNumberFormat="1" applyFont="1" applyFill="1" applyBorder="1"/>
    <xf numFmtId="43" fontId="123" fillId="35" borderId="15" xfId="0" applyNumberFormat="1" applyFont="1" applyFill="1" applyBorder="1"/>
    <xf numFmtId="0" fontId="123" fillId="35" borderId="32" xfId="0" applyFont="1" applyFill="1" applyBorder="1"/>
    <xf numFmtId="43" fontId="123" fillId="0" borderId="54" xfId="0" applyNumberFormat="1" applyFont="1" applyBorder="1"/>
    <xf numFmtId="0" fontId="123" fillId="0" borderId="55" xfId="0" applyFont="1" applyBorder="1" applyAlignment="1"/>
    <xf numFmtId="4" fontId="123" fillId="0" borderId="31" xfId="0" applyNumberFormat="1" applyFont="1" applyBorder="1"/>
    <xf numFmtId="1" fontId="123" fillId="0" borderId="32" xfId="0" applyNumberFormat="1" applyFont="1" applyBorder="1" applyAlignment="1"/>
    <xf numFmtId="0" fontId="132" fillId="35" borderId="31" xfId="0" applyFont="1" applyFill="1" applyBorder="1" applyAlignment="1">
      <alignment wrapText="1"/>
    </xf>
    <xf numFmtId="14" fontId="132" fillId="35" borderId="32" xfId="0" applyNumberFormat="1" applyFont="1" applyFill="1" applyBorder="1" applyAlignment="1">
      <alignment horizontal="right"/>
    </xf>
    <xf numFmtId="10" fontId="123" fillId="35" borderId="56" xfId="90" applyNumberFormat="1" applyFont="1" applyFill="1" applyBorder="1"/>
    <xf numFmtId="43" fontId="123" fillId="35" borderId="38" xfId="0" applyNumberFormat="1" applyFont="1" applyFill="1" applyBorder="1"/>
    <xf numFmtId="0" fontId="123" fillId="35" borderId="42" xfId="0" applyFont="1" applyFill="1" applyBorder="1"/>
    <xf numFmtId="43" fontId="123" fillId="0" borderId="37" xfId="0" applyNumberFormat="1" applyFont="1" applyBorder="1"/>
    <xf numFmtId="43" fontId="123" fillId="0" borderId="40" xfId="0" applyNumberFormat="1" applyFont="1" applyBorder="1"/>
    <xf numFmtId="4" fontId="123" fillId="0" borderId="40" xfId="0" applyNumberFormat="1" applyFont="1" applyBorder="1"/>
    <xf numFmtId="1" fontId="123" fillId="0" borderId="42" xfId="0" applyNumberFormat="1" applyFont="1" applyBorder="1" applyAlignment="1"/>
    <xf numFmtId="0" fontId="132" fillId="35" borderId="40" xfId="0" applyFont="1" applyFill="1" applyBorder="1" applyAlignment="1">
      <alignment wrapText="1"/>
    </xf>
    <xf numFmtId="0" fontId="132" fillId="35" borderId="42" xfId="0" applyFont="1" applyFill="1" applyBorder="1" applyAlignment="1">
      <alignment horizontal="right"/>
    </xf>
    <xf numFmtId="43" fontId="129" fillId="0" borderId="21" xfId="0" applyNumberFormat="1" applyFont="1" applyBorder="1"/>
    <xf numFmtId="4" fontId="131" fillId="0" borderId="21" xfId="0" applyNumberFormat="1" applyFont="1" applyBorder="1"/>
    <xf numFmtId="0" fontId="132" fillId="35" borderId="32" xfId="0" applyFont="1" applyFill="1" applyBorder="1" applyAlignment="1">
      <alignment horizontal="right"/>
    </xf>
    <xf numFmtId="43" fontId="122" fillId="0" borderId="23" xfId="0" applyNumberFormat="1" applyFont="1" applyBorder="1"/>
    <xf numFmtId="4" fontId="123" fillId="0" borderId="54" xfId="0" applyNumberFormat="1" applyFont="1" applyBorder="1"/>
    <xf numFmtId="43" fontId="123" fillId="35" borderId="14" xfId="0" applyNumberFormat="1" applyFont="1" applyFill="1" applyBorder="1"/>
    <xf numFmtId="0" fontId="123" fillId="35" borderId="57" xfId="0" applyFont="1" applyFill="1" applyBorder="1"/>
    <xf numFmtId="43" fontId="123" fillId="0" borderId="58" xfId="0" applyNumberFormat="1" applyFont="1" applyBorder="1"/>
    <xf numFmtId="0" fontId="123" fillId="0" borderId="14" xfId="0" applyFont="1" applyBorder="1" applyAlignment="1"/>
    <xf numFmtId="0" fontId="123" fillId="0" borderId="52" xfId="0" applyFont="1" applyBorder="1" applyAlignment="1"/>
    <xf numFmtId="0" fontId="123" fillId="34" borderId="14" xfId="0" applyNumberFormat="1" applyFont="1" applyFill="1" applyBorder="1" applyAlignment="1"/>
    <xf numFmtId="0" fontId="123" fillId="34" borderId="57" xfId="0" applyFont="1" applyFill="1" applyBorder="1" applyAlignment="1"/>
    <xf numFmtId="4" fontId="123" fillId="0" borderId="58" xfId="0" applyNumberFormat="1" applyFont="1" applyBorder="1"/>
    <xf numFmtId="1" fontId="123" fillId="0" borderId="57" xfId="0" applyNumberFormat="1" applyFont="1" applyBorder="1" applyAlignment="1"/>
    <xf numFmtId="0" fontId="123" fillId="0" borderId="57" xfId="0" applyFont="1" applyBorder="1" applyAlignment="1"/>
    <xf numFmtId="0" fontId="122" fillId="0" borderId="4" xfId="0" applyFont="1" applyBorder="1"/>
    <xf numFmtId="0" fontId="132" fillId="35" borderId="41" xfId="0" applyFont="1" applyFill="1" applyBorder="1" applyAlignment="1">
      <alignment wrapText="1"/>
    </xf>
    <xf numFmtId="0" fontId="132" fillId="35" borderId="57" xfId="0" applyFont="1" applyFill="1" applyBorder="1" applyAlignment="1">
      <alignment horizontal="right"/>
    </xf>
    <xf numFmtId="0" fontId="123" fillId="34" borderId="45" xfId="0" applyNumberFormat="1" applyFont="1" applyFill="1" applyBorder="1" applyAlignment="1"/>
    <xf numFmtId="0" fontId="123" fillId="34" borderId="46" xfId="0" applyFont="1" applyFill="1" applyBorder="1" applyAlignment="1"/>
    <xf numFmtId="4" fontId="123" fillId="0" borderId="37" xfId="0" applyNumberFormat="1" applyFont="1" applyBorder="1"/>
    <xf numFmtId="0" fontId="123" fillId="0" borderId="24" xfId="0" applyFont="1" applyBorder="1" applyAlignment="1"/>
    <xf numFmtId="0" fontId="123" fillId="0" borderId="25" xfId="0" applyFont="1" applyBorder="1" applyAlignment="1"/>
    <xf numFmtId="0" fontId="123" fillId="0" borderId="27" xfId="0" applyNumberFormat="1" applyFont="1" applyBorder="1" applyAlignment="1"/>
    <xf numFmtId="1" fontId="123" fillId="0" borderId="28" xfId="0" applyNumberFormat="1" applyFont="1" applyBorder="1" applyAlignment="1"/>
    <xf numFmtId="0" fontId="0" fillId="0" borderId="34" xfId="0" applyBorder="1"/>
    <xf numFmtId="0" fontId="0" fillId="0" borderId="35" xfId="0" applyFont="1" applyBorder="1" applyAlignment="1"/>
    <xf numFmtId="0" fontId="0" fillId="0" borderId="36" xfId="0" applyFont="1" applyBorder="1" applyAlignment="1"/>
    <xf numFmtId="43" fontId="123" fillId="0" borderId="59" xfId="0" applyNumberFormat="1" applyFont="1" applyBorder="1"/>
    <xf numFmtId="0" fontId="123" fillId="0" borderId="36" xfId="0" applyFont="1" applyBorder="1" applyAlignment="1"/>
    <xf numFmtId="4" fontId="132" fillId="0" borderId="54" xfId="0" applyNumberFormat="1" applyFont="1" applyBorder="1" applyAlignment="1">
      <alignment wrapText="1"/>
    </xf>
    <xf numFmtId="0" fontId="123" fillId="0" borderId="15" xfId="0" applyNumberFormat="1" applyFont="1" applyBorder="1" applyAlignment="1">
      <alignment wrapText="1"/>
    </xf>
    <xf numFmtId="1" fontId="123" fillId="0" borderId="32" xfId="0" applyNumberFormat="1" applyFont="1" applyBorder="1" applyAlignment="1">
      <alignment wrapText="1"/>
    </xf>
    <xf numFmtId="4" fontId="128" fillId="0" borderId="34" xfId="0" applyNumberFormat="1" applyFont="1" applyBorder="1"/>
    <xf numFmtId="0" fontId="128" fillId="0" borderId="35" xfId="0" applyFont="1" applyBorder="1" applyAlignment="1"/>
    <xf numFmtId="0" fontId="128" fillId="0" borderId="47" xfId="0" applyFont="1" applyBorder="1" applyAlignment="1"/>
    <xf numFmtId="0" fontId="132" fillId="35" borderId="31" xfId="0" applyFont="1" applyFill="1" applyBorder="1" applyAlignment="1">
      <alignment horizontal="left" vertical="center" wrapText="1"/>
    </xf>
    <xf numFmtId="10" fontId="123" fillId="35" borderId="41" xfId="90" applyNumberFormat="1" applyFont="1" applyFill="1" applyBorder="1"/>
    <xf numFmtId="43" fontId="132" fillId="0" borderId="58" xfId="0" applyNumberFormat="1" applyFont="1" applyBorder="1" applyAlignment="1">
      <alignment wrapText="1"/>
    </xf>
    <xf numFmtId="0" fontId="123" fillId="0" borderId="14" xfId="0" applyNumberFormat="1" applyFont="1" applyBorder="1" applyAlignment="1">
      <alignment wrapText="1"/>
    </xf>
    <xf numFmtId="0" fontId="123" fillId="0" borderId="57" xfId="0" applyFont="1" applyBorder="1" applyAlignment="1">
      <alignment wrapText="1"/>
    </xf>
    <xf numFmtId="4" fontId="132" fillId="0" borderId="58" xfId="0" applyNumberFormat="1" applyFont="1" applyBorder="1" applyAlignment="1">
      <alignment wrapText="1"/>
    </xf>
    <xf numFmtId="1" fontId="123" fillId="0" borderId="57" xfId="0" applyNumberFormat="1" applyFont="1" applyBorder="1" applyAlignment="1">
      <alignment wrapText="1"/>
    </xf>
    <xf numFmtId="4" fontId="128" fillId="34" borderId="41" xfId="0" applyNumberFormat="1" applyFont="1" applyFill="1" applyBorder="1"/>
    <xf numFmtId="0" fontId="132" fillId="35" borderId="41" xfId="0" applyFont="1" applyFill="1" applyBorder="1" applyAlignment="1">
      <alignment horizontal="left" vertical="center" wrapText="1"/>
    </xf>
    <xf numFmtId="43" fontId="126" fillId="0" borderId="40" xfId="0" applyNumberFormat="1" applyFont="1" applyBorder="1"/>
    <xf numFmtId="0" fontId="126" fillId="0" borderId="38" xfId="0" applyFont="1" applyBorder="1" applyAlignment="1"/>
    <xf numFmtId="0" fontId="126" fillId="0" borderId="39" xfId="0" applyFont="1" applyBorder="1" applyAlignment="1"/>
    <xf numFmtId="43" fontId="123" fillId="0" borderId="44" xfId="0" applyNumberFormat="1" applyFont="1" applyBorder="1"/>
    <xf numFmtId="0" fontId="123" fillId="0" borderId="45" xfId="0" applyFont="1" applyBorder="1" applyAlignment="1"/>
    <xf numFmtId="0" fontId="123" fillId="0" borderId="46" xfId="0" applyFont="1" applyBorder="1" applyAlignment="1"/>
    <xf numFmtId="43" fontId="0" fillId="0" borderId="60" xfId="0" applyNumberFormat="1" applyBorder="1"/>
    <xf numFmtId="0" fontId="0" fillId="0" borderId="45" xfId="0" applyNumberFormat="1" applyFont="1" applyBorder="1" applyAlignment="1"/>
    <xf numFmtId="0" fontId="0" fillId="0" borderId="46" xfId="0" applyFont="1" applyBorder="1" applyAlignment="1"/>
    <xf numFmtId="4" fontId="0" fillId="0" borderId="37" xfId="0" applyNumberFormat="1" applyBorder="1"/>
    <xf numFmtId="0" fontId="0" fillId="0" borderId="38" xfId="0" applyNumberFormat="1" applyFont="1" applyBorder="1" applyAlignment="1"/>
    <xf numFmtId="1" fontId="0" fillId="0" borderId="42" xfId="0" applyNumberFormat="1" applyFont="1" applyBorder="1" applyAlignment="1"/>
    <xf numFmtId="0" fontId="0" fillId="0" borderId="44" xfId="0" applyBorder="1"/>
    <xf numFmtId="0" fontId="0" fillId="0" borderId="45" xfId="0" applyFont="1" applyBorder="1" applyAlignment="1"/>
    <xf numFmtId="43" fontId="122" fillId="0" borderId="48" xfId="0" applyNumberFormat="1" applyFont="1" applyBorder="1"/>
    <xf numFmtId="0" fontId="123" fillId="0" borderId="49" xfId="0" applyFont="1" applyBorder="1" applyAlignment="1"/>
    <xf numFmtId="0" fontId="123" fillId="0" borderId="50" xfId="0" applyFont="1" applyBorder="1" applyAlignment="1"/>
    <xf numFmtId="4" fontId="131" fillId="0" borderId="48" xfId="0" applyNumberFormat="1" applyFont="1" applyBorder="1"/>
    <xf numFmtId="0" fontId="128" fillId="0" borderId="49" xfId="0" applyFont="1" applyBorder="1" applyAlignment="1"/>
    <xf numFmtId="0" fontId="128" fillId="0" borderId="50" xfId="0" applyFont="1" applyBorder="1" applyAlignment="1"/>
    <xf numFmtId="43" fontId="123" fillId="0" borderId="16" xfId="0" applyNumberFormat="1" applyFont="1" applyBorder="1"/>
    <xf numFmtId="0" fontId="123" fillId="0" borderId="61" xfId="0" applyFont="1" applyBorder="1" applyAlignment="1"/>
    <xf numFmtId="43" fontId="123" fillId="0" borderId="29" xfId="0" applyNumberFormat="1" applyFont="1" applyBorder="1"/>
    <xf numFmtId="0" fontId="123" fillId="0" borderId="0" xfId="0" applyFont="1" applyBorder="1" applyAlignment="1"/>
    <xf numFmtId="43" fontId="123" fillId="0" borderId="34" xfId="0" applyNumberFormat="1" applyFont="1" applyBorder="1"/>
    <xf numFmtId="0" fontId="123" fillId="0" borderId="47" xfId="0" applyFont="1" applyBorder="1" applyAlignment="1"/>
    <xf numFmtId="43" fontId="123" fillId="0" borderId="23" xfId="0" applyNumberFormat="1" applyFont="1" applyBorder="1"/>
    <xf numFmtId="0" fontId="123" fillId="0" borderId="62" xfId="0" applyFont="1" applyBorder="1" applyAlignment="1"/>
    <xf numFmtId="0" fontId="122" fillId="0" borderId="0" xfId="0" applyFont="1" applyBorder="1"/>
    <xf numFmtId="0" fontId="132" fillId="35" borderId="29" xfId="0" applyFont="1" applyFill="1" applyBorder="1" applyAlignment="1">
      <alignment wrapText="1"/>
    </xf>
    <xf numFmtId="0" fontId="132" fillId="35" borderId="28" xfId="0" applyFont="1" applyFill="1" applyBorder="1" applyAlignment="1">
      <alignment horizontal="right"/>
    </xf>
    <xf numFmtId="0" fontId="0" fillId="0" borderId="0" xfId="0" applyBorder="1"/>
    <xf numFmtId="0" fontId="133" fillId="0" borderId="0" xfId="0" applyFont="1" applyBorder="1" applyAlignment="1">
      <alignment wrapText="1"/>
    </xf>
    <xf numFmtId="43" fontId="123" fillId="0" borderId="58" xfId="0" applyNumberFormat="1" applyFont="1" applyBorder="1" applyAlignment="1">
      <alignment wrapText="1"/>
    </xf>
    <xf numFmtId="0" fontId="123" fillId="0" borderId="14" xfId="0" applyFont="1" applyBorder="1" applyAlignment="1">
      <alignment wrapText="1"/>
    </xf>
    <xf numFmtId="43" fontId="132" fillId="0" borderId="41" xfId="0" applyNumberFormat="1" applyFont="1" applyBorder="1" applyAlignment="1">
      <alignment wrapText="1"/>
    </xf>
    <xf numFmtId="43" fontId="134" fillId="0" borderId="41" xfId="0" applyNumberFormat="1" applyFont="1" applyBorder="1" applyAlignment="1">
      <alignment wrapText="1"/>
    </xf>
    <xf numFmtId="0" fontId="126" fillId="0" borderId="14" xfId="0" applyFont="1" applyBorder="1" applyAlignment="1">
      <alignment wrapText="1"/>
    </xf>
    <xf numFmtId="0" fontId="126" fillId="0" borderId="57" xfId="0" applyFont="1" applyBorder="1" applyAlignment="1">
      <alignment wrapText="1"/>
    </xf>
    <xf numFmtId="0" fontId="123" fillId="0" borderId="63" xfId="0" applyFont="1" applyBorder="1" applyAlignment="1">
      <alignment wrapText="1"/>
    </xf>
    <xf numFmtId="43" fontId="0" fillId="0" borderId="41" xfId="0" applyNumberFormat="1" applyBorder="1"/>
    <xf numFmtId="0" fontId="0" fillId="0" borderId="14" xfId="0" applyNumberFormat="1" applyFont="1" applyBorder="1" applyAlignment="1"/>
    <xf numFmtId="1" fontId="0" fillId="0" borderId="57" xfId="0" applyNumberFormat="1" applyFont="1" applyBorder="1" applyAlignment="1"/>
    <xf numFmtId="4" fontId="0" fillId="0" borderId="58" xfId="0" applyNumberFormat="1" applyBorder="1"/>
    <xf numFmtId="0" fontId="128" fillId="0" borderId="57" xfId="0" applyFont="1" applyBorder="1" applyAlignment="1"/>
    <xf numFmtId="0" fontId="130" fillId="0" borderId="4" xfId="0" applyFont="1" applyBorder="1" applyAlignment="1">
      <alignment wrapText="1"/>
    </xf>
    <xf numFmtId="0" fontId="132" fillId="35" borderId="57" xfId="0" applyFont="1" applyFill="1" applyBorder="1" applyAlignment="1">
      <alignment horizontal="right" wrapText="1"/>
    </xf>
    <xf numFmtId="0" fontId="123" fillId="0" borderId="54" xfId="0" applyFont="1" applyBorder="1" applyAlignment="1"/>
    <xf numFmtId="43" fontId="126" fillId="0" borderId="31" xfId="0" applyNumberFormat="1" applyFont="1" applyBorder="1"/>
    <xf numFmtId="0" fontId="126" fillId="0" borderId="54" xfId="0" applyFont="1" applyBorder="1" applyAlignment="1"/>
    <xf numFmtId="0" fontId="126" fillId="0" borderId="55" xfId="0" applyFont="1" applyBorder="1" applyAlignment="1"/>
    <xf numFmtId="0" fontId="132" fillId="35" borderId="55" xfId="0" applyFont="1" applyFill="1" applyBorder="1" applyAlignment="1">
      <alignment horizontal="right"/>
    </xf>
    <xf numFmtId="0" fontId="123" fillId="0" borderId="58" xfId="0" applyFont="1" applyBorder="1" applyAlignment="1"/>
    <xf numFmtId="0" fontId="126" fillId="0" borderId="58" xfId="0" applyFont="1" applyBorder="1" applyAlignment="1"/>
    <xf numFmtId="0" fontId="126" fillId="0" borderId="52" xfId="0" applyFont="1" applyBorder="1" applyAlignment="1"/>
    <xf numFmtId="43" fontId="123" fillId="0" borderId="0" xfId="0" applyNumberFormat="1" applyFont="1" applyBorder="1"/>
    <xf numFmtId="0" fontId="123" fillId="34" borderId="38" xfId="0" applyNumberFormat="1" applyFont="1" applyFill="1" applyBorder="1" applyAlignment="1"/>
    <xf numFmtId="9" fontId="123" fillId="35" borderId="56" xfId="90" applyFont="1" applyFill="1" applyBorder="1"/>
    <xf numFmtId="0" fontId="123" fillId="34" borderId="64" xfId="0" applyFont="1" applyFill="1" applyBorder="1" applyAlignment="1"/>
    <xf numFmtId="0" fontId="123" fillId="34" borderId="45" xfId="0" applyFont="1" applyFill="1" applyBorder="1" applyAlignment="1"/>
    <xf numFmtId="9" fontId="122" fillId="35" borderId="17" xfId="90" applyFont="1" applyFill="1" applyBorder="1"/>
    <xf numFmtId="9" fontId="123" fillId="35" borderId="53" xfId="90" applyFont="1" applyFill="1" applyBorder="1"/>
    <xf numFmtId="0" fontId="123" fillId="0" borderId="35" xfId="0" applyFont="1" applyBorder="1" applyAlignment="1"/>
    <xf numFmtId="0" fontId="123" fillId="34" borderId="14" xfId="0" applyFont="1" applyFill="1" applyBorder="1" applyAlignment="1"/>
    <xf numFmtId="0" fontId="123" fillId="34" borderId="4" xfId="0" applyFont="1" applyFill="1" applyBorder="1" applyAlignment="1"/>
    <xf numFmtId="0" fontId="123" fillId="34" borderId="52" xfId="0" applyFont="1" applyFill="1" applyBorder="1" applyAlignment="1"/>
    <xf numFmtId="0" fontId="0" fillId="0" borderId="57" xfId="0" applyFont="1" applyBorder="1" applyAlignment="1"/>
    <xf numFmtId="0" fontId="123" fillId="0" borderId="63" xfId="0" applyFont="1" applyBorder="1" applyAlignment="1"/>
    <xf numFmtId="0" fontId="123" fillId="0" borderId="64" xfId="0" applyFont="1" applyBorder="1" applyAlignment="1"/>
    <xf numFmtId="4" fontId="123" fillId="0" borderId="41" xfId="0" applyNumberFormat="1" applyFont="1" applyBorder="1"/>
    <xf numFmtId="9" fontId="124" fillId="35" borderId="17" xfId="90" applyFont="1" applyFill="1" applyBorder="1"/>
    <xf numFmtId="43" fontId="125" fillId="0" borderId="21" xfId="0" applyNumberFormat="1" applyFont="1" applyBorder="1"/>
    <xf numFmtId="4" fontId="124" fillId="0" borderId="21" xfId="0" applyNumberFormat="1" applyFont="1" applyBorder="1"/>
    <xf numFmtId="43" fontId="125" fillId="0" borderId="44" xfId="0" applyNumberFormat="1" applyFont="1" applyBorder="1"/>
    <xf numFmtId="0" fontId="126" fillId="0" borderId="45" xfId="0" applyFont="1" applyBorder="1" applyAlignment="1"/>
    <xf numFmtId="0" fontId="126" fillId="0" borderId="65" xfId="0" applyFont="1" applyBorder="1" applyAlignment="1"/>
    <xf numFmtId="43" fontId="124" fillId="0" borderId="23" xfId="0" applyNumberFormat="1" applyFont="1" applyBorder="1"/>
    <xf numFmtId="0" fontId="123" fillId="0" borderId="66" xfId="0" applyFont="1" applyBorder="1" applyAlignment="1"/>
    <xf numFmtId="1" fontId="123" fillId="34" borderId="19" xfId="0" applyNumberFormat="1" applyFont="1" applyFill="1" applyBorder="1" applyAlignment="1"/>
    <xf numFmtId="4" fontId="127" fillId="0" borderId="44" xfId="0" applyNumberFormat="1" applyFont="1" applyBorder="1"/>
    <xf numFmtId="0" fontId="128" fillId="0" borderId="45" xfId="0" applyFont="1" applyBorder="1" applyAlignment="1"/>
    <xf numFmtId="0" fontId="128" fillId="0" borderId="64" xfId="0" applyFont="1" applyBorder="1" applyAlignment="1"/>
    <xf numFmtId="0" fontId="122" fillId="0" borderId="26" xfId="0" applyFont="1" applyBorder="1" applyAlignment="1">
      <alignment horizontal="left"/>
    </xf>
    <xf numFmtId="0" fontId="130" fillId="35" borderId="19" xfId="0" applyFont="1" applyFill="1" applyBorder="1"/>
    <xf numFmtId="0" fontId="0" fillId="0" borderId="0" xfId="0" applyAlignment="1">
      <alignment horizontal="center" vertical="center" wrapText="1"/>
    </xf>
    <xf numFmtId="0" fontId="130" fillId="36" borderId="34" xfId="0" applyFont="1" applyFill="1" applyBorder="1" applyAlignment="1">
      <alignment horizontal="center" vertical="center" wrapText="1"/>
    </xf>
    <xf numFmtId="0" fontId="130" fillId="36" borderId="35" xfId="0" applyFont="1" applyFill="1" applyBorder="1" applyAlignment="1">
      <alignment horizontal="center" vertical="center" wrapText="1"/>
    </xf>
    <xf numFmtId="0" fontId="130" fillId="36" borderId="36" xfId="0" applyFont="1" applyFill="1" applyBorder="1" applyAlignment="1">
      <alignment horizontal="center" vertical="center" wrapText="1"/>
    </xf>
    <xf numFmtId="0" fontId="122" fillId="36" borderId="31" xfId="0" applyFont="1" applyFill="1" applyBorder="1" applyAlignment="1">
      <alignment horizontal="center" vertical="center" wrapText="1"/>
    </xf>
    <xf numFmtId="0" fontId="122" fillId="36" borderId="15" xfId="0" applyFont="1" applyFill="1" applyBorder="1" applyAlignment="1">
      <alignment horizontal="center" vertical="center" wrapText="1"/>
    </xf>
    <xf numFmtId="0" fontId="122" fillId="36" borderId="0" xfId="0" applyFont="1" applyFill="1" applyBorder="1" applyAlignment="1">
      <alignment horizontal="center" vertical="center" wrapText="1"/>
    </xf>
    <xf numFmtId="0" fontId="122" fillId="36" borderId="67" xfId="0" applyFont="1" applyFill="1" applyBorder="1" applyAlignment="1">
      <alignment horizontal="center" vertical="center" wrapText="1"/>
    </xf>
    <xf numFmtId="0" fontId="130" fillId="36" borderId="65" xfId="0" applyFont="1" applyFill="1" applyBorder="1"/>
    <xf numFmtId="0" fontId="135" fillId="0" borderId="0" xfId="0" applyFont="1" applyAlignment="1"/>
    <xf numFmtId="0" fontId="68" fillId="0" borderId="0" xfId="78"/>
    <xf numFmtId="3" fontId="0" fillId="0" borderId="14" xfId="0" applyNumberFormat="1" applyFont="1" applyBorder="1"/>
    <xf numFmtId="49" fontId="5" fillId="0" borderId="14" xfId="81" applyNumberFormat="1" applyFont="1" applyBorder="1"/>
    <xf numFmtId="0" fontId="79" fillId="0" borderId="14" xfId="81" applyFont="1" applyBorder="1" applyAlignment="1">
      <alignment horizontal="center"/>
    </xf>
    <xf numFmtId="0" fontId="80" fillId="0" borderId="14" xfId="81" applyFont="1" applyBorder="1" applyAlignment="1">
      <alignment horizontal="center" vertical="center" wrapText="1"/>
    </xf>
    <xf numFmtId="0" fontId="68" fillId="0" borderId="14" xfId="78" applyBorder="1"/>
    <xf numFmtId="3" fontId="0" fillId="0" borderId="0" xfId="0" applyNumberFormat="1" applyFont="1" applyBorder="1"/>
    <xf numFmtId="0" fontId="0" fillId="0" borderId="0" xfId="0" applyBorder="1" applyAlignment="1">
      <alignment vertical="center" wrapText="1"/>
    </xf>
    <xf numFmtId="0" fontId="121" fillId="0" borderId="14" xfId="0" applyFont="1" applyBorder="1" applyAlignment="1">
      <alignment horizontal="center" vertical="center" wrapText="1"/>
    </xf>
    <xf numFmtId="0" fontId="136" fillId="0" borderId="68" xfId="0" applyFont="1" applyBorder="1" applyAlignment="1">
      <alignment horizontal="centerContinuous" vertical="center" wrapText="1"/>
    </xf>
    <xf numFmtId="0" fontId="80" fillId="0" borderId="15" xfId="81" applyFont="1" applyBorder="1" applyAlignment="1">
      <alignment horizontal="center" vertical="center" wrapText="1"/>
    </xf>
    <xf numFmtId="0" fontId="121" fillId="0" borderId="0" xfId="0" applyFont="1"/>
    <xf numFmtId="9" fontId="23" fillId="0" borderId="0" xfId="78" applyNumberFormat="1" applyFont="1"/>
    <xf numFmtId="3" fontId="5" fillId="37" borderId="0" xfId="0" applyNumberFormat="1" applyFont="1" applyFill="1"/>
    <xf numFmtId="9" fontId="68" fillId="0" borderId="0" xfId="78" applyNumberFormat="1"/>
    <xf numFmtId="0" fontId="5" fillId="0" borderId="0" xfId="0" applyFont="1" applyBorder="1"/>
    <xf numFmtId="9" fontId="68" fillId="0" borderId="0" xfId="90" applyFont="1"/>
    <xf numFmtId="3" fontId="5" fillId="0" borderId="0" xfId="0" applyNumberFormat="1" applyFont="1"/>
    <xf numFmtId="0" fontId="0" fillId="0" borderId="14" xfId="0" applyFont="1" applyBorder="1"/>
    <xf numFmtId="0" fontId="137" fillId="38" borderId="14" xfId="0" applyFont="1" applyFill="1" applyBorder="1"/>
    <xf numFmtId="0" fontId="0" fillId="0" borderId="0" xfId="0" applyFont="1" applyBorder="1"/>
    <xf numFmtId="3" fontId="5" fillId="0" borderId="0" xfId="0" applyNumberFormat="1" applyFont="1" applyBorder="1"/>
    <xf numFmtId="4" fontId="136" fillId="0" borderId="0" xfId="0" applyNumberFormat="1" applyFont="1" applyBorder="1"/>
    <xf numFmtId="0" fontId="136" fillId="0" borderId="0" xfId="0" applyFont="1" applyBorder="1"/>
    <xf numFmtId="187" fontId="0" fillId="0" borderId="14" xfId="0" applyNumberFormat="1" applyFont="1" applyBorder="1"/>
    <xf numFmtId="0" fontId="0" fillId="39" borderId="14" xfId="0" applyFont="1" applyFill="1" applyBorder="1"/>
    <xf numFmtId="0" fontId="137" fillId="40" borderId="14" xfId="0" applyFont="1" applyFill="1" applyBorder="1"/>
    <xf numFmtId="0" fontId="0" fillId="0" borderId="0" xfId="0" applyFill="1" applyBorder="1"/>
    <xf numFmtId="3" fontId="138" fillId="0" borderId="0" xfId="0" applyNumberFormat="1" applyFont="1" applyFill="1" applyBorder="1" applyAlignment="1">
      <alignment horizontal="right"/>
    </xf>
    <xf numFmtId="0" fontId="139" fillId="0" borderId="0" xfId="0" applyFont="1" applyFill="1" applyBorder="1" applyAlignment="1">
      <alignment horizontal="right"/>
    </xf>
    <xf numFmtId="3" fontId="0" fillId="0" borderId="89" xfId="0" applyNumberFormat="1" applyFont="1" applyBorder="1"/>
    <xf numFmtId="0" fontId="0" fillId="0" borderId="89" xfId="0" applyFont="1" applyBorder="1"/>
    <xf numFmtId="9" fontId="136" fillId="0" borderId="0" xfId="90" applyFont="1" applyBorder="1"/>
    <xf numFmtId="3" fontId="136" fillId="0" borderId="0" xfId="0" applyNumberFormat="1" applyFont="1" applyBorder="1"/>
    <xf numFmtId="3" fontId="0" fillId="0" borderId="0" xfId="0" applyNumberFormat="1"/>
    <xf numFmtId="0" fontId="0" fillId="0" borderId="14" xfId="0" applyFont="1" applyBorder="1" applyAlignment="1">
      <alignment wrapText="1"/>
    </xf>
    <xf numFmtId="0" fontId="5" fillId="0" borderId="0" xfId="0" applyFont="1"/>
    <xf numFmtId="0" fontId="137" fillId="41" borderId="14" xfId="0" applyFont="1" applyFill="1" applyBorder="1"/>
    <xf numFmtId="9" fontId="68" fillId="39" borderId="0" xfId="90" applyFont="1" applyFill="1"/>
    <xf numFmtId="3" fontId="2" fillId="0" borderId="14" xfId="81" applyNumberFormat="1" applyFont="1" applyBorder="1"/>
    <xf numFmtId="3" fontId="2" fillId="0" borderId="14" xfId="81" applyNumberFormat="1" applyFont="1" applyFill="1" applyBorder="1"/>
    <xf numFmtId="0" fontId="82" fillId="0" borderId="0" xfId="78" applyFont="1"/>
    <xf numFmtId="3" fontId="83" fillId="0" borderId="0" xfId="81" applyNumberFormat="1" applyFont="1" applyBorder="1"/>
    <xf numFmtId="49" fontId="2" fillId="0" borderId="0" xfId="81" applyNumberFormat="1" applyFont="1" applyBorder="1"/>
    <xf numFmtId="0" fontId="79" fillId="0" borderId="14" xfId="81" applyFont="1" applyFill="1" applyBorder="1" applyAlignment="1">
      <alignment horizontal="center"/>
    </xf>
    <xf numFmtId="3" fontId="2" fillId="0" borderId="0" xfId="81" applyNumberFormat="1" applyFont="1" applyBorder="1"/>
    <xf numFmtId="49" fontId="5" fillId="0" borderId="0" xfId="81" applyNumberFormat="1" applyFont="1" applyBorder="1"/>
    <xf numFmtId="186" fontId="140" fillId="0" borderId="0" xfId="35" applyFont="1" applyFill="1" applyAlignment="1" applyProtection="1"/>
    <xf numFmtId="188" fontId="141" fillId="0" borderId="90" xfId="35" applyNumberFormat="1" applyFont="1" applyFill="1" applyBorder="1" applyAlignment="1" applyProtection="1"/>
    <xf numFmtId="188" fontId="141" fillId="0" borderId="91" xfId="35" applyNumberFormat="1" applyFont="1" applyFill="1" applyBorder="1" applyAlignment="1" applyProtection="1"/>
    <xf numFmtId="188" fontId="141" fillId="0" borderId="92" xfId="35" applyNumberFormat="1" applyFont="1" applyFill="1" applyBorder="1" applyAlignment="1" applyProtection="1"/>
    <xf numFmtId="186" fontId="141" fillId="0" borderId="91" xfId="35" applyFont="1" applyFill="1" applyBorder="1" applyAlignment="1" applyProtection="1"/>
    <xf numFmtId="188" fontId="141" fillId="0" borderId="93" xfId="35" applyNumberFormat="1" applyFont="1" applyFill="1" applyBorder="1" applyAlignment="1" applyProtection="1"/>
    <xf numFmtId="188" fontId="141" fillId="0" borderId="94" xfId="35" applyNumberFormat="1" applyFont="1" applyFill="1" applyBorder="1" applyAlignment="1" applyProtection="1"/>
    <xf numFmtId="188" fontId="141" fillId="0" borderId="0" xfId="35" applyNumberFormat="1" applyFont="1" applyFill="1" applyAlignment="1" applyProtection="1"/>
    <xf numFmtId="186" fontId="141" fillId="0" borderId="94" xfId="35" applyFont="1" applyFill="1" applyBorder="1" applyAlignment="1" applyProtection="1"/>
    <xf numFmtId="188" fontId="141" fillId="37" borderId="93" xfId="35" applyNumberFormat="1" applyFont="1" applyFill="1" applyBorder="1" applyAlignment="1" applyProtection="1"/>
    <xf numFmtId="188" fontId="141" fillId="37" borderId="94" xfId="35" applyNumberFormat="1" applyFont="1" applyFill="1" applyBorder="1" applyAlignment="1" applyProtection="1"/>
    <xf numFmtId="188" fontId="141" fillId="37" borderId="0" xfId="35" applyNumberFormat="1" applyFont="1" applyFill="1" applyAlignment="1" applyProtection="1"/>
    <xf numFmtId="186" fontId="141" fillId="37" borderId="94" xfId="35" applyFont="1" applyFill="1" applyBorder="1" applyAlignment="1" applyProtection="1"/>
    <xf numFmtId="186" fontId="140" fillId="0" borderId="0" xfId="35" applyFont="1" applyFill="1" applyAlignment="1" applyProtection="1">
      <alignment wrapText="1"/>
    </xf>
    <xf numFmtId="186" fontId="142" fillId="0" borderId="90" xfId="35" applyFont="1" applyFill="1" applyBorder="1" applyAlignment="1" applyProtection="1">
      <alignment wrapText="1"/>
    </xf>
    <xf numFmtId="186" fontId="142" fillId="0" borderId="91" xfId="35" applyFont="1" applyFill="1" applyBorder="1" applyAlignment="1" applyProtection="1">
      <alignment wrapText="1"/>
    </xf>
    <xf numFmtId="186" fontId="142" fillId="0" borderId="92" xfId="35" applyFont="1" applyFill="1" applyBorder="1" applyAlignment="1" applyProtection="1">
      <alignment wrapText="1"/>
    </xf>
    <xf numFmtId="186" fontId="142" fillId="0" borderId="95" xfId="35" applyFont="1" applyFill="1" applyBorder="1" applyAlignment="1" applyProtection="1">
      <alignment wrapText="1"/>
    </xf>
    <xf numFmtId="186" fontId="142" fillId="0" borderId="96" xfId="35" applyFont="1" applyFill="1" applyBorder="1" applyAlignment="1" applyProtection="1">
      <alignment wrapText="1"/>
    </xf>
    <xf numFmtId="186" fontId="142" fillId="0" borderId="97" xfId="35" applyFont="1" applyFill="1" applyBorder="1" applyAlignment="1" applyProtection="1">
      <alignment wrapText="1"/>
    </xf>
    <xf numFmtId="186" fontId="142" fillId="0" borderId="98" xfId="35" applyFont="1" applyFill="1" applyBorder="1" applyAlignment="1" applyProtection="1">
      <alignment wrapText="1"/>
    </xf>
    <xf numFmtId="186" fontId="143" fillId="0" borderId="0" xfId="35" applyFont="1" applyFill="1" applyAlignment="1" applyProtection="1"/>
    <xf numFmtId="186" fontId="142" fillId="0" borderId="0" xfId="35" applyFont="1" applyFill="1" applyAlignment="1" applyProtection="1"/>
    <xf numFmtId="186" fontId="142" fillId="0" borderId="0" xfId="35" applyFont="1" applyFill="1" applyAlignment="1" applyProtection="1">
      <alignment horizontal="left" indent="1"/>
    </xf>
    <xf numFmtId="186" fontId="144" fillId="0" borderId="0" xfId="35" applyFont="1" applyFill="1" applyAlignment="1" applyProtection="1"/>
    <xf numFmtId="186" fontId="145" fillId="0" borderId="0" xfId="35" applyFont="1" applyFill="1" applyAlignment="1" applyProtection="1">
      <alignment horizontal="left" indent="1"/>
    </xf>
    <xf numFmtId="1" fontId="5" fillId="37" borderId="0" xfId="0" applyNumberFormat="1" applyFont="1" applyFill="1"/>
    <xf numFmtId="1" fontId="0" fillId="0" borderId="0" xfId="0" applyNumberFormat="1"/>
    <xf numFmtId="9" fontId="0" fillId="0" borderId="0" xfId="90" applyFont="1"/>
    <xf numFmtId="183" fontId="0" fillId="0" borderId="0" xfId="0" applyNumberFormat="1"/>
    <xf numFmtId="186" fontId="141" fillId="0" borderId="0" xfId="35" applyFont="1" applyFill="1" applyAlignment="1" applyProtection="1"/>
    <xf numFmtId="186" fontId="141" fillId="0" borderId="90" xfId="35" applyFont="1" applyFill="1" applyBorder="1" applyAlignment="1" applyProtection="1"/>
    <xf numFmtId="186" fontId="141" fillId="0" borderId="92" xfId="35" applyFont="1" applyFill="1" applyBorder="1" applyAlignment="1" applyProtection="1"/>
    <xf numFmtId="186" fontId="141" fillId="0" borderId="93" xfId="35" applyFont="1" applyFill="1" applyBorder="1" applyAlignment="1" applyProtection="1"/>
    <xf numFmtId="186" fontId="141" fillId="0" borderId="95" xfId="35" applyFont="1" applyFill="1" applyBorder="1" applyAlignment="1" applyProtection="1"/>
    <xf numFmtId="186" fontId="141" fillId="0" borderId="97" xfId="35" applyFont="1" applyFill="1" applyBorder="1" applyAlignment="1" applyProtection="1"/>
    <xf numFmtId="186" fontId="141" fillId="0" borderId="96" xfId="35" applyFont="1" applyFill="1" applyBorder="1" applyAlignment="1" applyProtection="1"/>
    <xf numFmtId="186" fontId="139" fillId="0" borderId="0" xfId="35" applyFont="1" applyFill="1" applyAlignment="1" applyProtection="1"/>
    <xf numFmtId="0" fontId="84" fillId="0" borderId="0" xfId="0" applyFont="1"/>
    <xf numFmtId="1" fontId="84" fillId="30" borderId="14" xfId="0" applyNumberFormat="1" applyFont="1" applyFill="1" applyBorder="1"/>
    <xf numFmtId="0" fontId="84" fillId="30" borderId="14" xfId="0" applyFont="1" applyFill="1" applyBorder="1"/>
    <xf numFmtId="1" fontId="87" fillId="30" borderId="14" xfId="0" applyNumberFormat="1" applyFont="1" applyFill="1" applyBorder="1"/>
    <xf numFmtId="0" fontId="84" fillId="0" borderId="14" xfId="0" applyFont="1" applyBorder="1"/>
    <xf numFmtId="1" fontId="84" fillId="0" borderId="14" xfId="0" applyNumberFormat="1" applyFont="1" applyBorder="1"/>
    <xf numFmtId="1" fontId="87" fillId="0" borderId="14" xfId="0" applyNumberFormat="1" applyFont="1" applyBorder="1"/>
    <xf numFmtId="1" fontId="87" fillId="0" borderId="14" xfId="0" applyNumberFormat="1" applyFont="1" applyFill="1" applyBorder="1"/>
    <xf numFmtId="1" fontId="84" fillId="0" borderId="14" xfId="0" applyNumberFormat="1" applyFont="1" applyFill="1" applyBorder="1"/>
    <xf numFmtId="0" fontId="84" fillId="0" borderId="14" xfId="0" applyFont="1" applyFill="1" applyBorder="1"/>
    <xf numFmtId="0" fontId="85" fillId="0" borderId="14" xfId="0" applyFont="1" applyBorder="1" applyAlignment="1">
      <alignment horizontal="center"/>
    </xf>
    <xf numFmtId="0" fontId="85" fillId="0" borderId="0" xfId="0" applyFont="1"/>
    <xf numFmtId="181" fontId="5" fillId="0" borderId="0" xfId="90" applyNumberFormat="1" applyFont="1" applyFill="1" applyBorder="1"/>
    <xf numFmtId="1" fontId="5" fillId="0" borderId="0" xfId="0" applyNumberFormat="1" applyFont="1"/>
    <xf numFmtId="2" fontId="5" fillId="0" borderId="14" xfId="0" applyNumberFormat="1" applyFont="1" applyBorder="1"/>
    <xf numFmtId="1" fontId="5" fillId="0" borderId="14" xfId="0" applyNumberFormat="1" applyFont="1" applyBorder="1"/>
    <xf numFmtId="0" fontId="0" fillId="0" borderId="14" xfId="0" applyBorder="1" applyAlignment="1">
      <alignment vertical="top" wrapText="1"/>
    </xf>
    <xf numFmtId="0" fontId="0" fillId="0" borderId="14" xfId="0" applyBorder="1" applyAlignment="1">
      <alignment vertical="top"/>
    </xf>
    <xf numFmtId="0" fontId="0" fillId="34" borderId="14" xfId="0" applyFill="1" applyBorder="1"/>
    <xf numFmtId="2" fontId="0" fillId="0" borderId="14" xfId="0" applyNumberFormat="1" applyBorder="1"/>
    <xf numFmtId="0" fontId="2" fillId="0" borderId="14" xfId="0" applyFont="1" applyBorder="1"/>
    <xf numFmtId="0" fontId="0" fillId="32" borderId="14" xfId="0" applyFill="1" applyBorder="1"/>
    <xf numFmtId="0" fontId="2" fillId="32" borderId="14" xfId="0" applyFont="1" applyFill="1" applyBorder="1"/>
    <xf numFmtId="10" fontId="5" fillId="37" borderId="0" xfId="0" applyNumberFormat="1" applyFont="1" applyFill="1"/>
    <xf numFmtId="0" fontId="0" fillId="0" borderId="0" xfId="0" applyAlignment="1">
      <alignment wrapText="1"/>
    </xf>
    <xf numFmtId="0" fontId="2" fillId="0" borderId="0" xfId="0" applyFont="1" applyAlignment="1">
      <alignment wrapText="1"/>
    </xf>
    <xf numFmtId="0" fontId="3" fillId="0" borderId="0" xfId="0" applyFont="1" applyAlignment="1">
      <alignment wrapText="1"/>
    </xf>
    <xf numFmtId="2" fontId="5" fillId="37" borderId="0" xfId="0" applyNumberFormat="1" applyFont="1" applyFill="1"/>
    <xf numFmtId="0" fontId="88" fillId="0" borderId="0" xfId="0" applyFont="1" applyAlignment="1">
      <alignment horizontal="left" indent="2"/>
    </xf>
    <xf numFmtId="0" fontId="146" fillId="0" borderId="69" xfId="0" applyFont="1" applyBorder="1" applyAlignment="1">
      <alignment horizontal="right" vertical="top" wrapText="1"/>
    </xf>
    <xf numFmtId="0" fontId="146" fillId="0" borderId="69" xfId="0" applyFont="1" applyBorder="1" applyAlignment="1">
      <alignment vertical="top" wrapText="1"/>
    </xf>
    <xf numFmtId="0" fontId="146" fillId="0" borderId="70" xfId="0" applyFont="1" applyBorder="1" applyAlignment="1">
      <alignment horizontal="right" vertical="top" wrapText="1"/>
    </xf>
    <xf numFmtId="184" fontId="0" fillId="0" borderId="0" xfId="0" applyNumberFormat="1"/>
    <xf numFmtId="0" fontId="146" fillId="37" borderId="69" xfId="0" applyFont="1" applyFill="1" applyBorder="1" applyAlignment="1">
      <alignment horizontal="right" vertical="top" wrapText="1"/>
    </xf>
    <xf numFmtId="0" fontId="147" fillId="0" borderId="69" xfId="0" applyFont="1" applyBorder="1" applyAlignment="1">
      <alignment horizontal="right" vertical="top" wrapText="1"/>
    </xf>
    <xf numFmtId="0" fontId="147" fillId="0" borderId="69" xfId="0" applyFont="1" applyBorder="1" applyAlignment="1">
      <alignment vertical="top" wrapText="1"/>
    </xf>
    <xf numFmtId="0" fontId="147" fillId="0" borderId="70" xfId="0" applyFont="1" applyBorder="1" applyAlignment="1">
      <alignment horizontal="right" vertical="top" wrapText="1"/>
    </xf>
    <xf numFmtId="1" fontId="146" fillId="37" borderId="69" xfId="0" applyNumberFormat="1" applyFont="1" applyFill="1" applyBorder="1" applyAlignment="1">
      <alignment horizontal="right" vertical="top" wrapText="1"/>
    </xf>
    <xf numFmtId="2" fontId="146" fillId="37" borderId="69" xfId="0" applyNumberFormat="1" applyFont="1" applyFill="1" applyBorder="1" applyAlignment="1">
      <alignment horizontal="right" vertical="top" wrapText="1"/>
    </xf>
    <xf numFmtId="0" fontId="68" fillId="0" borderId="69" xfId="0" applyFont="1" applyBorder="1" applyAlignment="1">
      <alignment vertical="top" wrapText="1"/>
    </xf>
    <xf numFmtId="0" fontId="148" fillId="0" borderId="17" xfId="0" applyFont="1" applyBorder="1" applyAlignment="1">
      <alignment horizontal="center" vertical="top" wrapText="1"/>
    </xf>
    <xf numFmtId="0" fontId="148" fillId="0" borderId="17" xfId="0" applyFont="1" applyBorder="1" applyAlignment="1">
      <alignment vertical="top" wrapText="1"/>
    </xf>
    <xf numFmtId="0" fontId="146" fillId="0" borderId="71" xfId="0" applyFont="1" applyBorder="1" applyAlignment="1">
      <alignment horizontal="right" vertical="top" wrapText="1"/>
    </xf>
    <xf numFmtId="3" fontId="89" fillId="0" borderId="0" xfId="0" applyNumberFormat="1" applyFont="1" applyFill="1" applyBorder="1"/>
    <xf numFmtId="3" fontId="0" fillId="0" borderId="41" xfId="0" applyNumberFormat="1" applyFill="1" applyBorder="1"/>
    <xf numFmtId="3" fontId="0" fillId="0" borderId="41" xfId="0" applyNumberFormat="1" applyBorder="1"/>
    <xf numFmtId="3" fontId="0" fillId="0" borderId="57" xfId="0" applyNumberFormat="1" applyBorder="1"/>
    <xf numFmtId="0" fontId="0" fillId="0" borderId="52" xfId="0" applyBorder="1"/>
    <xf numFmtId="3" fontId="0" fillId="0" borderId="40" xfId="0" applyNumberFormat="1" applyFill="1" applyBorder="1"/>
    <xf numFmtId="3" fontId="0" fillId="0" borderId="40" xfId="0" applyNumberFormat="1" applyBorder="1"/>
    <xf numFmtId="3" fontId="0" fillId="0" borderId="42" xfId="0" applyNumberFormat="1" applyBorder="1"/>
    <xf numFmtId="0" fontId="0" fillId="0" borderId="39" xfId="0" applyBorder="1"/>
    <xf numFmtId="9" fontId="149" fillId="0" borderId="0" xfId="90" applyFont="1"/>
    <xf numFmtId="3" fontId="0" fillId="0" borderId="14" xfId="0" applyNumberFormat="1" applyBorder="1"/>
    <xf numFmtId="0" fontId="0" fillId="0" borderId="61" xfId="0" applyFill="1" applyBorder="1"/>
    <xf numFmtId="0" fontId="0" fillId="0" borderId="61" xfId="0" applyFill="1" applyBorder="1" applyAlignment="1">
      <alignment horizontal="right"/>
    </xf>
    <xf numFmtId="3" fontId="90" fillId="0" borderId="0" xfId="0" applyNumberFormat="1" applyFont="1" applyAlignment="1">
      <alignment horizontal="center" vertical="center"/>
    </xf>
    <xf numFmtId="3" fontId="0" fillId="0" borderId="57" xfId="0" applyNumberFormat="1" applyFill="1" applyBorder="1"/>
    <xf numFmtId="0" fontId="0" fillId="0" borderId="52" xfId="0" applyFill="1" applyBorder="1"/>
    <xf numFmtId="3" fontId="150" fillId="0" borderId="14" xfId="0" applyNumberFormat="1" applyFont="1" applyBorder="1"/>
    <xf numFmtId="3" fontId="151" fillId="0" borderId="0" xfId="0" applyNumberFormat="1" applyFont="1" applyFill="1" applyBorder="1"/>
    <xf numFmtId="3" fontId="150" fillId="0" borderId="41" xfId="0" applyNumberFormat="1" applyFont="1" applyFill="1" applyBorder="1"/>
    <xf numFmtId="3" fontId="150" fillId="0" borderId="41" xfId="0" applyNumberFormat="1" applyFont="1" applyBorder="1"/>
    <xf numFmtId="3" fontId="150" fillId="0" borderId="57" xfId="0" applyNumberFormat="1" applyFont="1" applyBorder="1"/>
    <xf numFmtId="0" fontId="150" fillId="0" borderId="52" xfId="0" applyFont="1" applyBorder="1"/>
    <xf numFmtId="3" fontId="152" fillId="0" borderId="14" xfId="0" applyNumberFormat="1" applyFont="1" applyBorder="1"/>
    <xf numFmtId="3" fontId="153" fillId="0" borderId="0" xfId="0" applyNumberFormat="1" applyFont="1" applyFill="1" applyBorder="1"/>
    <xf numFmtId="3" fontId="152" fillId="0" borderId="41" xfId="0" applyNumberFormat="1" applyFont="1" applyFill="1" applyBorder="1"/>
    <xf numFmtId="3" fontId="152" fillId="0" borderId="41" xfId="0" applyNumberFormat="1" applyFont="1" applyBorder="1"/>
    <xf numFmtId="3" fontId="152" fillId="0" borderId="57" xfId="0" applyNumberFormat="1" applyFont="1" applyBorder="1"/>
    <xf numFmtId="0" fontId="152" fillId="0" borderId="52" xfId="0" applyFont="1" applyBorder="1"/>
    <xf numFmtId="3" fontId="152" fillId="0" borderId="40" xfId="0" applyNumberFormat="1" applyFont="1" applyFill="1" applyBorder="1"/>
    <xf numFmtId="3" fontId="152" fillId="0" borderId="40" xfId="0" applyNumberFormat="1" applyFont="1" applyBorder="1"/>
    <xf numFmtId="3" fontId="152" fillId="0" borderId="42" xfId="0" applyNumberFormat="1" applyFont="1" applyBorder="1"/>
    <xf numFmtId="0" fontId="152" fillId="0" borderId="39" xfId="0" applyFont="1" applyBorder="1"/>
    <xf numFmtId="0" fontId="154" fillId="0" borderId="0" xfId="0" applyFont="1"/>
    <xf numFmtId="0" fontId="155" fillId="0" borderId="0" xfId="0" applyFont="1" applyFill="1" applyBorder="1" applyAlignment="1">
      <alignment horizontal="center" wrapText="1"/>
    </xf>
    <xf numFmtId="0" fontId="155" fillId="0" borderId="14" xfId="0" applyFont="1" applyBorder="1" applyAlignment="1">
      <alignment horizontal="center" wrapText="1"/>
    </xf>
    <xf numFmtId="0" fontId="155" fillId="0" borderId="14" xfId="0" applyFont="1" applyBorder="1" applyAlignment="1">
      <alignment horizontal="center" vertical="center" wrapText="1"/>
    </xf>
    <xf numFmtId="0" fontId="155" fillId="0" borderId="0" xfId="0" applyFont="1" applyAlignment="1">
      <alignment horizontal="center" wrapText="1"/>
    </xf>
    <xf numFmtId="0" fontId="155" fillId="0" borderId="0" xfId="0" applyFont="1" applyBorder="1" applyAlignment="1">
      <alignment vertical="center" wrapText="1"/>
    </xf>
    <xf numFmtId="0" fontId="155" fillId="0" borderId="0" xfId="0" applyFont="1" applyAlignment="1">
      <alignment horizontal="center" vertical="center" wrapText="1"/>
    </xf>
    <xf numFmtId="0" fontId="155" fillId="0" borderId="0" xfId="0" applyFont="1"/>
    <xf numFmtId="0" fontId="0" fillId="37" borderId="0" xfId="0" applyFill="1"/>
    <xf numFmtId="0" fontId="118" fillId="42" borderId="0" xfId="0" applyFont="1" applyFill="1" applyBorder="1" applyAlignment="1">
      <alignment vertical="top" wrapText="1"/>
    </xf>
    <xf numFmtId="0" fontId="156" fillId="0" borderId="0" xfId="0" applyFont="1" applyAlignment="1">
      <alignment horizontal="center"/>
    </xf>
    <xf numFmtId="0" fontId="118" fillId="42" borderId="0" xfId="0" applyFont="1" applyFill="1" applyAlignment="1">
      <alignment vertical="top" wrapText="1"/>
    </xf>
    <xf numFmtId="0" fontId="118" fillId="42" borderId="69" xfId="0" applyFont="1" applyFill="1" applyBorder="1" applyAlignment="1">
      <alignment vertical="top" wrapText="1"/>
    </xf>
    <xf numFmtId="0" fontId="91" fillId="42" borderId="53" xfId="0" applyFont="1" applyFill="1" applyBorder="1"/>
    <xf numFmtId="0" fontId="118" fillId="42" borderId="70" xfId="0" applyFont="1" applyFill="1" applyBorder="1"/>
    <xf numFmtId="0" fontId="118" fillId="42" borderId="53" xfId="0" applyFont="1" applyFill="1" applyBorder="1" applyAlignment="1">
      <alignment vertical="top" wrapText="1"/>
    </xf>
    <xf numFmtId="0" fontId="118" fillId="42" borderId="70" xfId="0" applyFont="1" applyFill="1" applyBorder="1" applyAlignment="1">
      <alignment wrapText="1"/>
    </xf>
    <xf numFmtId="0" fontId="118" fillId="39" borderId="69" xfId="0" applyFont="1" applyFill="1" applyBorder="1" applyAlignment="1">
      <alignment vertical="top" wrapText="1"/>
    </xf>
    <xf numFmtId="0" fontId="118" fillId="39" borderId="70" xfId="0" applyFont="1" applyFill="1" applyBorder="1" applyAlignment="1">
      <alignment wrapText="1"/>
    </xf>
    <xf numFmtId="0" fontId="118" fillId="42" borderId="17" xfId="0" applyFont="1" applyFill="1" applyBorder="1" applyAlignment="1">
      <alignment horizontal="center" vertical="top" wrapText="1"/>
    </xf>
    <xf numFmtId="0" fontId="157" fillId="42" borderId="71" xfId="0" applyFont="1" applyFill="1" applyBorder="1" applyAlignment="1">
      <alignment horizontal="center" wrapText="1"/>
    </xf>
    <xf numFmtId="0" fontId="157" fillId="0" borderId="0" xfId="0" applyFont="1" applyAlignment="1">
      <alignment horizontal="center"/>
    </xf>
    <xf numFmtId="0" fontId="118" fillId="39" borderId="70" xfId="0" applyFont="1" applyFill="1" applyBorder="1"/>
    <xf numFmtId="0" fontId="91" fillId="42" borderId="69" xfId="0" applyFont="1" applyFill="1" applyBorder="1" applyAlignment="1">
      <alignment vertical="top" wrapText="1"/>
    </xf>
    <xf numFmtId="0" fontId="91" fillId="42" borderId="70" xfId="0" applyFont="1" applyFill="1" applyBorder="1"/>
    <xf numFmtId="0" fontId="118" fillId="42" borderId="53" xfId="0" applyFont="1" applyFill="1" applyBorder="1" applyAlignment="1">
      <alignment wrapText="1"/>
    </xf>
    <xf numFmtId="0" fontId="118" fillId="42" borderId="70" xfId="0" applyFont="1" applyFill="1" applyBorder="1" applyAlignment="1">
      <alignment vertical="top" wrapText="1"/>
    </xf>
    <xf numFmtId="0" fontId="157" fillId="42" borderId="71" xfId="0" applyFont="1" applyFill="1" applyBorder="1" applyAlignment="1">
      <alignment horizontal="center" vertical="top" wrapText="1"/>
    </xf>
    <xf numFmtId="43" fontId="0" fillId="0" borderId="0" xfId="0" applyNumberFormat="1"/>
    <xf numFmtId="0" fontId="76" fillId="0" borderId="0" xfId="0" applyFont="1" applyBorder="1" applyAlignment="1">
      <alignment horizontal="left" vertical="top" wrapText="1"/>
    </xf>
    <xf numFmtId="0" fontId="0" fillId="0" borderId="0" xfId="0" applyBorder="1" applyAlignment="1">
      <alignment horizontal="center" wrapText="1"/>
    </xf>
    <xf numFmtId="0" fontId="93" fillId="0" borderId="0" xfId="0" applyFont="1" applyBorder="1"/>
    <xf numFmtId="0" fontId="76" fillId="0" borderId="0" xfId="0" applyFont="1" applyBorder="1"/>
    <xf numFmtId="0" fontId="76" fillId="0" borderId="43" xfId="0" applyFont="1" applyBorder="1"/>
    <xf numFmtId="0" fontId="0" fillId="0" borderId="43" xfId="0" applyBorder="1"/>
    <xf numFmtId="0" fontId="76" fillId="0" borderId="14" xfId="0" applyFont="1" applyBorder="1"/>
    <xf numFmtId="0" fontId="76" fillId="0" borderId="72" xfId="0" applyFont="1" applyBorder="1" applyAlignment="1">
      <alignment wrapText="1"/>
    </xf>
    <xf numFmtId="0" fontId="76" fillId="0" borderId="0" xfId="0" applyFont="1"/>
    <xf numFmtId="0" fontId="76" fillId="0" borderId="41" xfId="0" applyFont="1" applyBorder="1" applyAlignment="1">
      <alignment horizontal="center" wrapText="1"/>
    </xf>
    <xf numFmtId="0" fontId="76" fillId="0" borderId="43" xfId="0" applyFont="1" applyBorder="1" applyAlignment="1">
      <alignment horizontal="center" wrapText="1"/>
    </xf>
    <xf numFmtId="0" fontId="1" fillId="0" borderId="38" xfId="0" applyFont="1" applyBorder="1" applyAlignment="1">
      <alignment horizontal="center" wrapText="1"/>
    </xf>
    <xf numFmtId="0" fontId="1" fillId="0" borderId="73" xfId="0" applyFont="1" applyBorder="1" applyAlignment="1">
      <alignment horizontal="center" wrapText="1"/>
    </xf>
    <xf numFmtId="0" fontId="76" fillId="0" borderId="74" xfId="0" applyFont="1" applyBorder="1" applyAlignment="1">
      <alignment wrapText="1"/>
    </xf>
    <xf numFmtId="0" fontId="1" fillId="0" borderId="75" xfId="0" applyFont="1" applyBorder="1" applyAlignment="1">
      <alignment horizontal="center" wrapText="1"/>
    </xf>
    <xf numFmtId="0" fontId="1" fillId="0" borderId="14" xfId="0" applyFont="1" applyBorder="1" applyAlignment="1">
      <alignment wrapText="1"/>
    </xf>
    <xf numFmtId="1" fontId="76" fillId="0" borderId="41" xfId="0" applyNumberFormat="1" applyFont="1" applyBorder="1" applyAlignment="1">
      <alignment horizontal="center" wrapText="1"/>
    </xf>
    <xf numFmtId="1" fontId="76" fillId="0" borderId="4" xfId="0" applyNumberFormat="1" applyFont="1" applyBorder="1" applyAlignment="1">
      <alignment horizontal="center"/>
    </xf>
    <xf numFmtId="1" fontId="1" fillId="0" borderId="14" xfId="0" applyNumberFormat="1" applyFont="1" applyBorder="1" applyAlignment="1">
      <alignment horizontal="center"/>
    </xf>
    <xf numFmtId="1" fontId="1" fillId="0" borderId="76" xfId="0" applyNumberFormat="1" applyFont="1" applyBorder="1" applyAlignment="1">
      <alignment horizontal="center"/>
    </xf>
    <xf numFmtId="1" fontId="76" fillId="0" borderId="74" xfId="0" applyNumberFormat="1" applyFont="1" applyBorder="1" applyAlignment="1">
      <alignment horizontal="center"/>
    </xf>
    <xf numFmtId="1" fontId="76" fillId="0" borderId="63" xfId="0" applyNumberFormat="1" applyFont="1" applyBorder="1" applyAlignment="1">
      <alignment horizontal="center"/>
    </xf>
    <xf numFmtId="1" fontId="1" fillId="0" borderId="77" xfId="0" applyNumberFormat="1" applyFont="1" applyBorder="1" applyAlignment="1">
      <alignment horizontal="center"/>
    </xf>
    <xf numFmtId="1" fontId="1" fillId="0" borderId="74" xfId="0" applyNumberFormat="1" applyFont="1" applyBorder="1" applyAlignment="1">
      <alignment horizontal="center"/>
    </xf>
    <xf numFmtId="1" fontId="1" fillId="0" borderId="63" xfId="0" applyNumberFormat="1" applyFont="1" applyBorder="1" applyAlignment="1">
      <alignment horizontal="center"/>
    </xf>
    <xf numFmtId="0" fontId="92" fillId="0" borderId="14" xfId="0" applyFont="1" applyBorder="1" applyAlignment="1">
      <alignment horizontal="right"/>
    </xf>
    <xf numFmtId="0" fontId="76" fillId="0" borderId="41" xfId="0" applyFont="1" applyBorder="1" applyAlignment="1">
      <alignment horizontal="center"/>
    </xf>
    <xf numFmtId="0" fontId="76" fillId="0" borderId="4" xfId="0" applyFont="1" applyBorder="1" applyAlignment="1">
      <alignment horizontal="center"/>
    </xf>
    <xf numFmtId="0" fontId="1" fillId="0" borderId="14" xfId="0" applyFont="1" applyBorder="1" applyAlignment="1">
      <alignment horizontal="center"/>
    </xf>
    <xf numFmtId="0" fontId="1" fillId="0" borderId="76" xfId="0" applyFont="1" applyBorder="1" applyAlignment="1">
      <alignment horizontal="center"/>
    </xf>
    <xf numFmtId="0" fontId="76" fillId="0" borderId="74" xfId="0" applyFont="1" applyBorder="1" applyAlignment="1">
      <alignment horizontal="center"/>
    </xf>
    <xf numFmtId="0" fontId="76" fillId="0" borderId="63" xfId="0" applyFont="1" applyBorder="1" applyAlignment="1">
      <alignment horizontal="center"/>
    </xf>
    <xf numFmtId="0" fontId="1" fillId="0" borderId="63" xfId="0" applyFont="1" applyBorder="1" applyAlignment="1">
      <alignment horizontal="center"/>
    </xf>
    <xf numFmtId="0" fontId="76" fillId="0" borderId="37" xfId="0" applyFont="1" applyBorder="1" applyAlignment="1">
      <alignment horizontal="right"/>
    </xf>
    <xf numFmtId="0" fontId="76" fillId="0" borderId="40" xfId="0" applyFont="1" applyBorder="1" applyAlignment="1">
      <alignment horizontal="center"/>
    </xf>
    <xf numFmtId="0" fontId="76" fillId="0" borderId="43" xfId="0" applyFont="1" applyFill="1" applyBorder="1" applyAlignment="1">
      <alignment horizontal="center"/>
    </xf>
    <xf numFmtId="0" fontId="1" fillId="0" borderId="37" xfId="0" applyFont="1" applyFill="1" applyBorder="1" applyAlignment="1">
      <alignment horizontal="center"/>
    </xf>
    <xf numFmtId="0" fontId="76" fillId="0" borderId="0" xfId="0" applyFont="1" applyBorder="1" applyAlignment="1">
      <alignment horizontal="right"/>
    </xf>
    <xf numFmtId="0" fontId="76" fillId="0" borderId="0" xfId="0" applyFont="1" applyBorder="1" applyAlignment="1">
      <alignment horizontal="center"/>
    </xf>
    <xf numFmtId="0" fontId="76" fillId="0" borderId="0" xfId="0" applyFont="1" applyFill="1" applyBorder="1" applyAlignment="1">
      <alignment horizontal="center"/>
    </xf>
    <xf numFmtId="0" fontId="1" fillId="0" borderId="0" xfId="0" applyFont="1" applyFill="1" applyBorder="1" applyAlignment="1">
      <alignment horizontal="center"/>
    </xf>
    <xf numFmtId="0" fontId="1" fillId="0" borderId="0" xfId="0" applyFont="1" applyBorder="1" applyAlignment="1">
      <alignment horizontal="center"/>
    </xf>
    <xf numFmtId="0" fontId="76" fillId="0" borderId="0" xfId="0" applyFont="1" applyFill="1" applyBorder="1"/>
    <xf numFmtId="10" fontId="1" fillId="0" borderId="0" xfId="0" applyNumberFormat="1" applyFont="1" applyFill="1" applyBorder="1"/>
    <xf numFmtId="10" fontId="0" fillId="0" borderId="0" xfId="0" applyNumberFormat="1" applyBorder="1"/>
    <xf numFmtId="0" fontId="94" fillId="0" borderId="0" xfId="0" applyFont="1"/>
    <xf numFmtId="0" fontId="122" fillId="36" borderId="54" xfId="0" applyFont="1" applyFill="1" applyBorder="1" applyAlignment="1">
      <alignment horizontal="center" vertical="center" wrapText="1"/>
    </xf>
    <xf numFmtId="0" fontId="126" fillId="0" borderId="64" xfId="0" applyFont="1" applyBorder="1" applyAlignment="1"/>
    <xf numFmtId="43" fontId="126" fillId="0" borderId="44" xfId="0" applyNumberFormat="1" applyFont="1" applyBorder="1"/>
    <xf numFmtId="0" fontId="126" fillId="0" borderId="57" xfId="0" applyFont="1" applyBorder="1" applyAlignment="1"/>
    <xf numFmtId="0" fontId="126" fillId="0" borderId="47" xfId="0" applyFont="1" applyBorder="1" applyAlignment="1"/>
    <xf numFmtId="0" fontId="126" fillId="0" borderId="35" xfId="0" applyFont="1" applyBorder="1" applyAlignment="1"/>
    <xf numFmtId="43" fontId="126" fillId="0" borderId="34" xfId="0" applyNumberFormat="1" applyFont="1" applyBorder="1"/>
    <xf numFmtId="43" fontId="123" fillId="0" borderId="78" xfId="0" applyNumberFormat="1" applyFont="1" applyBorder="1"/>
    <xf numFmtId="43" fontId="123" fillId="0" borderId="60" xfId="0" applyNumberFormat="1" applyFont="1" applyBorder="1"/>
    <xf numFmtId="43" fontId="123" fillId="0" borderId="52" xfId="0" applyNumberFormat="1" applyFont="1" applyBorder="1"/>
    <xf numFmtId="0" fontId="122" fillId="0" borderId="78" xfId="0" applyFont="1" applyBorder="1"/>
    <xf numFmtId="0" fontId="123" fillId="0" borderId="75" xfId="0" applyFont="1" applyBorder="1" applyAlignment="1"/>
    <xf numFmtId="0" fontId="158" fillId="0" borderId="38" xfId="0" applyFont="1" applyBorder="1" applyAlignment="1"/>
    <xf numFmtId="43" fontId="158" fillId="39" borderId="40" xfId="0" applyNumberFormat="1" applyFont="1" applyFill="1" applyBorder="1"/>
    <xf numFmtId="43" fontId="123" fillId="39" borderId="37" xfId="0" applyNumberFormat="1" applyFont="1" applyFill="1" applyBorder="1"/>
    <xf numFmtId="0" fontId="158" fillId="0" borderId="39" xfId="0" applyFont="1" applyBorder="1" applyAlignment="1"/>
    <xf numFmtId="43" fontId="123" fillId="39" borderId="40" xfId="0" applyNumberFormat="1" applyFont="1" applyFill="1" applyBorder="1"/>
    <xf numFmtId="43" fontId="158" fillId="39" borderId="37" xfId="0" applyNumberFormat="1" applyFont="1" applyFill="1" applyBorder="1"/>
    <xf numFmtId="0" fontId="159" fillId="0" borderId="14" xfId="0" applyFont="1" applyBorder="1" applyAlignment="1"/>
    <xf numFmtId="4" fontId="159" fillId="39" borderId="41" xfId="0" applyNumberFormat="1" applyFont="1" applyFill="1" applyBorder="1"/>
    <xf numFmtId="0" fontId="158" fillId="0" borderId="43" xfId="0" applyFont="1" applyBorder="1" applyAlignment="1"/>
    <xf numFmtId="1" fontId="158" fillId="0" borderId="42" xfId="0" applyNumberFormat="1" applyFont="1" applyBorder="1" applyAlignment="1"/>
    <xf numFmtId="0" fontId="158" fillId="0" borderId="38" xfId="0" applyNumberFormat="1" applyFont="1" applyBorder="1" applyAlignment="1"/>
    <xf numFmtId="4" fontId="123" fillId="39" borderId="37" xfId="0" applyNumberFormat="1" applyFont="1" applyFill="1" applyBorder="1"/>
    <xf numFmtId="43" fontId="123" fillId="39" borderId="60" xfId="0" applyNumberFormat="1" applyFont="1" applyFill="1" applyBorder="1"/>
    <xf numFmtId="43" fontId="123" fillId="34" borderId="14" xfId="0" applyNumberFormat="1" applyFont="1" applyFill="1" applyBorder="1"/>
    <xf numFmtId="43" fontId="158" fillId="34" borderId="14" xfId="0" applyNumberFormat="1" applyFont="1" applyFill="1" applyBorder="1"/>
    <xf numFmtId="43" fontId="158" fillId="39" borderId="14" xfId="0" applyNumberFormat="1" applyFont="1" applyFill="1" applyBorder="1"/>
    <xf numFmtId="0" fontId="95" fillId="0" borderId="14" xfId="0" applyFont="1" applyBorder="1" applyAlignment="1"/>
    <xf numFmtId="43" fontId="126" fillId="39" borderId="41" xfId="0" applyNumberFormat="1" applyFont="1" applyFill="1" applyBorder="1"/>
    <xf numFmtId="0" fontId="122" fillId="0" borderId="79" xfId="0" applyFont="1" applyBorder="1"/>
    <xf numFmtId="43" fontId="123" fillId="34" borderId="58" xfId="0" applyNumberFormat="1" applyFont="1" applyFill="1" applyBorder="1"/>
    <xf numFmtId="0" fontId="158" fillId="0" borderId="63" xfId="0" applyFont="1" applyBorder="1" applyAlignment="1"/>
    <xf numFmtId="43" fontId="158" fillId="0" borderId="41" xfId="0" applyNumberFormat="1" applyFont="1" applyBorder="1"/>
    <xf numFmtId="0" fontId="158" fillId="0" borderId="4" xfId="0" applyFont="1" applyBorder="1" applyAlignment="1"/>
    <xf numFmtId="43" fontId="158" fillId="0" borderId="58" xfId="0" applyNumberFormat="1" applyFont="1" applyBorder="1"/>
    <xf numFmtId="0" fontId="158" fillId="0" borderId="52" xfId="0" applyFont="1" applyBorder="1" applyAlignment="1"/>
    <xf numFmtId="0" fontId="158" fillId="0" borderId="14" xfId="0" applyFont="1" applyBorder="1" applyAlignment="1"/>
    <xf numFmtId="0" fontId="159" fillId="0" borderId="52" xfId="0" applyFont="1" applyBorder="1" applyAlignment="1"/>
    <xf numFmtId="4" fontId="159" fillId="0" borderId="41" xfId="0" applyNumberFormat="1" applyFont="1" applyBorder="1"/>
    <xf numFmtId="1" fontId="158" fillId="0" borderId="57" xfId="0" applyNumberFormat="1" applyFont="1" applyBorder="1" applyAlignment="1"/>
    <xf numFmtId="0" fontId="158" fillId="0" borderId="14" xfId="0" applyNumberFormat="1" applyFont="1" applyBorder="1" applyAlignment="1"/>
    <xf numFmtId="4" fontId="158" fillId="0" borderId="58" xfId="0" applyNumberFormat="1" applyFont="1" applyBorder="1"/>
    <xf numFmtId="0" fontId="158" fillId="34" borderId="57" xfId="0" applyFont="1" applyFill="1" applyBorder="1" applyAlignment="1"/>
    <xf numFmtId="0" fontId="158" fillId="34" borderId="14" xfId="0" applyNumberFormat="1" applyFont="1" applyFill="1" applyBorder="1" applyAlignment="1"/>
    <xf numFmtId="43" fontId="158" fillId="34" borderId="58" xfId="0" applyNumberFormat="1" applyFont="1" applyFill="1" applyBorder="1"/>
    <xf numFmtId="0" fontId="160" fillId="0" borderId="4" xfId="0" applyFont="1" applyBorder="1" applyAlignment="1"/>
    <xf numFmtId="43" fontId="160" fillId="0" borderId="41" xfId="0" applyNumberFormat="1" applyFont="1" applyBorder="1"/>
    <xf numFmtId="0" fontId="161" fillId="34" borderId="79" xfId="0" applyFont="1" applyFill="1" applyBorder="1"/>
    <xf numFmtId="0" fontId="158" fillId="34" borderId="63" xfId="0" applyFont="1" applyFill="1" applyBorder="1" applyAlignment="1"/>
    <xf numFmtId="0" fontId="158" fillId="34" borderId="14" xfId="0" applyFont="1" applyFill="1" applyBorder="1" applyAlignment="1"/>
    <xf numFmtId="0" fontId="159" fillId="34" borderId="14" xfId="0" applyFont="1" applyFill="1" applyBorder="1" applyAlignment="1"/>
    <xf numFmtId="4" fontId="159" fillId="34" borderId="14" xfId="0" applyNumberFormat="1" applyFont="1" applyFill="1" applyBorder="1"/>
    <xf numFmtId="1" fontId="158" fillId="34" borderId="14" xfId="0" applyNumberFormat="1" applyFont="1" applyFill="1" applyBorder="1" applyAlignment="1"/>
    <xf numFmtId="4" fontId="158" fillId="34" borderId="14" xfId="0" applyNumberFormat="1" applyFont="1" applyFill="1" applyBorder="1"/>
    <xf numFmtId="0" fontId="160" fillId="34" borderId="14" xfId="0" applyFont="1" applyFill="1" applyBorder="1" applyAlignment="1"/>
    <xf numFmtId="43" fontId="160" fillId="34" borderId="14" xfId="0" applyNumberFormat="1" applyFont="1" applyFill="1" applyBorder="1"/>
    <xf numFmtId="0" fontId="162" fillId="35" borderId="41" xfId="0" applyFont="1" applyFill="1" applyBorder="1"/>
    <xf numFmtId="0" fontId="128" fillId="34" borderId="14" xfId="0" applyFont="1" applyFill="1" applyBorder="1" applyAlignment="1"/>
    <xf numFmtId="0" fontId="126" fillId="34" borderId="14" xfId="0" applyFont="1" applyFill="1" applyBorder="1" applyAlignment="1"/>
    <xf numFmtId="43" fontId="126" fillId="34" borderId="14" xfId="0" applyNumberFormat="1" applyFont="1" applyFill="1" applyBorder="1"/>
    <xf numFmtId="0" fontId="122" fillId="34" borderId="79" xfId="0" applyFont="1" applyFill="1" applyBorder="1"/>
    <xf numFmtId="1" fontId="123" fillId="34" borderId="14" xfId="0" applyNumberFormat="1" applyFont="1" applyFill="1" applyBorder="1" applyAlignment="1"/>
    <xf numFmtId="4" fontId="123" fillId="34" borderId="14" xfId="0" applyNumberFormat="1" applyFont="1" applyFill="1" applyBorder="1"/>
    <xf numFmtId="0" fontId="122" fillId="0" borderId="70" xfId="0" applyFont="1" applyBorder="1"/>
    <xf numFmtId="0" fontId="128" fillId="0" borderId="39" xfId="0" applyFont="1" applyBorder="1" applyAlignment="1"/>
    <xf numFmtId="0" fontId="128" fillId="0" borderId="38" xfId="0" applyFont="1" applyBorder="1" applyAlignment="1"/>
    <xf numFmtId="4" fontId="128" fillId="0" borderId="40" xfId="0" applyNumberFormat="1" applyFont="1" applyBorder="1"/>
    <xf numFmtId="4" fontId="123" fillId="0" borderId="16" xfId="0" applyNumberFormat="1" applyFont="1" applyBorder="1"/>
    <xf numFmtId="0" fontId="123" fillId="34" borderId="25" xfId="0" applyFont="1" applyFill="1" applyBorder="1" applyAlignment="1"/>
    <xf numFmtId="0" fontId="123" fillId="34" borderId="24" xfId="0" applyNumberFormat="1" applyFont="1" applyFill="1" applyBorder="1" applyAlignment="1"/>
    <xf numFmtId="43" fontId="123" fillId="34" borderId="80" xfId="0" applyNumberFormat="1" applyFont="1" applyFill="1" applyBorder="1"/>
    <xf numFmtId="43" fontId="123" fillId="34" borderId="38" xfId="0" applyNumberFormat="1" applyFont="1" applyFill="1" applyBorder="1"/>
    <xf numFmtId="0" fontId="126" fillId="0" borderId="43" xfId="0" applyFont="1" applyBorder="1" applyAlignment="1"/>
    <xf numFmtId="0" fontId="123" fillId="35" borderId="28" xfId="0" applyFont="1" applyFill="1" applyBorder="1"/>
    <xf numFmtId="43" fontId="123" fillId="35" borderId="27" xfId="0" applyNumberFormat="1" applyFont="1" applyFill="1" applyBorder="1"/>
    <xf numFmtId="4" fontId="128" fillId="39" borderId="41" xfId="0" applyNumberFormat="1" applyFont="1" applyFill="1" applyBorder="1"/>
    <xf numFmtId="4" fontId="123" fillId="39" borderId="40" xfId="0" applyNumberFormat="1" applyFont="1" applyFill="1" applyBorder="1"/>
    <xf numFmtId="43" fontId="123" fillId="39" borderId="31" xfId="0" applyNumberFormat="1" applyFont="1" applyFill="1" applyBorder="1"/>
    <xf numFmtId="43" fontId="123" fillId="39" borderId="38" xfId="0" applyNumberFormat="1" applyFont="1" applyFill="1" applyBorder="1"/>
    <xf numFmtId="43" fontId="123" fillId="39" borderId="54" xfId="0" applyNumberFormat="1" applyFont="1" applyFill="1" applyBorder="1"/>
    <xf numFmtId="4" fontId="123" fillId="39" borderId="31" xfId="0" applyNumberFormat="1" applyFont="1" applyFill="1" applyBorder="1"/>
    <xf numFmtId="43" fontId="123" fillId="39" borderId="15" xfId="0" applyNumberFormat="1" applyFont="1" applyFill="1" applyBorder="1"/>
    <xf numFmtId="0" fontId="0" fillId="34" borderId="0" xfId="0" applyFill="1"/>
    <xf numFmtId="0" fontId="96" fillId="0" borderId="14" xfId="0" applyFont="1" applyBorder="1" applyAlignment="1">
      <alignment horizontal="center" vertical="center" wrapText="1"/>
    </xf>
    <xf numFmtId="0" fontId="98" fillId="0" borderId="14" xfId="0" applyFont="1" applyBorder="1" applyAlignment="1">
      <alignment horizontal="center" vertical="center" wrapText="1"/>
    </xf>
    <xf numFmtId="0" fontId="98" fillId="34" borderId="14" xfId="0" applyFont="1" applyFill="1" applyBorder="1" applyAlignment="1">
      <alignment horizontal="center" vertical="center" wrapText="1"/>
    </xf>
    <xf numFmtId="0" fontId="99" fillId="34" borderId="14" xfId="0" applyFont="1" applyFill="1" applyBorder="1" applyAlignment="1">
      <alignment horizontal="center" vertical="center" wrapText="1"/>
    </xf>
    <xf numFmtId="0" fontId="98" fillId="39" borderId="14" xfId="0" applyFont="1" applyFill="1" applyBorder="1" applyAlignment="1">
      <alignment horizontal="center" vertical="center" wrapText="1"/>
    </xf>
    <xf numFmtId="0" fontId="0" fillId="36" borderId="14" xfId="0" applyFill="1" applyBorder="1" applyAlignment="1">
      <alignment horizontal="center" vertical="center" wrapText="1"/>
    </xf>
    <xf numFmtId="0" fontId="0" fillId="0" borderId="14" xfId="0" applyBorder="1" applyAlignment="1">
      <alignment horizontal="center" vertical="center" wrapText="1"/>
    </xf>
    <xf numFmtId="2" fontId="0" fillId="0" borderId="14" xfId="0" applyNumberFormat="1" applyBorder="1" applyAlignment="1">
      <alignment horizontal="center" vertical="center" wrapText="1"/>
    </xf>
    <xf numFmtId="183" fontId="0" fillId="0" borderId="14" xfId="0" applyNumberFormat="1" applyBorder="1" applyAlignment="1">
      <alignment horizontal="center" vertical="center" wrapText="1"/>
    </xf>
    <xf numFmtId="0" fontId="163" fillId="36" borderId="14" xfId="0" applyFont="1" applyFill="1" applyBorder="1" applyAlignment="1">
      <alignment horizontal="center" vertical="center" wrapText="1"/>
    </xf>
    <xf numFmtId="183" fontId="163" fillId="36" borderId="14" xfId="0" applyNumberFormat="1" applyFont="1" applyFill="1" applyBorder="1" applyAlignment="1">
      <alignment horizontal="center" vertical="center" wrapText="1"/>
    </xf>
    <xf numFmtId="2" fontId="0" fillId="36" borderId="38" xfId="0" applyNumberFormat="1" applyFill="1" applyBorder="1" applyAlignment="1">
      <alignment horizontal="center" vertical="center" wrapText="1"/>
    </xf>
    <xf numFmtId="2" fontId="0" fillId="36" borderId="14" xfId="0" applyNumberFormat="1" applyFill="1" applyBorder="1" applyAlignment="1">
      <alignment horizontal="center" vertical="center" wrapText="1"/>
    </xf>
    <xf numFmtId="2" fontId="71" fillId="36" borderId="14" xfId="0" applyNumberFormat="1" applyFont="1" applyFill="1" applyBorder="1" applyAlignment="1">
      <alignment horizontal="center" vertical="center" wrapText="1"/>
    </xf>
    <xf numFmtId="1" fontId="102" fillId="36" borderId="14" xfId="0" applyNumberFormat="1" applyFont="1" applyFill="1" applyBorder="1" applyAlignment="1">
      <alignment horizontal="center" vertical="center" wrapText="1"/>
    </xf>
    <xf numFmtId="0" fontId="103" fillId="0" borderId="14" xfId="0" applyFont="1" applyBorder="1" applyAlignment="1">
      <alignment horizontal="center" vertical="center" wrapText="1"/>
    </xf>
    <xf numFmtId="0" fontId="103" fillId="36" borderId="14" xfId="0" applyFont="1" applyFill="1" applyBorder="1" applyAlignment="1">
      <alignment horizontal="center" vertical="center" wrapText="1"/>
    </xf>
    <xf numFmtId="0" fontId="2" fillId="39" borderId="14" xfId="0" applyFont="1" applyFill="1" applyBorder="1" applyAlignment="1">
      <alignment horizontal="center" vertical="center" wrapText="1"/>
    </xf>
    <xf numFmtId="0" fontId="0" fillId="39" borderId="14" xfId="0" applyFill="1" applyBorder="1" applyAlignment="1">
      <alignment horizontal="center" vertical="center"/>
    </xf>
    <xf numFmtId="0" fontId="0" fillId="39" borderId="14" xfId="0" applyFill="1" applyBorder="1" applyAlignment="1">
      <alignment horizontal="center" vertical="center" wrapText="1"/>
    </xf>
    <xf numFmtId="0" fontId="0" fillId="39" borderId="0" xfId="0" applyFill="1"/>
    <xf numFmtId="2" fontId="0" fillId="36" borderId="14" xfId="0" applyNumberFormat="1" applyFill="1" applyBorder="1" applyAlignment="1">
      <alignment horizontal="center"/>
    </xf>
    <xf numFmtId="183" fontId="164" fillId="36" borderId="14" xfId="0" applyNumberFormat="1" applyFont="1" applyFill="1" applyBorder="1" applyAlignment="1">
      <alignment horizontal="center" vertical="center" wrapText="1"/>
    </xf>
    <xf numFmtId="0" fontId="2" fillId="36" borderId="14" xfId="0" applyFont="1" applyFill="1" applyBorder="1" applyAlignment="1">
      <alignment horizontal="center" vertical="center" wrapText="1"/>
    </xf>
    <xf numFmtId="0" fontId="0" fillId="36" borderId="14" xfId="0" applyFill="1" applyBorder="1" applyAlignment="1">
      <alignment horizontal="center" vertical="center"/>
    </xf>
    <xf numFmtId="0" fontId="165" fillId="36" borderId="14" xfId="0" applyFont="1" applyFill="1" applyBorder="1" applyAlignment="1">
      <alignment vertical="center" wrapText="1"/>
    </xf>
    <xf numFmtId="2" fontId="71" fillId="36" borderId="15" xfId="0" applyNumberFormat="1" applyFont="1" applyFill="1" applyBorder="1" applyAlignment="1">
      <alignment horizontal="center" vertical="center" wrapText="1"/>
    </xf>
    <xf numFmtId="2" fontId="164" fillId="36" borderId="14" xfId="0" applyNumberFormat="1" applyFont="1" applyFill="1" applyBorder="1" applyAlignment="1">
      <alignment horizontal="center" vertical="center" wrapText="1"/>
    </xf>
    <xf numFmtId="1" fontId="166" fillId="36" borderId="14" xfId="0" applyNumberFormat="1" applyFont="1" applyFill="1" applyBorder="1" applyAlignment="1">
      <alignment horizontal="center" vertical="center" wrapText="1"/>
    </xf>
    <xf numFmtId="0" fontId="167" fillId="36" borderId="14" xfId="0" applyFont="1" applyFill="1" applyBorder="1" applyAlignment="1">
      <alignment horizontal="center" vertical="center" wrapText="1"/>
    </xf>
    <xf numFmtId="0" fontId="164" fillId="36" borderId="14" xfId="0" applyFont="1" applyFill="1" applyBorder="1" applyAlignment="1">
      <alignment horizontal="center" vertical="center" wrapText="1"/>
    </xf>
    <xf numFmtId="183" fontId="166" fillId="36" borderId="14" xfId="0" applyNumberFormat="1" applyFont="1" applyFill="1" applyBorder="1" applyAlignment="1">
      <alignment horizontal="center" vertical="center" wrapText="1"/>
    </xf>
    <xf numFmtId="0" fontId="71" fillId="36" borderId="14" xfId="0" applyFont="1" applyFill="1" applyBorder="1" applyAlignment="1">
      <alignment horizontal="center" vertical="center" wrapText="1"/>
    </xf>
    <xf numFmtId="0" fontId="100" fillId="34" borderId="14" xfId="0" applyFont="1" applyFill="1" applyBorder="1" applyAlignment="1">
      <alignment horizontal="center" vertical="center" wrapText="1"/>
    </xf>
    <xf numFmtId="183" fontId="163" fillId="0" borderId="14" xfId="0" applyNumberFormat="1" applyFont="1" applyBorder="1" applyAlignment="1">
      <alignment horizontal="center" vertical="center" wrapText="1"/>
    </xf>
    <xf numFmtId="2" fontId="164" fillId="0" borderId="14" xfId="0" applyNumberFormat="1" applyFont="1" applyBorder="1" applyAlignment="1">
      <alignment horizontal="center" vertical="center" wrapText="1"/>
    </xf>
    <xf numFmtId="183" fontId="166" fillId="0" borderId="14" xfId="0" applyNumberFormat="1" applyFont="1" applyBorder="1" applyAlignment="1">
      <alignment horizontal="center" vertical="center" wrapText="1"/>
    </xf>
    <xf numFmtId="0" fontId="2" fillId="0" borderId="14" xfId="0" applyFont="1" applyBorder="1" applyAlignment="1">
      <alignment horizontal="center" vertical="center" wrapText="1"/>
    </xf>
    <xf numFmtId="0" fontId="0" fillId="0" borderId="14" xfId="0" applyFill="1" applyBorder="1" applyAlignment="1">
      <alignment horizontal="center" vertical="center"/>
    </xf>
    <xf numFmtId="0" fontId="0" fillId="0" borderId="14" xfId="0" applyFill="1" applyBorder="1" applyAlignment="1">
      <alignment horizontal="center" vertical="center" wrapText="1"/>
    </xf>
    <xf numFmtId="0" fontId="165" fillId="0" borderId="14" xfId="0" applyFont="1" applyBorder="1" applyAlignment="1">
      <alignment vertical="center" wrapText="1"/>
    </xf>
    <xf numFmtId="2" fontId="0" fillId="0" borderId="15" xfId="0" applyNumberFormat="1" applyBorder="1" applyAlignment="1">
      <alignment horizontal="center" vertical="center" wrapText="1"/>
    </xf>
    <xf numFmtId="2" fontId="0" fillId="34" borderId="14" xfId="0" applyNumberFormat="1" applyFill="1" applyBorder="1" applyAlignment="1">
      <alignment horizontal="center" vertical="center" wrapText="1"/>
    </xf>
    <xf numFmtId="2" fontId="0" fillId="34" borderId="15" xfId="0" applyNumberFormat="1" applyFill="1" applyBorder="1" applyAlignment="1">
      <alignment horizontal="center" vertical="center" wrapText="1"/>
    </xf>
    <xf numFmtId="1" fontId="166" fillId="34" borderId="14" xfId="0" applyNumberFormat="1" applyFont="1" applyFill="1" applyBorder="1" applyAlignment="1">
      <alignment horizontal="center" vertical="center" wrapText="1"/>
    </xf>
    <xf numFmtId="0" fontId="100" fillId="36" borderId="14" xfId="0" applyFont="1" applyFill="1" applyBorder="1" applyAlignment="1">
      <alignment horizontal="center" vertical="center"/>
    </xf>
    <xf numFmtId="183" fontId="0" fillId="36" borderId="14" xfId="0" applyNumberFormat="1" applyFill="1" applyBorder="1" applyAlignment="1">
      <alignment horizontal="center" vertical="center" wrapText="1"/>
    </xf>
    <xf numFmtId="0" fontId="2" fillId="36" borderId="14" xfId="0" applyFont="1" applyFill="1" applyBorder="1" applyAlignment="1">
      <alignment horizontal="center" vertical="center"/>
    </xf>
    <xf numFmtId="0" fontId="2" fillId="36" borderId="14" xfId="0" applyFont="1" applyFill="1" applyBorder="1" applyAlignment="1">
      <alignment horizontal="center" wrapText="1"/>
    </xf>
    <xf numFmtId="2" fontId="0" fillId="34" borderId="38" xfId="0" applyNumberFormat="1" applyFill="1" applyBorder="1" applyAlignment="1">
      <alignment horizontal="center" vertical="center" wrapText="1"/>
    </xf>
    <xf numFmtId="2" fontId="163" fillId="34" borderId="38" xfId="0" applyNumberFormat="1" applyFont="1" applyFill="1" applyBorder="1" applyAlignment="1">
      <alignment horizontal="center" vertical="center" wrapText="1"/>
    </xf>
    <xf numFmtId="2" fontId="164" fillId="36" borderId="38" xfId="0" applyNumberFormat="1" applyFont="1" applyFill="1" applyBorder="1" applyAlignment="1">
      <alignment horizontal="center" vertical="center" wrapText="1"/>
    </xf>
    <xf numFmtId="183" fontId="0" fillId="36" borderId="38" xfId="0" applyNumberFormat="1" applyFill="1" applyBorder="1" applyAlignment="1">
      <alignment horizontal="center" vertical="center" wrapText="1"/>
    </xf>
    <xf numFmtId="0" fontId="164" fillId="36" borderId="38" xfId="0" applyFont="1" applyFill="1" applyBorder="1" applyAlignment="1">
      <alignment horizontal="center" vertical="center" wrapText="1"/>
    </xf>
    <xf numFmtId="183" fontId="163" fillId="36" borderId="38" xfId="0" applyNumberFormat="1" applyFont="1" applyFill="1" applyBorder="1" applyAlignment="1">
      <alignment horizontal="center" vertical="center" wrapText="1"/>
    </xf>
    <xf numFmtId="0" fontId="2" fillId="36" borderId="38" xfId="0" applyFont="1" applyFill="1" applyBorder="1" applyAlignment="1">
      <alignment horizontal="center" vertical="center"/>
    </xf>
    <xf numFmtId="0" fontId="0" fillId="36" borderId="38" xfId="0" applyFill="1" applyBorder="1" applyAlignment="1">
      <alignment horizontal="center" vertical="center"/>
    </xf>
    <xf numFmtId="1" fontId="102" fillId="36" borderId="38" xfId="0" applyNumberFormat="1" applyFont="1" applyFill="1" applyBorder="1" applyAlignment="1">
      <alignment horizontal="center" vertical="center" wrapText="1"/>
    </xf>
    <xf numFmtId="0" fontId="0" fillId="0" borderId="81" xfId="0" applyBorder="1" applyAlignment="1">
      <alignment horizontal="center" vertical="center"/>
    </xf>
    <xf numFmtId="0" fontId="5" fillId="0" borderId="82" xfId="0" applyFont="1" applyBorder="1" applyAlignment="1">
      <alignment horizontal="center" vertical="center"/>
    </xf>
    <xf numFmtId="0" fontId="0" fillId="0" borderId="0" xfId="0" applyAlignment="1">
      <alignment horizontal="center" vertical="center"/>
    </xf>
    <xf numFmtId="0" fontId="168" fillId="0" borderId="32" xfId="0" applyFont="1" applyBorder="1" applyAlignment="1">
      <alignment horizontal="center" vertical="center"/>
    </xf>
    <xf numFmtId="0" fontId="169" fillId="0" borderId="15" xfId="0" applyFont="1" applyBorder="1" applyAlignment="1">
      <alignment horizontal="center" vertical="center" wrapText="1"/>
    </xf>
    <xf numFmtId="0" fontId="170" fillId="0" borderId="15" xfId="0" applyFont="1" applyBorder="1" applyAlignment="1">
      <alignment horizontal="center" vertical="center"/>
    </xf>
    <xf numFmtId="0" fontId="170" fillId="0" borderId="31" xfId="0" applyFont="1" applyBorder="1" applyAlignment="1">
      <alignment horizontal="center" vertical="center"/>
    </xf>
    <xf numFmtId="0" fontId="5" fillId="0" borderId="0" xfId="0" applyFont="1" applyAlignment="1">
      <alignment horizontal="center" vertical="center"/>
    </xf>
    <xf numFmtId="0" fontId="108" fillId="0" borderId="60" xfId="0" applyFont="1" applyBorder="1" applyAlignment="1">
      <alignment horizontal="center" vertical="center" wrapText="1"/>
    </xf>
    <xf numFmtId="0" fontId="108" fillId="0" borderId="0" xfId="0" applyFont="1" applyAlignment="1">
      <alignment horizontal="center" vertical="center"/>
    </xf>
    <xf numFmtId="0" fontId="69" fillId="0" borderId="14" xfId="0" applyFont="1" applyFill="1" applyBorder="1" applyAlignment="1">
      <alignment horizontal="center" vertical="center" wrapText="1"/>
    </xf>
    <xf numFmtId="0" fontId="69" fillId="0" borderId="14" xfId="0" applyFont="1" applyFill="1" applyBorder="1" applyAlignment="1">
      <alignment horizontal="center" vertical="center"/>
    </xf>
    <xf numFmtId="0" fontId="108" fillId="43" borderId="41" xfId="0" applyFont="1" applyFill="1" applyBorder="1" applyAlignment="1">
      <alignment horizontal="center" vertical="center"/>
    </xf>
    <xf numFmtId="0" fontId="69" fillId="0" borderId="0" xfId="0" applyFont="1" applyAlignment="1">
      <alignment horizontal="center" vertical="center"/>
    </xf>
    <xf numFmtId="0" fontId="69" fillId="0" borderId="35" xfId="0" applyFont="1" applyFill="1" applyBorder="1" applyAlignment="1">
      <alignment horizontal="center" vertical="center" wrapText="1"/>
    </xf>
    <xf numFmtId="0" fontId="69" fillId="0" borderId="35" xfId="0" applyFont="1" applyFill="1" applyBorder="1" applyAlignment="1">
      <alignment horizontal="center" vertical="center"/>
    </xf>
    <xf numFmtId="0" fontId="108" fillId="43" borderId="34" xfId="0" applyFont="1" applyFill="1" applyBorder="1" applyAlignment="1">
      <alignment horizontal="center" vertical="center"/>
    </xf>
    <xf numFmtId="0" fontId="108" fillId="34" borderId="60" xfId="0" applyFont="1" applyFill="1" applyBorder="1" applyAlignment="1">
      <alignment horizontal="center" vertical="center" wrapText="1"/>
    </xf>
    <xf numFmtId="0" fontId="69" fillId="34" borderId="14" xfId="0" applyFont="1" applyFill="1" applyBorder="1" applyAlignment="1">
      <alignment horizontal="center" vertical="center" wrapText="1"/>
    </xf>
    <xf numFmtId="0" fontId="108" fillId="34" borderId="83" xfId="0" applyFont="1" applyFill="1" applyBorder="1" applyAlignment="1">
      <alignment vertical="center" wrapText="1"/>
    </xf>
    <xf numFmtId="0" fontId="108" fillId="34" borderId="45" xfId="0" applyFont="1" applyFill="1" applyBorder="1" applyAlignment="1">
      <alignment vertical="center" wrapText="1"/>
    </xf>
    <xf numFmtId="0" fontId="108" fillId="34" borderId="44" xfId="0" applyFont="1" applyFill="1" applyBorder="1" applyAlignment="1">
      <alignment vertical="center" wrapText="1"/>
    </xf>
    <xf numFmtId="0" fontId="69" fillId="34" borderId="35" xfId="0" applyFont="1" applyFill="1" applyBorder="1" applyAlignment="1">
      <alignment horizontal="center" vertical="center" wrapText="1"/>
    </xf>
    <xf numFmtId="0" fontId="108" fillId="0" borderId="60" xfId="0" applyFont="1" applyFill="1" applyBorder="1" applyAlignment="1">
      <alignment horizontal="center" vertical="center" wrapText="1"/>
    </xf>
    <xf numFmtId="0" fontId="69" fillId="0" borderId="60" xfId="0" applyFont="1" applyFill="1" applyBorder="1" applyAlignment="1">
      <alignment horizontal="center" vertical="center" wrapText="1"/>
    </xf>
    <xf numFmtId="0" fontId="69" fillId="0" borderId="15" xfId="0" applyFont="1" applyFill="1" applyBorder="1" applyAlignment="1">
      <alignment horizontal="center" vertical="center" wrapText="1"/>
    </xf>
    <xf numFmtId="0" fontId="69" fillId="0" borderId="15" xfId="0" applyFont="1" applyFill="1" applyBorder="1" applyAlignment="1">
      <alignment horizontal="center" vertical="center"/>
    </xf>
    <xf numFmtId="0" fontId="108" fillId="43" borderId="31" xfId="0" applyFont="1" applyFill="1" applyBorder="1" applyAlignment="1">
      <alignment horizontal="center" vertical="center"/>
    </xf>
    <xf numFmtId="0" fontId="108" fillId="39" borderId="60" xfId="0" applyFont="1" applyFill="1" applyBorder="1" applyAlignment="1">
      <alignment horizontal="center" vertical="center" wrapText="1"/>
    </xf>
    <xf numFmtId="0" fontId="69" fillId="39" borderId="35" xfId="0" applyFont="1" applyFill="1" applyBorder="1" applyAlignment="1">
      <alignment horizontal="center" vertical="center" wrapText="1"/>
    </xf>
    <xf numFmtId="0" fontId="69" fillId="39" borderId="35" xfId="0" applyFont="1" applyFill="1" applyBorder="1" applyAlignment="1">
      <alignment horizontal="center" vertical="center"/>
    </xf>
    <xf numFmtId="0" fontId="108" fillId="39" borderId="34" xfId="0" applyFont="1" applyFill="1" applyBorder="1" applyAlignment="1">
      <alignment horizontal="center" vertical="center"/>
    </xf>
    <xf numFmtId="0" fontId="69" fillId="0" borderId="35" xfId="0" applyFont="1" applyBorder="1" applyAlignment="1">
      <alignment horizontal="center" vertical="center"/>
    </xf>
    <xf numFmtId="0" fontId="69" fillId="0" borderId="14" xfId="0" applyFont="1" applyBorder="1" applyAlignment="1">
      <alignment horizontal="center" vertical="center"/>
    </xf>
    <xf numFmtId="0" fontId="69" fillId="34" borderId="14" xfId="0" applyFont="1" applyFill="1" applyBorder="1" applyAlignment="1">
      <alignment horizontal="center" vertical="center"/>
    </xf>
    <xf numFmtId="0" fontId="108" fillId="0" borderId="37" xfId="0" applyFont="1" applyBorder="1" applyAlignment="1">
      <alignment horizontal="center" vertical="center" wrapText="1"/>
    </xf>
    <xf numFmtId="0" fontId="69" fillId="34" borderId="35" xfId="0" applyFont="1" applyFill="1" applyBorder="1" applyAlignment="1">
      <alignment horizontal="center" vertical="center"/>
    </xf>
    <xf numFmtId="0" fontId="69" fillId="0" borderId="35" xfId="0" applyFont="1" applyBorder="1" applyAlignment="1">
      <alignment horizontal="center" vertical="center" wrapText="1"/>
    </xf>
    <xf numFmtId="0" fontId="69" fillId="34" borderId="75" xfId="0" applyFont="1" applyFill="1" applyBorder="1" applyAlignment="1">
      <alignment horizontal="center" vertical="center"/>
    </xf>
    <xf numFmtId="0" fontId="69" fillId="34" borderId="38" xfId="0" applyFont="1" applyFill="1" applyBorder="1" applyAlignment="1">
      <alignment horizontal="center" vertical="center"/>
    </xf>
    <xf numFmtId="0" fontId="69" fillId="34" borderId="40" xfId="0" applyFont="1" applyFill="1" applyBorder="1" applyAlignment="1">
      <alignment horizontal="center" vertical="center"/>
    </xf>
    <xf numFmtId="0" fontId="108" fillId="0" borderId="75" xfId="0" applyFont="1" applyBorder="1" applyAlignment="1">
      <alignment horizontal="center" vertical="center" wrapText="1"/>
    </xf>
    <xf numFmtId="0" fontId="108" fillId="0" borderId="38" xfId="0" applyFont="1" applyBorder="1" applyAlignment="1">
      <alignment horizontal="center" vertical="center" wrapText="1"/>
    </xf>
    <xf numFmtId="0" fontId="108" fillId="0" borderId="40" xfId="0" applyFont="1" applyBorder="1" applyAlignment="1">
      <alignment horizontal="center" vertical="center" wrapText="1"/>
    </xf>
    <xf numFmtId="0" fontId="108" fillId="34" borderId="75" xfId="0" applyFont="1" applyFill="1" applyBorder="1" applyAlignment="1">
      <alignment vertical="center" wrapText="1"/>
    </xf>
    <xf numFmtId="0" fontId="108" fillId="34" borderId="38" xfId="0" applyFont="1" applyFill="1" applyBorder="1" applyAlignment="1">
      <alignment vertical="center" wrapText="1"/>
    </xf>
    <xf numFmtId="0" fontId="108" fillId="34" borderId="40" xfId="0" applyFont="1" applyFill="1" applyBorder="1" applyAlignment="1">
      <alignment vertical="center" wrapText="1"/>
    </xf>
    <xf numFmtId="0" fontId="69" fillId="34" borderId="37" xfId="0" applyFont="1" applyFill="1" applyBorder="1" applyAlignment="1">
      <alignment horizontal="center" vertical="center" wrapText="1"/>
    </xf>
    <xf numFmtId="0" fontId="69" fillId="0" borderId="28" xfId="0" applyFont="1" applyFill="1" applyBorder="1" applyAlignment="1">
      <alignment horizontal="center" vertical="center"/>
    </xf>
    <xf numFmtId="0" fontId="69" fillId="34" borderId="12" xfId="0" applyFont="1" applyFill="1" applyBorder="1" applyAlignment="1">
      <alignment horizontal="center" vertical="center"/>
    </xf>
    <xf numFmtId="0" fontId="69" fillId="34" borderId="27" xfId="0" applyFont="1" applyFill="1" applyBorder="1" applyAlignment="1">
      <alignment horizontal="center" vertical="center"/>
    </xf>
    <xf numFmtId="0" fontId="69" fillId="34" borderId="29" xfId="0" applyFont="1" applyFill="1" applyBorder="1" applyAlignment="1">
      <alignment horizontal="center" vertical="center"/>
    </xf>
    <xf numFmtId="0" fontId="69" fillId="0" borderId="75" xfId="0" applyFont="1" applyFill="1" applyBorder="1" applyAlignment="1">
      <alignment horizontal="center" vertical="center"/>
    </xf>
    <xf numFmtId="0" fontId="69" fillId="0" borderId="38" xfId="0" applyFont="1" applyFill="1" applyBorder="1" applyAlignment="1">
      <alignment horizontal="center" vertical="center"/>
    </xf>
    <xf numFmtId="0" fontId="69" fillId="0" borderId="40" xfId="0" applyFont="1" applyFill="1" applyBorder="1" applyAlignment="1">
      <alignment horizontal="center" vertical="center"/>
    </xf>
    <xf numFmtId="0" fontId="69" fillId="39" borderId="12" xfId="0" applyFont="1" applyFill="1" applyBorder="1" applyAlignment="1">
      <alignment horizontal="center" vertical="center"/>
    </xf>
    <xf numFmtId="0" fontId="69" fillId="39" borderId="27" xfId="0" applyFont="1" applyFill="1" applyBorder="1" applyAlignment="1">
      <alignment horizontal="center" vertical="center"/>
    </xf>
    <xf numFmtId="0" fontId="69" fillId="39" borderId="29" xfId="0" applyFont="1" applyFill="1" applyBorder="1" applyAlignment="1">
      <alignment horizontal="center" vertical="center"/>
    </xf>
    <xf numFmtId="0" fontId="69" fillId="0" borderId="16" xfId="0" applyFont="1" applyFill="1" applyBorder="1" applyAlignment="1">
      <alignment horizontal="center" vertical="center" wrapText="1"/>
    </xf>
    <xf numFmtId="0" fontId="69" fillId="0" borderId="12" xfId="0" applyFont="1" applyFill="1" applyBorder="1" applyAlignment="1">
      <alignment horizontal="center" vertical="center"/>
    </xf>
    <xf numFmtId="0" fontId="69" fillId="0" borderId="27" xfId="0" applyFont="1" applyFill="1" applyBorder="1" applyAlignment="1">
      <alignment horizontal="center" vertical="center"/>
    </xf>
    <xf numFmtId="0" fontId="108" fillId="43" borderId="29" xfId="0" applyFont="1" applyFill="1" applyBorder="1" applyAlignment="1">
      <alignment horizontal="center" vertical="center"/>
    </xf>
    <xf numFmtId="2" fontId="108" fillId="0" borderId="0" xfId="0" applyNumberFormat="1" applyFont="1" applyAlignment="1">
      <alignment horizontal="center" vertical="center"/>
    </xf>
    <xf numFmtId="1" fontId="69" fillId="0" borderId="0" xfId="0" applyNumberFormat="1" applyFont="1" applyAlignment="1">
      <alignment horizontal="center" vertical="center"/>
    </xf>
    <xf numFmtId="1" fontId="108" fillId="0" borderId="0" xfId="0" applyNumberFormat="1" applyFont="1" applyAlignment="1">
      <alignment horizontal="center" vertical="center"/>
    </xf>
    <xf numFmtId="0" fontId="69" fillId="44" borderId="28" xfId="0" applyFont="1" applyFill="1" applyBorder="1" applyAlignment="1">
      <alignment horizontal="center" vertical="center"/>
    </xf>
    <xf numFmtId="0" fontId="69" fillId="44" borderId="16" xfId="0" applyFont="1" applyFill="1" applyBorder="1" applyAlignment="1">
      <alignment horizontal="center" vertical="center" wrapText="1"/>
    </xf>
    <xf numFmtId="0" fontId="69" fillId="44" borderId="12" xfId="0" applyFont="1" applyFill="1" applyBorder="1" applyAlignment="1">
      <alignment horizontal="center" vertical="center"/>
    </xf>
    <xf numFmtId="0" fontId="69" fillId="44" borderId="27" xfId="0" applyFont="1" applyFill="1" applyBorder="1" applyAlignment="1">
      <alignment horizontal="center" vertical="center"/>
    </xf>
    <xf numFmtId="0" fontId="108" fillId="44" borderId="29" xfId="0" applyFont="1" applyFill="1" applyBorder="1" applyAlignment="1">
      <alignment horizontal="center" vertical="center"/>
    </xf>
    <xf numFmtId="0" fontId="108" fillId="44" borderId="0" xfId="0" applyFont="1" applyFill="1" applyAlignment="1">
      <alignment horizontal="center" vertical="center"/>
    </xf>
    <xf numFmtId="0" fontId="69" fillId="44" borderId="0" xfId="0" applyFont="1" applyFill="1" applyAlignment="1">
      <alignment horizontal="center" vertical="center"/>
    </xf>
    <xf numFmtId="1" fontId="108" fillId="44" borderId="0" xfId="0" applyNumberFormat="1" applyFont="1" applyFill="1" applyAlignment="1">
      <alignment horizontal="center" vertical="center"/>
    </xf>
    <xf numFmtId="2" fontId="69" fillId="0" borderId="0" xfId="0" applyNumberFormat="1" applyFont="1" applyAlignment="1">
      <alignment horizontal="center" vertical="center"/>
    </xf>
    <xf numFmtId="9" fontId="69" fillId="44" borderId="0" xfId="90" applyFont="1" applyFill="1" applyAlignment="1">
      <alignment horizontal="center" vertical="center"/>
    </xf>
    <xf numFmtId="0" fontId="69" fillId="34" borderId="16" xfId="0" applyFont="1" applyFill="1" applyBorder="1" applyAlignment="1">
      <alignment horizontal="center" vertical="center" wrapText="1"/>
    </xf>
    <xf numFmtId="0" fontId="69" fillId="0" borderId="28" xfId="0" applyFont="1" applyBorder="1" applyAlignment="1">
      <alignment horizontal="center" vertical="center"/>
    </xf>
    <xf numFmtId="0" fontId="69" fillId="39" borderId="28" xfId="0" applyFont="1" applyFill="1" applyBorder="1" applyAlignment="1">
      <alignment horizontal="center" vertical="center"/>
    </xf>
    <xf numFmtId="0" fontId="69" fillId="0" borderId="12" xfId="0" applyFont="1" applyBorder="1" applyAlignment="1">
      <alignment horizontal="center" vertical="center"/>
    </xf>
    <xf numFmtId="0" fontId="69" fillId="0" borderId="27" xfId="0" applyFont="1" applyBorder="1" applyAlignment="1">
      <alignment horizontal="center" vertical="center"/>
    </xf>
    <xf numFmtId="0" fontId="69" fillId="0" borderId="39" xfId="0" applyFont="1" applyBorder="1" applyAlignment="1">
      <alignment horizontal="center" vertical="center"/>
    </xf>
    <xf numFmtId="0" fontId="69" fillId="0" borderId="61" xfId="0" applyFont="1" applyBorder="1" applyAlignment="1">
      <alignment horizontal="center" vertical="center"/>
    </xf>
    <xf numFmtId="0" fontId="69" fillId="39" borderId="16" xfId="0" applyFont="1" applyFill="1" applyBorder="1" applyAlignment="1">
      <alignment horizontal="center" vertical="center" wrapText="1"/>
    </xf>
    <xf numFmtId="0" fontId="108" fillId="39" borderId="29" xfId="0" applyFont="1" applyFill="1" applyBorder="1" applyAlignment="1">
      <alignment horizontal="center" vertical="center"/>
    </xf>
    <xf numFmtId="0" fontId="109" fillId="37" borderId="0" xfId="0" applyFont="1" applyFill="1" applyAlignment="1">
      <alignment horizontal="center" vertical="center"/>
    </xf>
    <xf numFmtId="0" fontId="110" fillId="37" borderId="0" xfId="0" applyFont="1" applyFill="1" applyAlignment="1">
      <alignment horizontal="center" vertical="center"/>
    </xf>
    <xf numFmtId="0" fontId="110" fillId="37" borderId="0" xfId="0" applyFont="1" applyFill="1"/>
    <xf numFmtId="9" fontId="110" fillId="37" borderId="0" xfId="90" applyFont="1" applyFill="1" applyAlignment="1">
      <alignment horizontal="center" vertical="center"/>
    </xf>
    <xf numFmtId="190" fontId="83" fillId="0" borderId="0" xfId="81" applyNumberFormat="1" applyFont="1" applyBorder="1"/>
    <xf numFmtId="187" fontId="83" fillId="0" borderId="0" xfId="81" applyNumberFormat="1" applyFont="1" applyBorder="1"/>
    <xf numFmtId="191" fontId="83" fillId="0" borderId="0" xfId="81" applyNumberFormat="1" applyFont="1" applyBorder="1"/>
    <xf numFmtId="0" fontId="172" fillId="26" borderId="0" xfId="0" applyFont="1" applyFill="1"/>
    <xf numFmtId="0" fontId="172" fillId="0" borderId="0" xfId="80" applyFont="1" applyProtection="1"/>
    <xf numFmtId="0" fontId="172" fillId="26" borderId="0" xfId="80" applyFont="1" applyFill="1" applyBorder="1" applyProtection="1"/>
    <xf numFmtId="167" fontId="172" fillId="26" borderId="0" xfId="80" applyNumberFormat="1" applyFont="1" applyFill="1" applyBorder="1" applyProtection="1"/>
    <xf numFmtId="0" fontId="172" fillId="0" borderId="0" xfId="80" applyFont="1" applyAlignment="1" applyProtection="1">
      <alignment horizontal="center"/>
    </xf>
    <xf numFmtId="168" fontId="178" fillId="26" borderId="0" xfId="52" applyFont="1" applyFill="1" applyBorder="1" applyProtection="1"/>
    <xf numFmtId="0" fontId="173" fillId="0" borderId="33" xfId="80" applyFont="1" applyBorder="1" applyProtection="1"/>
    <xf numFmtId="167" fontId="173" fillId="26" borderId="0" xfId="80" applyNumberFormat="1" applyFont="1" applyFill="1" applyBorder="1" applyProtection="1"/>
    <xf numFmtId="0" fontId="173" fillId="26" borderId="0" xfId="80" applyFont="1" applyFill="1" applyBorder="1" applyProtection="1"/>
    <xf numFmtId="0" fontId="172" fillId="0" borderId="0" xfId="80" applyFont="1" applyFill="1" applyProtection="1"/>
    <xf numFmtId="0" fontId="172" fillId="0" borderId="0" xfId="80" applyFont="1" applyFill="1" applyBorder="1" applyProtection="1"/>
    <xf numFmtId="180" fontId="173" fillId="26" borderId="0" xfId="80" applyNumberFormat="1" applyFont="1" applyFill="1" applyBorder="1" applyProtection="1"/>
    <xf numFmtId="0" fontId="172" fillId="26" borderId="0" xfId="0" applyFont="1" applyFill="1" applyProtection="1"/>
    <xf numFmtId="0" fontId="172" fillId="26" borderId="0" xfId="80" applyFont="1" applyFill="1" applyProtection="1"/>
    <xf numFmtId="0" fontId="172" fillId="26" borderId="0" xfId="80" applyFont="1" applyFill="1" applyAlignment="1" applyProtection="1">
      <alignment horizontal="center"/>
    </xf>
    <xf numFmtId="167" fontId="172" fillId="26" borderId="0" xfId="80" applyNumberFormat="1" applyFont="1" applyFill="1" applyProtection="1"/>
    <xf numFmtId="0" fontId="172" fillId="26" borderId="54" xfId="80" applyFont="1" applyFill="1" applyBorder="1" applyProtection="1"/>
    <xf numFmtId="0" fontId="172" fillId="26" borderId="33" xfId="80" applyFont="1" applyFill="1" applyBorder="1" applyProtection="1"/>
    <xf numFmtId="0" fontId="172" fillId="26" borderId="33" xfId="80" applyFont="1" applyFill="1" applyBorder="1" applyAlignment="1" applyProtection="1">
      <alignment horizontal="center"/>
    </xf>
    <xf numFmtId="0" fontId="172" fillId="26" borderId="16" xfId="80" applyFont="1" applyFill="1" applyBorder="1" applyProtection="1"/>
    <xf numFmtId="0" fontId="172" fillId="26" borderId="0" xfId="80" applyFont="1" applyFill="1" applyBorder="1" applyAlignment="1" applyProtection="1">
      <alignment horizontal="center"/>
    </xf>
    <xf numFmtId="0" fontId="172" fillId="26" borderId="37" xfId="80" applyFont="1" applyFill="1" applyBorder="1" applyProtection="1"/>
    <xf numFmtId="0" fontId="172" fillId="26" borderId="43" xfId="80" applyFont="1" applyFill="1" applyBorder="1" applyProtection="1"/>
    <xf numFmtId="0" fontId="172" fillId="0" borderId="0" xfId="0" applyFont="1" applyFill="1" applyProtection="1"/>
    <xf numFmtId="180" fontId="172" fillId="26" borderId="0" xfId="80" applyNumberFormat="1" applyFont="1" applyFill="1" applyProtection="1"/>
    <xf numFmtId="2" fontId="172" fillId="26" borderId="0" xfId="0" applyNumberFormat="1" applyFont="1" applyFill="1" applyProtection="1"/>
    <xf numFmtId="0" fontId="172" fillId="34" borderId="0" xfId="80" applyFont="1" applyFill="1" applyBorder="1" applyProtection="1"/>
    <xf numFmtId="0" fontId="172" fillId="45" borderId="14" xfId="80" applyFont="1" applyFill="1" applyBorder="1" applyProtection="1"/>
    <xf numFmtId="0" fontId="172" fillId="0" borderId="0" xfId="0" applyFont="1" applyProtection="1"/>
    <xf numFmtId="0" fontId="173" fillId="34" borderId="0" xfId="80" applyFont="1" applyFill="1" applyBorder="1" applyProtection="1"/>
    <xf numFmtId="0" fontId="179" fillId="0" borderId="0" xfId="80" applyFont="1" applyBorder="1" applyProtection="1"/>
    <xf numFmtId="0" fontId="179" fillId="0" borderId="0" xfId="0" applyFont="1" applyProtection="1"/>
    <xf numFmtId="9" fontId="179" fillId="0" borderId="0" xfId="80" applyNumberFormat="1" applyFont="1" applyBorder="1" applyProtection="1"/>
    <xf numFmtId="0" fontId="173" fillId="45" borderId="14" xfId="80" applyFont="1" applyFill="1" applyBorder="1" applyProtection="1"/>
    <xf numFmtId="0" fontId="172" fillId="34" borderId="0" xfId="0" applyFont="1" applyFill="1" applyBorder="1"/>
    <xf numFmtId="168" fontId="173" fillId="26" borderId="0" xfId="52" applyFont="1" applyFill="1" applyBorder="1" applyProtection="1"/>
    <xf numFmtId="0" fontId="173" fillId="26" borderId="54" xfId="80" applyFont="1" applyFill="1" applyBorder="1" applyProtection="1"/>
    <xf numFmtId="0" fontId="173" fillId="26" borderId="33" xfId="80" applyFont="1" applyFill="1" applyBorder="1" applyProtection="1"/>
    <xf numFmtId="9" fontId="173" fillId="26" borderId="33" xfId="80" applyNumberFormat="1" applyFont="1" applyFill="1" applyBorder="1" applyProtection="1"/>
    <xf numFmtId="0" fontId="173" fillId="26" borderId="33" xfId="80" applyFont="1" applyFill="1" applyBorder="1" applyAlignment="1" applyProtection="1">
      <alignment horizontal="center"/>
    </xf>
    <xf numFmtId="0" fontId="173" fillId="26" borderId="0" xfId="0" applyFont="1" applyFill="1" applyProtection="1"/>
    <xf numFmtId="0" fontId="172" fillId="45" borderId="14" xfId="80" applyFont="1" applyFill="1" applyBorder="1" applyAlignment="1" applyProtection="1">
      <alignment horizontal="left"/>
    </xf>
    <xf numFmtId="0" fontId="173" fillId="26" borderId="16" xfId="80" applyFont="1" applyFill="1" applyBorder="1" applyProtection="1"/>
    <xf numFmtId="0" fontId="173" fillId="26" borderId="0" xfId="80" applyFont="1" applyFill="1" applyBorder="1" applyAlignment="1" applyProtection="1">
      <alignment horizontal="left"/>
    </xf>
    <xf numFmtId="0" fontId="173" fillId="34" borderId="33" xfId="80" applyFont="1" applyFill="1" applyBorder="1" applyAlignment="1" applyProtection="1">
      <alignment horizontal="left"/>
    </xf>
    <xf numFmtId="9" fontId="173" fillId="34" borderId="33" xfId="80" applyNumberFormat="1" applyFont="1" applyFill="1" applyBorder="1" applyProtection="1">
      <protection locked="0"/>
    </xf>
    <xf numFmtId="0" fontId="173" fillId="45" borderId="14" xfId="80" applyFont="1" applyFill="1" applyBorder="1" applyAlignment="1" applyProtection="1">
      <alignment horizontal="left"/>
    </xf>
    <xf numFmtId="0" fontId="173" fillId="34" borderId="0" xfId="80" applyFont="1" applyFill="1" applyBorder="1" applyAlignment="1" applyProtection="1">
      <alignment horizontal="left"/>
    </xf>
    <xf numFmtId="0" fontId="176" fillId="26" borderId="16" xfId="80" applyFont="1" applyFill="1" applyBorder="1" applyProtection="1"/>
    <xf numFmtId="0" fontId="176" fillId="26" borderId="0" xfId="80" applyFont="1" applyFill="1" applyBorder="1" applyAlignment="1" applyProtection="1">
      <alignment horizontal="left"/>
    </xf>
    <xf numFmtId="0" fontId="176" fillId="26" borderId="0" xfId="0" applyFont="1" applyFill="1" applyProtection="1"/>
    <xf numFmtId="0" fontId="172" fillId="26" borderId="0" xfId="80" applyFont="1" applyFill="1" applyBorder="1" applyAlignment="1" applyProtection="1">
      <alignment horizontal="left"/>
    </xf>
    <xf numFmtId="0" fontId="173" fillId="26" borderId="37" xfId="80" applyFont="1" applyFill="1" applyBorder="1" applyProtection="1"/>
    <xf numFmtId="0" fontId="173" fillId="26" borderId="43" xfId="80" applyFont="1" applyFill="1" applyBorder="1" applyProtection="1"/>
    <xf numFmtId="0" fontId="173" fillId="26" borderId="43" xfId="80" applyFont="1" applyFill="1" applyBorder="1" applyAlignment="1" applyProtection="1">
      <alignment horizontal="center"/>
    </xf>
    <xf numFmtId="0" fontId="172" fillId="34" borderId="0" xfId="80" applyFont="1" applyFill="1" applyProtection="1"/>
    <xf numFmtId="0" fontId="173" fillId="34" borderId="0" xfId="80" applyFont="1" applyFill="1" applyProtection="1"/>
    <xf numFmtId="0" fontId="172" fillId="34" borderId="0" xfId="80" applyFont="1" applyFill="1" applyAlignment="1" applyProtection="1">
      <alignment horizontal="center"/>
    </xf>
    <xf numFmtId="2" fontId="172" fillId="34" borderId="0" xfId="80" applyNumberFormat="1" applyFont="1" applyFill="1" applyProtection="1"/>
    <xf numFmtId="0" fontId="172" fillId="34" borderId="0" xfId="0" applyFont="1" applyFill="1" applyProtection="1"/>
    <xf numFmtId="0" fontId="172" fillId="26" borderId="68" xfId="80" applyFont="1" applyFill="1" applyBorder="1" applyProtection="1"/>
    <xf numFmtId="0" fontId="172" fillId="26" borderId="68" xfId="80" applyFont="1" applyFill="1" applyBorder="1" applyAlignment="1" applyProtection="1">
      <alignment horizontal="center"/>
    </xf>
    <xf numFmtId="0" fontId="172" fillId="26" borderId="12" xfId="80" applyFont="1" applyFill="1" applyBorder="1" applyProtection="1"/>
    <xf numFmtId="0" fontId="172" fillId="26" borderId="12" xfId="80" applyFont="1" applyFill="1" applyBorder="1" applyAlignment="1" applyProtection="1">
      <alignment horizontal="center"/>
    </xf>
    <xf numFmtId="0" fontId="172" fillId="26" borderId="75" xfId="80" applyFont="1" applyFill="1" applyBorder="1" applyProtection="1"/>
    <xf numFmtId="0" fontId="179" fillId="26" borderId="0" xfId="80" applyFont="1" applyFill="1" applyBorder="1" applyAlignment="1" applyProtection="1">
      <alignment horizontal="left" indent="1"/>
    </xf>
    <xf numFmtId="180" fontId="173" fillId="34" borderId="0" xfId="80" applyNumberFormat="1" applyFont="1" applyFill="1" applyBorder="1" applyProtection="1"/>
    <xf numFmtId="0" fontId="172" fillId="34" borderId="0" xfId="0" applyFont="1" applyFill="1" applyBorder="1" applyProtection="1"/>
    <xf numFmtId="49" fontId="172" fillId="26" borderId="0" xfId="80" applyNumberFormat="1" applyFont="1" applyFill="1" applyBorder="1" applyAlignment="1" applyProtection="1">
      <alignment horizontal="left"/>
    </xf>
    <xf numFmtId="0" fontId="173" fillId="26" borderId="43" xfId="80" applyFont="1" applyFill="1" applyBorder="1" applyAlignment="1" applyProtection="1">
      <alignment horizontal="left"/>
    </xf>
    <xf numFmtId="0" fontId="173" fillId="26" borderId="33" xfId="80" applyFont="1" applyFill="1" applyBorder="1" applyAlignment="1" applyProtection="1">
      <alignment horizontal="left"/>
    </xf>
    <xf numFmtId="0" fontId="172" fillId="34" borderId="0" xfId="80" applyFont="1" applyFill="1" applyBorder="1" applyAlignment="1" applyProtection="1">
      <alignment horizontal="left" indent="1"/>
    </xf>
    <xf numFmtId="180" fontId="172" fillId="26" borderId="0" xfId="0" applyNumberFormat="1" applyFont="1" applyFill="1" applyProtection="1"/>
    <xf numFmtId="185" fontId="172" fillId="34" borderId="0" xfId="0" applyNumberFormat="1" applyFont="1" applyFill="1" applyBorder="1" applyProtection="1"/>
    <xf numFmtId="0" fontId="172" fillId="45" borderId="0" xfId="80" applyFont="1" applyFill="1" applyBorder="1" applyAlignment="1" applyProtection="1">
      <alignment horizontal="left"/>
    </xf>
    <xf numFmtId="10" fontId="172" fillId="26" borderId="0" xfId="0" applyNumberFormat="1" applyFont="1" applyFill="1" applyProtection="1"/>
    <xf numFmtId="0" fontId="183" fillId="0" borderId="0" xfId="79" applyFont="1" applyAlignment="1"/>
    <xf numFmtId="0" fontId="120" fillId="0" borderId="0" xfId="79"/>
    <xf numFmtId="0" fontId="120" fillId="0" borderId="0" xfId="79" applyFont="1" applyAlignment="1"/>
    <xf numFmtId="0" fontId="184" fillId="36" borderId="64" xfId="79" applyFont="1" applyFill="1" applyBorder="1"/>
    <xf numFmtId="0" fontId="185" fillId="36" borderId="84" xfId="79" applyFont="1" applyFill="1" applyBorder="1" applyAlignment="1">
      <alignment horizontal="center" vertical="center" wrapText="1"/>
    </xf>
    <xf numFmtId="0" fontId="185" fillId="36" borderId="0" xfId="79" applyFont="1" applyFill="1" applyBorder="1" applyAlignment="1">
      <alignment horizontal="center" vertical="center" wrapText="1"/>
    </xf>
    <xf numFmtId="0" fontId="185" fillId="36" borderId="15" xfId="79" applyFont="1" applyFill="1" applyBorder="1" applyAlignment="1">
      <alignment horizontal="center" vertical="center" wrapText="1"/>
    </xf>
    <xf numFmtId="0" fontId="185" fillId="36" borderId="31" xfId="79" applyFont="1" applyFill="1" applyBorder="1" applyAlignment="1">
      <alignment horizontal="center" vertical="center" wrapText="1"/>
    </xf>
    <xf numFmtId="0" fontId="185" fillId="36" borderId="61" xfId="79" applyFont="1" applyFill="1" applyBorder="1" applyAlignment="1">
      <alignment horizontal="center" vertical="center" wrapText="1"/>
    </xf>
    <xf numFmtId="0" fontId="184" fillId="36" borderId="32" xfId="79" applyFont="1" applyFill="1" applyBorder="1" applyAlignment="1">
      <alignment horizontal="center" vertical="center" wrapText="1"/>
    </xf>
    <xf numFmtId="0" fontId="184" fillId="36" borderId="15" xfId="79" applyFont="1" applyFill="1" applyBorder="1" applyAlignment="1">
      <alignment horizontal="center" vertical="center" wrapText="1"/>
    </xf>
    <xf numFmtId="0" fontId="184" fillId="36" borderId="31" xfId="79" applyFont="1" applyFill="1" applyBorder="1" applyAlignment="1">
      <alignment horizontal="center" vertical="center" wrapText="1"/>
    </xf>
    <xf numFmtId="0" fontId="120" fillId="0" borderId="0" xfId="79" applyAlignment="1">
      <alignment horizontal="center" vertical="center" wrapText="1"/>
    </xf>
    <xf numFmtId="0" fontId="184" fillId="35" borderId="19" xfId="79" applyFont="1" applyFill="1" applyBorder="1"/>
    <xf numFmtId="0" fontId="184" fillId="35" borderId="21" xfId="79" applyFont="1" applyFill="1" applyBorder="1" applyAlignment="1">
      <alignment horizontal="left" vertical="center" wrapText="1"/>
    </xf>
    <xf numFmtId="0" fontId="185" fillId="0" borderId="51" xfId="79" applyFont="1" applyBorder="1" applyAlignment="1">
      <alignment horizontal="left"/>
    </xf>
    <xf numFmtId="0" fontId="186" fillId="0" borderId="51" xfId="79" applyFont="1" applyBorder="1" applyAlignment="1"/>
    <xf numFmtId="0" fontId="186" fillId="0" borderId="18" xfId="79" applyFont="1" applyBorder="1" applyAlignment="1"/>
    <xf numFmtId="43" fontId="187" fillId="0" borderId="21" xfId="79" applyNumberFormat="1" applyFont="1" applyBorder="1"/>
    <xf numFmtId="0" fontId="126" fillId="0" borderId="65" xfId="79" applyFont="1" applyBorder="1" applyAlignment="1"/>
    <xf numFmtId="0" fontId="126" fillId="0" borderId="45" xfId="79" applyFont="1" applyBorder="1" applyAlignment="1"/>
    <xf numFmtId="43" fontId="125" fillId="0" borderId="44" xfId="79" applyNumberFormat="1" applyFont="1" applyBorder="1"/>
    <xf numFmtId="0" fontId="187" fillId="35" borderId="19" xfId="79" applyFont="1" applyFill="1" applyBorder="1"/>
    <xf numFmtId="43" fontId="187" fillId="35" borderId="18" xfId="79" applyNumberFormat="1" applyFont="1" applyFill="1" applyBorder="1"/>
    <xf numFmtId="181" fontId="187" fillId="35" borderId="21" xfId="93" applyNumberFormat="1" applyFont="1" applyFill="1" applyBorder="1"/>
    <xf numFmtId="0" fontId="184" fillId="35" borderId="19" xfId="79" applyFont="1" applyFill="1" applyBorder="1" applyAlignment="1">
      <alignment horizontal="left"/>
    </xf>
    <xf numFmtId="0" fontId="185" fillId="0" borderId="51" xfId="79" applyFont="1" applyBorder="1"/>
    <xf numFmtId="43" fontId="187" fillId="0" borderId="20" xfId="79" applyNumberFormat="1" applyFont="1" applyBorder="1"/>
    <xf numFmtId="43" fontId="187" fillId="35" borderId="27" xfId="79" applyNumberFormat="1" applyFont="1" applyFill="1" applyBorder="1"/>
    <xf numFmtId="9" fontId="187" fillId="35" borderId="27" xfId="93" applyFont="1" applyFill="1" applyBorder="1"/>
    <xf numFmtId="43" fontId="120" fillId="0" borderId="0" xfId="79" applyNumberFormat="1"/>
    <xf numFmtId="0" fontId="184" fillId="35" borderId="19" xfId="79" applyFont="1" applyFill="1" applyBorder="1" applyAlignment="1">
      <alignment horizontal="right"/>
    </xf>
    <xf numFmtId="0" fontId="184" fillId="35" borderId="21" xfId="79" applyFont="1" applyFill="1" applyBorder="1" applyAlignment="1">
      <alignment wrapText="1"/>
    </xf>
    <xf numFmtId="0" fontId="185" fillId="0" borderId="26" xfId="79" applyFont="1" applyBorder="1"/>
    <xf numFmtId="0" fontId="186" fillId="0" borderId="19" xfId="79" applyFont="1" applyBorder="1" applyAlignment="1"/>
    <xf numFmtId="43" fontId="185" fillId="0" borderId="21" xfId="79" applyNumberFormat="1" applyFont="1" applyBorder="1"/>
    <xf numFmtId="0" fontId="126" fillId="0" borderId="22" xfId="79" applyFont="1" applyBorder="1" applyAlignment="1"/>
    <xf numFmtId="0" fontId="126" fillId="0" borderId="18" xfId="79" applyFont="1" applyBorder="1" applyAlignment="1"/>
    <xf numFmtId="43" fontId="129" fillId="0" borderId="21" xfId="79" applyNumberFormat="1" applyFont="1" applyBorder="1"/>
    <xf numFmtId="43" fontId="185" fillId="0" borderId="20" xfId="79" applyNumberFormat="1" applyFont="1" applyBorder="1"/>
    <xf numFmtId="43" fontId="187" fillId="35" borderId="19" xfId="79" applyNumberFormat="1" applyFont="1" applyFill="1" applyBorder="1"/>
    <xf numFmtId="9" fontId="185" fillId="35" borderId="21" xfId="93" applyFont="1" applyFill="1" applyBorder="1"/>
    <xf numFmtId="0" fontId="188" fillId="35" borderId="42" xfId="79" applyFont="1" applyFill="1" applyBorder="1" applyAlignment="1">
      <alignment horizontal="right"/>
    </xf>
    <xf numFmtId="0" fontId="188" fillId="35" borderId="40" xfId="79" applyFont="1" applyFill="1" applyBorder="1" applyAlignment="1">
      <alignment wrapText="1"/>
    </xf>
    <xf numFmtId="0" fontId="186" fillId="0" borderId="43" xfId="79" applyFont="1" applyBorder="1"/>
    <xf numFmtId="0" fontId="186" fillId="0" borderId="42" xfId="79" applyFont="1" applyBorder="1" applyAlignment="1"/>
    <xf numFmtId="0" fontId="186" fillId="0" borderId="38" xfId="79" applyFont="1" applyBorder="1" applyAlignment="1"/>
    <xf numFmtId="43" fontId="186" fillId="0" borderId="40" xfId="79" applyNumberFormat="1" applyFont="1" applyBorder="1"/>
    <xf numFmtId="43" fontId="126" fillId="0" borderId="40" xfId="79" applyNumberFormat="1" applyFont="1" applyBorder="1"/>
    <xf numFmtId="43" fontId="186" fillId="0" borderId="37" xfId="79" applyNumberFormat="1" applyFont="1" applyBorder="1"/>
    <xf numFmtId="43" fontId="184" fillId="35" borderId="38" xfId="79" applyNumberFormat="1" applyFont="1" applyFill="1" applyBorder="1"/>
    <xf numFmtId="10" fontId="185" fillId="35" borderId="38" xfId="93" applyNumberFormat="1" applyFont="1" applyFill="1" applyBorder="1"/>
    <xf numFmtId="0" fontId="185" fillId="0" borderId="43" xfId="79" applyFont="1" applyBorder="1"/>
    <xf numFmtId="0" fontId="126" fillId="0" borderId="38" xfId="79" applyFont="1" applyBorder="1" applyAlignment="1"/>
    <xf numFmtId="43" fontId="184" fillId="35" borderId="14" xfId="79" applyNumberFormat="1" applyFont="1" applyFill="1" applyBorder="1"/>
    <xf numFmtId="9" fontId="186" fillId="35" borderId="14" xfId="93" applyFont="1" applyFill="1" applyBorder="1"/>
    <xf numFmtId="0" fontId="188" fillId="35" borderId="57" xfId="79" applyFont="1" applyFill="1" applyBorder="1" applyAlignment="1">
      <alignment horizontal="right"/>
    </xf>
    <xf numFmtId="0" fontId="188" fillId="35" borderId="41" xfId="79" applyFont="1" applyFill="1" applyBorder="1" applyAlignment="1">
      <alignment wrapText="1"/>
    </xf>
    <xf numFmtId="0" fontId="185" fillId="0" borderId="4" xfId="79" applyFont="1" applyBorder="1"/>
    <xf numFmtId="0" fontId="186" fillId="0" borderId="52" xfId="79" applyFont="1" applyBorder="1" applyAlignment="1"/>
    <xf numFmtId="0" fontId="186" fillId="0" borderId="14" xfId="79" applyFont="1" applyBorder="1" applyAlignment="1"/>
    <xf numFmtId="43" fontId="186" fillId="0" borderId="41" xfId="79" applyNumberFormat="1" applyFont="1" applyBorder="1"/>
    <xf numFmtId="0" fontId="126" fillId="0" borderId="14" xfId="79" applyFont="1" applyBorder="1" applyAlignment="1"/>
    <xf numFmtId="43" fontId="126" fillId="0" borderId="41" xfId="79" applyNumberFormat="1" applyFont="1" applyBorder="1"/>
    <xf numFmtId="43" fontId="186" fillId="0" borderId="58" xfId="79" applyNumberFormat="1" applyFont="1" applyBorder="1"/>
    <xf numFmtId="10" fontId="186" fillId="35" borderId="14" xfId="93" applyNumberFormat="1" applyFont="1" applyFill="1" applyBorder="1"/>
    <xf numFmtId="0" fontId="188" fillId="35" borderId="36" xfId="79" applyFont="1" applyFill="1" applyBorder="1" applyAlignment="1">
      <alignment horizontal="right"/>
    </xf>
    <xf numFmtId="0" fontId="188" fillId="35" borderId="34" xfId="79" applyFont="1" applyFill="1" applyBorder="1" applyAlignment="1">
      <alignment wrapText="1"/>
    </xf>
    <xf numFmtId="0" fontId="185" fillId="0" borderId="33" xfId="79" applyFont="1" applyBorder="1"/>
    <xf numFmtId="0" fontId="186" fillId="0" borderId="33" xfId="79" applyFont="1" applyBorder="1" applyAlignment="1"/>
    <xf numFmtId="0" fontId="186" fillId="0" borderId="15" xfId="79" applyFont="1" applyBorder="1" applyAlignment="1"/>
    <xf numFmtId="43" fontId="186" fillId="0" borderId="31" xfId="79" applyNumberFormat="1" applyFont="1" applyBorder="1"/>
    <xf numFmtId="0" fontId="186" fillId="0" borderId="55" xfId="79" applyFont="1" applyBorder="1" applyAlignment="1"/>
    <xf numFmtId="43" fontId="186" fillId="0" borderId="54" xfId="79" applyNumberFormat="1" applyFont="1" applyBorder="1"/>
    <xf numFmtId="43" fontId="184" fillId="35" borderId="15" xfId="79" applyNumberFormat="1" applyFont="1" applyFill="1" applyBorder="1"/>
    <xf numFmtId="9" fontId="186" fillId="35" borderId="15" xfId="93" applyFont="1" applyFill="1" applyBorder="1"/>
    <xf numFmtId="0" fontId="189" fillId="0" borderId="0" xfId="79" applyFont="1"/>
    <xf numFmtId="0" fontId="185" fillId="0" borderId="39" xfId="79" applyFont="1" applyBorder="1"/>
    <xf numFmtId="0" fontId="186" fillId="0" borderId="39" xfId="79" applyFont="1" applyBorder="1" applyAlignment="1"/>
    <xf numFmtId="43" fontId="126" fillId="0" borderId="44" xfId="79" applyNumberFormat="1" applyFont="1" applyBorder="1"/>
    <xf numFmtId="9" fontId="186" fillId="35" borderId="38" xfId="93" applyFont="1" applyFill="1" applyBorder="1"/>
    <xf numFmtId="0" fontId="185" fillId="0" borderId="52" xfId="79" applyFont="1" applyBorder="1"/>
    <xf numFmtId="0" fontId="126" fillId="0" borderId="63" xfId="79" applyFont="1" applyBorder="1" applyAlignment="1"/>
    <xf numFmtId="0" fontId="126" fillId="0" borderId="4" xfId="79" applyFont="1" applyBorder="1" applyAlignment="1"/>
    <xf numFmtId="0" fontId="188" fillId="35" borderId="41" xfId="79" applyFont="1" applyFill="1" applyBorder="1" applyAlignment="1">
      <alignment horizontal="left" vertical="center" wrapText="1"/>
    </xf>
    <xf numFmtId="0" fontId="186" fillId="34" borderId="4" xfId="79" applyFont="1" applyFill="1" applyBorder="1" applyAlignment="1"/>
    <xf numFmtId="0" fontId="186" fillId="34" borderId="52" xfId="79" applyFont="1" applyFill="1" applyBorder="1" applyAlignment="1"/>
    <xf numFmtId="0" fontId="188" fillId="35" borderId="32" xfId="79" applyFont="1" applyFill="1" applyBorder="1" applyAlignment="1">
      <alignment horizontal="right"/>
    </xf>
    <xf numFmtId="0" fontId="188" fillId="35" borderId="31" xfId="79" applyFont="1" applyFill="1" applyBorder="1" applyAlignment="1">
      <alignment horizontal="left" vertical="center" wrapText="1"/>
    </xf>
    <xf numFmtId="0" fontId="185" fillId="0" borderId="55" xfId="79" applyFont="1" applyBorder="1"/>
    <xf numFmtId="0" fontId="186" fillId="0" borderId="47" xfId="79" applyFont="1" applyBorder="1" applyAlignment="1"/>
    <xf numFmtId="0" fontId="126" fillId="0" borderId="35" xfId="79" applyFont="1" applyBorder="1" applyAlignment="1"/>
    <xf numFmtId="43" fontId="126" fillId="0" borderId="34" xfId="79" applyNumberFormat="1" applyFont="1" applyBorder="1"/>
    <xf numFmtId="0" fontId="186" fillId="34" borderId="38" xfId="79" applyFont="1" applyFill="1" applyBorder="1" applyAlignment="1"/>
    <xf numFmtId="0" fontId="186" fillId="0" borderId="58" xfId="79" applyFont="1" applyBorder="1" applyAlignment="1"/>
    <xf numFmtId="0" fontId="126" fillId="0" borderId="58" xfId="79" applyFont="1" applyBorder="1" applyAlignment="1"/>
    <xf numFmtId="0" fontId="188" fillId="35" borderId="55" xfId="79" applyFont="1" applyFill="1" applyBorder="1" applyAlignment="1">
      <alignment horizontal="right"/>
    </xf>
    <xf numFmtId="0" fontId="188" fillId="35" borderId="31" xfId="79" applyFont="1" applyFill="1" applyBorder="1" applyAlignment="1">
      <alignment wrapText="1"/>
    </xf>
    <xf numFmtId="0" fontId="186" fillId="0" borderId="57" xfId="79" applyFont="1" applyBorder="1" applyAlignment="1"/>
    <xf numFmtId="0" fontId="186" fillId="0" borderId="54" xfId="79" applyFont="1" applyBorder="1" applyAlignment="1"/>
    <xf numFmtId="0" fontId="126" fillId="0" borderId="54" xfId="79" applyFont="1" applyBorder="1" applyAlignment="1"/>
    <xf numFmtId="43" fontId="126" fillId="0" borderId="31" xfId="79" applyNumberFormat="1" applyFont="1" applyBorder="1"/>
    <xf numFmtId="0" fontId="188" fillId="35" borderId="57" xfId="79" applyFont="1" applyFill="1" applyBorder="1" applyAlignment="1">
      <alignment horizontal="right" wrapText="1"/>
    </xf>
    <xf numFmtId="0" fontId="184" fillId="0" borderId="52" xfId="79" applyFont="1" applyBorder="1" applyAlignment="1">
      <alignment wrapText="1"/>
    </xf>
    <xf numFmtId="0" fontId="186" fillId="0" borderId="57" xfId="79" applyFont="1" applyBorder="1" applyAlignment="1">
      <alignment wrapText="1"/>
    </xf>
    <xf numFmtId="0" fontId="186" fillId="0" borderId="14" xfId="79" applyFont="1" applyBorder="1" applyAlignment="1">
      <alignment wrapText="1"/>
    </xf>
    <xf numFmtId="43" fontId="188" fillId="0" borderId="41" xfId="79" applyNumberFormat="1" applyFont="1" applyBorder="1" applyAlignment="1">
      <alignment wrapText="1"/>
    </xf>
    <xf numFmtId="0" fontId="126" fillId="0" borderId="63" xfId="79" applyFont="1" applyBorder="1" applyAlignment="1">
      <alignment wrapText="1"/>
    </xf>
    <xf numFmtId="0" fontId="126" fillId="0" borderId="14" xfId="79" applyFont="1" applyBorder="1" applyAlignment="1">
      <alignment wrapText="1"/>
    </xf>
    <xf numFmtId="43" fontId="134" fillId="0" borderId="41" xfId="79" applyNumberFormat="1" applyFont="1" applyBorder="1" applyAlignment="1">
      <alignment wrapText="1"/>
    </xf>
    <xf numFmtId="43" fontId="188" fillId="0" borderId="58" xfId="79" applyNumberFormat="1" applyFont="1" applyBorder="1" applyAlignment="1">
      <alignment wrapText="1"/>
    </xf>
    <xf numFmtId="0" fontId="190" fillId="0" borderId="0" xfId="79" applyFont="1" applyBorder="1" applyAlignment="1">
      <alignment wrapText="1"/>
    </xf>
    <xf numFmtId="0" fontId="120" fillId="0" borderId="0" xfId="79" applyBorder="1"/>
    <xf numFmtId="0" fontId="188" fillId="35" borderId="28" xfId="79" applyFont="1" applyFill="1" applyBorder="1" applyAlignment="1">
      <alignment horizontal="right"/>
    </xf>
    <xf numFmtId="0" fontId="188" fillId="35" borderId="29" xfId="79" applyFont="1" applyFill="1" applyBorder="1" applyAlignment="1">
      <alignment wrapText="1"/>
    </xf>
    <xf numFmtId="0" fontId="185" fillId="0" borderId="61" xfId="79" applyFont="1" applyBorder="1"/>
    <xf numFmtId="0" fontId="186" fillId="0" borderId="61" xfId="79" applyFont="1" applyBorder="1" applyAlignment="1"/>
    <xf numFmtId="0" fontId="186" fillId="0" borderId="27" xfId="79" applyFont="1" applyBorder="1" applyAlignment="1"/>
    <xf numFmtId="43" fontId="186" fillId="0" borderId="29" xfId="79" applyNumberFormat="1" applyFont="1" applyBorder="1"/>
    <xf numFmtId="43" fontId="186" fillId="0" borderId="16" xfId="79" applyNumberFormat="1" applyFont="1" applyBorder="1"/>
    <xf numFmtId="10" fontId="186" fillId="35" borderId="15" xfId="93" applyNumberFormat="1" applyFont="1" applyFill="1" applyBorder="1"/>
    <xf numFmtId="10" fontId="185" fillId="35" borderId="21" xfId="93" applyNumberFormat="1" applyFont="1" applyFill="1" applyBorder="1"/>
    <xf numFmtId="0" fontId="184" fillId="35" borderId="42" xfId="79" applyFont="1" applyFill="1" applyBorder="1" applyAlignment="1">
      <alignment horizontal="right"/>
    </xf>
    <xf numFmtId="0" fontId="126" fillId="0" borderId="43" xfId="79" applyFont="1" applyBorder="1" applyAlignment="1"/>
    <xf numFmtId="10" fontId="186" fillId="35" borderId="38" xfId="93" applyNumberFormat="1" applyFont="1" applyFill="1" applyBorder="1"/>
    <xf numFmtId="0" fontId="186" fillId="0" borderId="4" xfId="79" applyFont="1" applyBorder="1" applyAlignment="1"/>
    <xf numFmtId="0" fontId="111" fillId="34" borderId="78" xfId="79" applyFont="1" applyFill="1" applyBorder="1"/>
    <xf numFmtId="0" fontId="112" fillId="34" borderId="64" xfId="79" applyFont="1" applyFill="1" applyBorder="1" applyAlignment="1"/>
    <xf numFmtId="0" fontId="112" fillId="34" borderId="38" xfId="79" applyFont="1" applyFill="1" applyBorder="1" applyAlignment="1"/>
    <xf numFmtId="43" fontId="112" fillId="34" borderId="40" xfId="79" applyNumberFormat="1" applyFont="1" applyFill="1" applyBorder="1"/>
    <xf numFmtId="0" fontId="95" fillId="34" borderId="14" xfId="79" applyFont="1" applyFill="1" applyBorder="1" applyAlignment="1"/>
    <xf numFmtId="43" fontId="95" fillId="34" borderId="41" xfId="79" applyNumberFormat="1" applyFont="1" applyFill="1" applyBorder="1"/>
    <xf numFmtId="43" fontId="112" fillId="34" borderId="37" xfId="79" applyNumberFormat="1" applyFont="1" applyFill="1" applyBorder="1"/>
    <xf numFmtId="0" fontId="111" fillId="34" borderId="79" xfId="79" applyFont="1" applyFill="1" applyBorder="1"/>
    <xf numFmtId="0" fontId="112" fillId="34" borderId="52" xfId="79" applyFont="1" applyFill="1" applyBorder="1" applyAlignment="1"/>
    <xf numFmtId="0" fontId="112" fillId="34" borderId="14" xfId="79" applyFont="1" applyFill="1" applyBorder="1" applyAlignment="1"/>
    <xf numFmtId="43" fontId="112" fillId="34" borderId="41" xfId="79" applyNumberFormat="1" applyFont="1" applyFill="1" applyBorder="1"/>
    <xf numFmtId="0" fontId="95" fillId="34" borderId="4" xfId="79" applyFont="1" applyFill="1" applyBorder="1" applyAlignment="1"/>
    <xf numFmtId="43" fontId="112" fillId="34" borderId="58" xfId="79" applyNumberFormat="1" applyFont="1" applyFill="1" applyBorder="1"/>
    <xf numFmtId="0" fontId="112" fillId="34" borderId="63" xfId="79" applyFont="1" applyFill="1" applyBorder="1" applyAlignment="1"/>
    <xf numFmtId="0" fontId="112" fillId="34" borderId="57" xfId="79" applyFont="1" applyFill="1" applyBorder="1" applyAlignment="1"/>
    <xf numFmtId="0" fontId="112" fillId="46" borderId="42" xfId="79" applyFont="1" applyFill="1" applyBorder="1"/>
    <xf numFmtId="0" fontId="190" fillId="35" borderId="41" xfId="79" applyFont="1" applyFill="1" applyBorder="1"/>
    <xf numFmtId="0" fontId="95" fillId="34" borderId="63" xfId="79" applyFont="1" applyFill="1" applyBorder="1" applyAlignment="1"/>
    <xf numFmtId="0" fontId="111" fillId="34" borderId="70" xfId="79" applyFont="1" applyFill="1" applyBorder="1"/>
    <xf numFmtId="0" fontId="112" fillId="34" borderId="61" xfId="79" applyFont="1" applyFill="1" applyBorder="1" applyAlignment="1"/>
    <xf numFmtId="0" fontId="112" fillId="34" borderId="27" xfId="79" applyFont="1" applyFill="1" applyBorder="1" applyAlignment="1"/>
    <xf numFmtId="43" fontId="112" fillId="34" borderId="29" xfId="79" applyNumberFormat="1" applyFont="1" applyFill="1" applyBorder="1"/>
    <xf numFmtId="0" fontId="95" fillId="34" borderId="43" xfId="79" applyFont="1" applyFill="1" applyBorder="1" applyAlignment="1"/>
    <xf numFmtId="0" fontId="95" fillId="34" borderId="38" xfId="79" applyFont="1" applyFill="1" applyBorder="1" applyAlignment="1"/>
    <xf numFmtId="43" fontId="95" fillId="34" borderId="40" xfId="79" applyNumberFormat="1" applyFont="1" applyFill="1" applyBorder="1"/>
    <xf numFmtId="43" fontId="112" fillId="34" borderId="16" xfId="79" applyNumberFormat="1" applyFont="1" applyFill="1" applyBorder="1"/>
    <xf numFmtId="14" fontId="184" fillId="35" borderId="19" xfId="79" applyNumberFormat="1" applyFont="1" applyFill="1" applyBorder="1" applyAlignment="1">
      <alignment horizontal="right"/>
    </xf>
    <xf numFmtId="43" fontId="185" fillId="34" borderId="21" xfId="79" applyNumberFormat="1" applyFont="1" applyFill="1" applyBorder="1"/>
    <xf numFmtId="3" fontId="126" fillId="0" borderId="51" xfId="79" applyNumberFormat="1" applyFont="1" applyBorder="1" applyAlignment="1"/>
    <xf numFmtId="43" fontId="129" fillId="34" borderId="21" xfId="79" applyNumberFormat="1" applyFont="1" applyFill="1" applyBorder="1"/>
    <xf numFmtId="0" fontId="186" fillId="34" borderId="51" xfId="79" applyFont="1" applyFill="1" applyBorder="1" applyAlignment="1"/>
    <xf numFmtId="0" fontId="186" fillId="34" borderId="18" xfId="79" applyFont="1" applyFill="1" applyBorder="1" applyAlignment="1"/>
    <xf numFmtId="43" fontId="185" fillId="34" borderId="20" xfId="79" applyNumberFormat="1" applyFont="1" applyFill="1" applyBorder="1"/>
    <xf numFmtId="0" fontId="185" fillId="0" borderId="71" xfId="79" applyFont="1" applyBorder="1"/>
    <xf numFmtId="43" fontId="129" fillId="0" borderId="40" xfId="79" applyNumberFormat="1" applyFont="1" applyBorder="1"/>
    <xf numFmtId="10" fontId="185" fillId="35" borderId="27" xfId="93" applyNumberFormat="1" applyFont="1" applyFill="1" applyBorder="1"/>
    <xf numFmtId="43" fontId="187" fillId="34" borderId="21" xfId="79" applyNumberFormat="1" applyFont="1" applyFill="1" applyBorder="1"/>
    <xf numFmtId="10" fontId="187" fillId="35" borderId="21" xfId="93" applyNumberFormat="1" applyFont="1" applyFill="1" applyBorder="1"/>
    <xf numFmtId="0" fontId="184" fillId="35" borderId="32" xfId="79" applyFont="1" applyFill="1" applyBorder="1" applyAlignment="1">
      <alignment horizontal="right"/>
    </xf>
    <xf numFmtId="0" fontId="184" fillId="35" borderId="31" xfId="79" applyFont="1" applyFill="1" applyBorder="1" applyAlignment="1">
      <alignment horizontal="left" vertical="center" wrapText="1"/>
    </xf>
    <xf numFmtId="0" fontId="186" fillId="0" borderId="32" xfId="79" applyFont="1" applyBorder="1" applyAlignment="1"/>
    <xf numFmtId="43" fontId="185" fillId="34" borderId="31" xfId="79" applyNumberFormat="1" applyFont="1" applyFill="1" applyBorder="1"/>
    <xf numFmtId="0" fontId="126" fillId="0" borderId="12" xfId="79" applyFont="1" applyBorder="1" applyAlignment="1"/>
    <xf numFmtId="0" fontId="126" fillId="0" borderId="27" xfId="79" applyFont="1" applyBorder="1" applyAlignment="1"/>
    <xf numFmtId="43" fontId="129" fillId="0" borderId="29" xfId="79" applyNumberFormat="1" applyFont="1" applyBorder="1"/>
    <xf numFmtId="0" fontId="186" fillId="34" borderId="28" xfId="79" applyFont="1" applyFill="1" applyBorder="1" applyAlignment="1"/>
    <xf numFmtId="0" fontId="186" fillId="34" borderId="27" xfId="79" applyFont="1" applyFill="1" applyBorder="1" applyAlignment="1"/>
    <xf numFmtId="43" fontId="185" fillId="34" borderId="16" xfId="79" applyNumberFormat="1" applyFont="1" applyFill="1" applyBorder="1"/>
    <xf numFmtId="10" fontId="185" fillId="35" borderId="15" xfId="93" applyNumberFormat="1" applyFont="1" applyFill="1" applyBorder="1"/>
    <xf numFmtId="0" fontId="187" fillId="35" borderId="19" xfId="79" applyFont="1" applyFill="1" applyBorder="1" applyAlignment="1">
      <alignment horizontal="right"/>
    </xf>
    <xf numFmtId="0" fontId="187" fillId="35" borderId="21" xfId="79" applyFont="1" applyFill="1" applyBorder="1" applyAlignment="1">
      <alignment horizontal="right"/>
    </xf>
    <xf numFmtId="0" fontId="187" fillId="0" borderId="51" xfId="79" applyFont="1" applyBorder="1"/>
    <xf numFmtId="43" fontId="187" fillId="0" borderId="19" xfId="79" applyNumberFormat="1" applyFont="1" applyBorder="1"/>
    <xf numFmtId="43" fontId="187" fillId="0" borderId="18" xfId="79" applyNumberFormat="1" applyFont="1" applyBorder="1"/>
    <xf numFmtId="9" fontId="187" fillId="35" borderId="21" xfId="93" applyNumberFormat="1" applyFont="1" applyFill="1" applyBorder="1"/>
    <xf numFmtId="0" fontId="186" fillId="0" borderId="0" xfId="79" applyFont="1"/>
    <xf numFmtId="0" fontId="186" fillId="0" borderId="0" xfId="79" applyFont="1" applyAlignment="1"/>
    <xf numFmtId="10" fontId="185" fillId="34" borderId="0" xfId="93" applyNumberFormat="1" applyFont="1" applyFill="1" applyBorder="1"/>
    <xf numFmtId="0" fontId="136" fillId="0" borderId="0" xfId="79" applyFont="1"/>
    <xf numFmtId="0" fontId="184" fillId="35" borderId="39" xfId="79" applyFont="1" applyFill="1" applyBorder="1" applyAlignment="1">
      <alignment horizontal="right"/>
    </xf>
    <xf numFmtId="0" fontId="184" fillId="35" borderId="71" xfId="79" applyFont="1" applyFill="1" applyBorder="1" applyAlignment="1">
      <alignment horizontal="left" vertical="center" wrapText="1"/>
    </xf>
    <xf numFmtId="0" fontId="126" fillId="0" borderId="26" xfId="79" applyFont="1" applyBorder="1" applyAlignment="1"/>
    <xf numFmtId="43" fontId="184" fillId="35" borderId="18" xfId="79" applyNumberFormat="1" applyFont="1" applyFill="1" applyBorder="1"/>
    <xf numFmtId="0" fontId="184" fillId="35" borderId="65" xfId="79" applyFont="1" applyFill="1" applyBorder="1" applyAlignment="1">
      <alignment horizontal="center" vertical="center" wrapText="1"/>
    </xf>
    <xf numFmtId="0" fontId="184" fillId="35" borderId="67" xfId="79" applyFont="1" applyFill="1" applyBorder="1" applyAlignment="1">
      <alignment horizontal="center" vertical="center" wrapText="1"/>
    </xf>
    <xf numFmtId="0" fontId="185" fillId="36" borderId="54" xfId="79" applyFont="1" applyFill="1" applyBorder="1" applyAlignment="1">
      <alignment horizontal="center" vertical="center" wrapText="1"/>
    </xf>
    <xf numFmtId="0" fontId="185" fillId="36" borderId="62" xfId="79" applyFont="1" applyFill="1" applyBorder="1" applyAlignment="1">
      <alignment horizontal="center" vertical="center" wrapText="1"/>
    </xf>
    <xf numFmtId="0" fontId="185" fillId="36" borderId="35" xfId="79" applyFont="1" applyFill="1" applyBorder="1" applyAlignment="1">
      <alignment horizontal="center" vertical="center" wrapText="1"/>
    </xf>
    <xf numFmtId="0" fontId="185" fillId="36" borderId="34" xfId="79" applyFont="1" applyFill="1" applyBorder="1" applyAlignment="1">
      <alignment horizontal="center" vertical="center" wrapText="1"/>
    </xf>
    <xf numFmtId="0" fontId="191" fillId="47" borderId="0" xfId="79" applyFont="1" applyFill="1" applyBorder="1" applyAlignment="1">
      <alignment horizontal="center" vertical="center" wrapText="1"/>
    </xf>
    <xf numFmtId="0" fontId="191" fillId="47" borderId="27" xfId="79" applyFont="1" applyFill="1" applyBorder="1" applyAlignment="1">
      <alignment horizontal="center" vertical="center" wrapText="1"/>
    </xf>
    <xf numFmtId="0" fontId="191" fillId="47" borderId="53" xfId="79" applyFont="1" applyFill="1" applyBorder="1" applyAlignment="1">
      <alignment horizontal="center" vertical="center" wrapText="1"/>
    </xf>
    <xf numFmtId="0" fontId="191" fillId="47" borderId="61" xfId="79" applyFont="1" applyFill="1" applyBorder="1" applyAlignment="1">
      <alignment horizontal="center" vertical="center" wrapText="1"/>
    </xf>
    <xf numFmtId="0" fontId="184" fillId="35" borderId="26" xfId="79" applyFont="1" applyFill="1" applyBorder="1" applyAlignment="1">
      <alignment horizontal="left" vertical="center" wrapText="1"/>
    </xf>
    <xf numFmtId="0" fontId="186" fillId="0" borderId="26" xfId="79" applyFont="1" applyBorder="1" applyAlignment="1"/>
    <xf numFmtId="0" fontId="128" fillId="0" borderId="64" xfId="79" applyFont="1" applyBorder="1" applyAlignment="1"/>
    <xf numFmtId="0" fontId="128" fillId="0" borderId="45" xfId="79" applyFont="1" applyBorder="1" applyAlignment="1"/>
    <xf numFmtId="4" fontId="127" fillId="0" borderId="44" xfId="79" applyNumberFormat="1" applyFont="1" applyBorder="1"/>
    <xf numFmtId="0" fontId="186" fillId="0" borderId="66" xfId="79" applyFont="1" applyBorder="1" applyAlignment="1"/>
    <xf numFmtId="0" fontId="186" fillId="0" borderId="24" xfId="79" applyNumberFormat="1" applyFont="1" applyBorder="1" applyAlignment="1"/>
    <xf numFmtId="43" fontId="187" fillId="0" borderId="23" xfId="79" applyNumberFormat="1" applyFont="1" applyBorder="1"/>
    <xf numFmtId="0" fontId="192" fillId="0" borderId="19" xfId="79" applyFont="1" applyBorder="1"/>
    <xf numFmtId="0" fontId="192" fillId="0" borderId="22" xfId="79" applyFont="1" applyBorder="1"/>
    <xf numFmtId="43" fontId="193" fillId="0" borderId="17" xfId="79" applyNumberFormat="1" applyFont="1" applyBorder="1"/>
    <xf numFmtId="0" fontId="192" fillId="0" borderId="81" xfId="79" applyFont="1" applyBorder="1"/>
    <xf numFmtId="0" fontId="192" fillId="0" borderId="49" xfId="79" applyFont="1" applyBorder="1"/>
    <xf numFmtId="43" fontId="193" fillId="0" borderId="82" xfId="79" applyNumberFormat="1" applyFont="1" applyBorder="1"/>
    <xf numFmtId="0" fontId="192" fillId="0" borderId="85" xfId="79" applyFont="1" applyBorder="1"/>
    <xf numFmtId="43" fontId="193" fillId="0" borderId="85" xfId="79" applyNumberFormat="1" applyFont="1" applyBorder="1"/>
    <xf numFmtId="43" fontId="193" fillId="0" borderId="20" xfId="79" applyNumberFormat="1" applyFont="1" applyBorder="1"/>
    <xf numFmtId="0" fontId="184" fillId="35" borderId="27" xfId="79" applyFont="1" applyFill="1" applyBorder="1"/>
    <xf numFmtId="43" fontId="184" fillId="35" borderId="27" xfId="79" applyNumberFormat="1" applyFont="1" applyFill="1" applyBorder="1"/>
    <xf numFmtId="9" fontId="184" fillId="35" borderId="29" xfId="93" applyFont="1" applyFill="1" applyBorder="1"/>
    <xf numFmtId="0" fontId="184" fillId="35" borderId="26" xfId="79" applyFont="1" applyFill="1" applyBorder="1" applyAlignment="1">
      <alignment wrapText="1"/>
    </xf>
    <xf numFmtId="43" fontId="185" fillId="0" borderId="18" xfId="79" applyNumberFormat="1" applyFont="1" applyBorder="1"/>
    <xf numFmtId="0" fontId="186" fillId="0" borderId="22" xfId="79" applyFont="1" applyBorder="1" applyAlignment="1"/>
    <xf numFmtId="0" fontId="128" fillId="0" borderId="19" xfId="79" applyFont="1" applyBorder="1" applyAlignment="1"/>
    <xf numFmtId="0" fontId="128" fillId="0" borderId="18" xfId="79" applyFont="1" applyBorder="1" applyAlignment="1"/>
    <xf numFmtId="4" fontId="131" fillId="0" borderId="21" xfId="79" applyNumberFormat="1" applyFont="1" applyBorder="1"/>
    <xf numFmtId="1" fontId="186" fillId="0" borderId="19" xfId="79" applyNumberFormat="1" applyFont="1" applyBorder="1" applyAlignment="1"/>
    <xf numFmtId="0" fontId="186" fillId="0" borderId="18" xfId="79" applyNumberFormat="1" applyFont="1" applyBorder="1" applyAlignment="1"/>
    <xf numFmtId="43" fontId="191" fillId="0" borderId="26" xfId="79" applyNumberFormat="1" applyFont="1" applyBorder="1"/>
    <xf numFmtId="43" fontId="191" fillId="0" borderId="66" xfId="79" applyNumberFormat="1" applyFont="1" applyBorder="1"/>
    <xf numFmtId="0" fontId="192" fillId="0" borderId="25" xfId="79" applyFont="1" applyBorder="1"/>
    <xf numFmtId="0" fontId="192" fillId="0" borderId="30" xfId="79" applyFont="1" applyBorder="1"/>
    <xf numFmtId="9" fontId="184" fillId="35" borderId="21" xfId="93" applyFont="1" applyFill="1" applyBorder="1"/>
    <xf numFmtId="0" fontId="188" fillId="35" borderId="43" xfId="79" applyFont="1" applyFill="1" applyBorder="1" applyAlignment="1">
      <alignment wrapText="1"/>
    </xf>
    <xf numFmtId="4" fontId="128" fillId="0" borderId="40" xfId="79" applyNumberFormat="1" applyFont="1" applyBorder="1"/>
    <xf numFmtId="0" fontId="192" fillId="0" borderId="42" xfId="79" applyFont="1" applyBorder="1"/>
    <xf numFmtId="0" fontId="192" fillId="0" borderId="75" xfId="79" applyFont="1" applyBorder="1"/>
    <xf numFmtId="43" fontId="192" fillId="0" borderId="56" xfId="79" applyNumberFormat="1" applyFont="1" applyBorder="1"/>
    <xf numFmtId="43" fontId="192" fillId="0" borderId="43" xfId="79" applyNumberFormat="1" applyFont="1" applyBorder="1"/>
    <xf numFmtId="0" fontId="184" fillId="35" borderId="38" xfId="79" applyFont="1" applyFill="1" applyBorder="1"/>
    <xf numFmtId="10" fontId="184" fillId="35" borderId="40" xfId="93" applyNumberFormat="1" applyFont="1" applyFill="1" applyBorder="1"/>
    <xf numFmtId="0" fontId="128" fillId="0" borderId="38" xfId="79" applyFont="1" applyBorder="1" applyAlignment="1"/>
    <xf numFmtId="0" fontId="186" fillId="0" borderId="38" xfId="79" applyNumberFormat="1" applyFont="1" applyBorder="1" applyAlignment="1"/>
    <xf numFmtId="0" fontId="184" fillId="35" borderId="14" xfId="79" applyFont="1" applyFill="1" applyBorder="1"/>
    <xf numFmtId="9" fontId="188" fillId="35" borderId="41" xfId="93" applyFont="1" applyFill="1" applyBorder="1"/>
    <xf numFmtId="0" fontId="188" fillId="35" borderId="4" xfId="79" applyFont="1" applyFill="1" applyBorder="1" applyAlignment="1">
      <alignment wrapText="1"/>
    </xf>
    <xf numFmtId="0" fontId="128" fillId="0" borderId="14" xfId="79" applyFont="1" applyBorder="1" applyAlignment="1"/>
    <xf numFmtId="4" fontId="128" fillId="0" borderId="41" xfId="79" applyNumberFormat="1" applyFont="1" applyBorder="1"/>
    <xf numFmtId="0" fontId="186" fillId="0" borderId="14" xfId="79" applyNumberFormat="1" applyFont="1" applyBorder="1" applyAlignment="1"/>
    <xf numFmtId="0" fontId="192" fillId="0" borderId="39" xfId="79" applyFont="1" applyBorder="1"/>
    <xf numFmtId="0" fontId="192" fillId="0" borderId="38" xfId="79" applyFont="1" applyBorder="1"/>
    <xf numFmtId="0" fontId="192" fillId="0" borderId="43" xfId="79" applyFont="1" applyBorder="1"/>
    <xf numFmtId="10" fontId="188" fillId="35" borderId="41" xfId="93" applyNumberFormat="1" applyFont="1" applyFill="1" applyBorder="1"/>
    <xf numFmtId="0" fontId="188" fillId="35" borderId="33" xfId="79" applyFont="1" applyFill="1" applyBorder="1" applyAlignment="1">
      <alignment wrapText="1"/>
    </xf>
    <xf numFmtId="0" fontId="186" fillId="0" borderId="15" xfId="79" applyNumberFormat="1" applyFont="1" applyBorder="1" applyAlignment="1"/>
    <xf numFmtId="0" fontId="192" fillId="0" borderId="28" xfId="79" applyFont="1" applyBorder="1"/>
    <xf numFmtId="0" fontId="192" fillId="0" borderId="12" xfId="79" applyFont="1" applyBorder="1"/>
    <xf numFmtId="43" fontId="192" fillId="0" borderId="53" xfId="79" applyNumberFormat="1" applyFont="1" applyBorder="1"/>
    <xf numFmtId="43" fontId="192" fillId="0" borderId="0" xfId="79" applyNumberFormat="1" applyFont="1" applyBorder="1"/>
    <xf numFmtId="0" fontId="184" fillId="35" borderId="15" xfId="79" applyFont="1" applyFill="1" applyBorder="1"/>
    <xf numFmtId="9" fontId="188" fillId="35" borderId="31" xfId="93" applyFont="1" applyFill="1" applyBorder="1"/>
    <xf numFmtId="43" fontId="191" fillId="0" borderId="19" xfId="79" applyNumberFormat="1" applyFont="1" applyBorder="1"/>
    <xf numFmtId="43" fontId="191" fillId="0" borderId="18" xfId="79" applyNumberFormat="1" applyFont="1" applyBorder="1"/>
    <xf numFmtId="43" fontId="191" fillId="0" borderId="21" xfId="79" applyNumberFormat="1" applyFont="1" applyBorder="1"/>
    <xf numFmtId="43" fontId="191" fillId="0" borderId="20" xfId="79" applyNumberFormat="1" applyFont="1" applyBorder="1"/>
    <xf numFmtId="0" fontId="186" fillId="0" borderId="43" xfId="79" applyFont="1" applyBorder="1" applyAlignment="1"/>
    <xf numFmtId="0" fontId="186" fillId="0" borderId="64" xfId="79" applyFont="1" applyBorder="1" applyAlignment="1"/>
    <xf numFmtId="0" fontId="186" fillId="0" borderId="45" xfId="79" applyFont="1" applyBorder="1" applyAlignment="1"/>
    <xf numFmtId="43" fontId="186" fillId="0" borderId="44" xfId="79" applyNumberFormat="1" applyFont="1" applyBorder="1"/>
    <xf numFmtId="0" fontId="128" fillId="0" borderId="52" xfId="79" applyFont="1" applyBorder="1" applyAlignment="1"/>
    <xf numFmtId="0" fontId="186" fillId="0" borderId="0" xfId="79" applyFont="1" applyBorder="1" applyAlignment="1"/>
    <xf numFmtId="0" fontId="186" fillId="0" borderId="46" xfId="79" applyFont="1" applyBorder="1" applyAlignment="1"/>
    <xf numFmtId="0" fontId="186" fillId="0" borderId="45" xfId="79" applyNumberFormat="1" applyFont="1" applyBorder="1" applyAlignment="1"/>
    <xf numFmtId="43" fontId="192" fillId="0" borderId="37" xfId="79" applyNumberFormat="1" applyFont="1" applyBorder="1"/>
    <xf numFmtId="9" fontId="188" fillId="35" borderId="40" xfId="93" applyFont="1" applyFill="1" applyBorder="1"/>
    <xf numFmtId="0" fontId="120" fillId="0" borderId="57" xfId="79" applyFont="1" applyBorder="1" applyAlignment="1"/>
    <xf numFmtId="0" fontId="120" fillId="0" borderId="14" xfId="79" applyNumberFormat="1" applyFont="1" applyBorder="1" applyAlignment="1"/>
    <xf numFmtId="43" fontId="120" fillId="0" borderId="41" xfId="79" applyNumberFormat="1" applyBorder="1"/>
    <xf numFmtId="0" fontId="192" fillId="0" borderId="57" xfId="79" applyFont="1" applyBorder="1"/>
    <xf numFmtId="0" fontId="192" fillId="0" borderId="14" xfId="79" applyFont="1" applyBorder="1"/>
    <xf numFmtId="43" fontId="192" fillId="0" borderId="58" xfId="79" applyNumberFormat="1" applyFont="1" applyBorder="1"/>
    <xf numFmtId="0" fontId="186" fillId="0" borderId="63" xfId="79" applyFont="1" applyBorder="1" applyAlignment="1"/>
    <xf numFmtId="0" fontId="188" fillId="35" borderId="4" xfId="79" applyFont="1" applyFill="1" applyBorder="1" applyAlignment="1">
      <alignment horizontal="left" vertical="center" wrapText="1"/>
    </xf>
    <xf numFmtId="0" fontId="186" fillId="34" borderId="57" xfId="79" applyFont="1" applyFill="1" applyBorder="1" applyAlignment="1"/>
    <xf numFmtId="0" fontId="186" fillId="34" borderId="14" xfId="79" applyFont="1" applyFill="1" applyBorder="1" applyAlignment="1"/>
    <xf numFmtId="0" fontId="192" fillId="46" borderId="42" xfId="79" applyFont="1" applyFill="1" applyBorder="1"/>
    <xf numFmtId="0" fontId="192" fillId="46" borderId="43" xfId="79" applyFont="1" applyFill="1" applyBorder="1"/>
    <xf numFmtId="0" fontId="192" fillId="46" borderId="38" xfId="79" applyFont="1" applyFill="1" applyBorder="1"/>
    <xf numFmtId="0" fontId="192" fillId="46" borderId="57" xfId="79" applyFont="1" applyFill="1" applyBorder="1"/>
    <xf numFmtId="0" fontId="192" fillId="46" borderId="14" xfId="79" applyFont="1" applyFill="1" applyBorder="1"/>
    <xf numFmtId="0" fontId="188" fillId="35" borderId="33" xfId="79" applyFont="1" applyFill="1" applyBorder="1" applyAlignment="1">
      <alignment horizontal="left" vertical="center" wrapText="1"/>
    </xf>
    <xf numFmtId="0" fontId="186" fillId="0" borderId="35" xfId="79" applyFont="1" applyBorder="1" applyAlignment="1"/>
    <xf numFmtId="43" fontId="186" fillId="0" borderId="34" xfId="79" applyNumberFormat="1" applyFont="1" applyBorder="1"/>
    <xf numFmtId="0" fontId="186" fillId="0" borderId="36" xfId="79" applyFont="1" applyBorder="1" applyAlignment="1"/>
    <xf numFmtId="0" fontId="186" fillId="0" borderId="35" xfId="79" applyNumberFormat="1" applyFont="1" applyBorder="1" applyAlignment="1"/>
    <xf numFmtId="0" fontId="192" fillId="0" borderId="0" xfId="79" applyFont="1" applyBorder="1"/>
    <xf numFmtId="0" fontId="192" fillId="0" borderId="27" xfId="79" applyFont="1" applyBorder="1"/>
    <xf numFmtId="0" fontId="192" fillId="0" borderId="36" xfId="79" applyFont="1" applyBorder="1"/>
    <xf numFmtId="0" fontId="192" fillId="0" borderId="35" xfId="79" applyFont="1" applyBorder="1"/>
    <xf numFmtId="43" fontId="192" fillId="0" borderId="59" xfId="79" applyNumberFormat="1" applyFont="1" applyBorder="1"/>
    <xf numFmtId="1" fontId="186" fillId="0" borderId="25" xfId="79" applyNumberFormat="1" applyFont="1" applyBorder="1" applyAlignment="1"/>
    <xf numFmtId="43" fontId="185" fillId="0" borderId="23" xfId="79" applyNumberFormat="1" applyFont="1" applyBorder="1"/>
    <xf numFmtId="43" fontId="191" fillId="0" borderId="22" xfId="79" applyNumberFormat="1" applyFont="1" applyBorder="1"/>
    <xf numFmtId="0" fontId="186" fillId="34" borderId="45" xfId="79" applyFont="1" applyFill="1" applyBorder="1" applyAlignment="1"/>
    <xf numFmtId="0" fontId="186" fillId="34" borderId="45" xfId="79" applyNumberFormat="1" applyFont="1" applyFill="1" applyBorder="1" applyAlignment="1"/>
    <xf numFmtId="43" fontId="186" fillId="0" borderId="60" xfId="79" applyNumberFormat="1" applyFont="1" applyBorder="1"/>
    <xf numFmtId="0" fontId="192" fillId="46" borderId="75" xfId="79" applyFont="1" applyFill="1" applyBorder="1"/>
    <xf numFmtId="0" fontId="186" fillId="34" borderId="39" xfId="79" applyFont="1" applyFill="1" applyBorder="1" applyAlignment="1"/>
    <xf numFmtId="0" fontId="186" fillId="34" borderId="38" xfId="79" applyNumberFormat="1" applyFont="1" applyFill="1" applyBorder="1" applyAlignment="1"/>
    <xf numFmtId="0" fontId="128" fillId="0" borderId="57" xfId="79" applyFont="1" applyBorder="1" applyAlignment="1"/>
    <xf numFmtId="1" fontId="194" fillId="0" borderId="57" xfId="79" applyNumberFormat="1" applyFont="1" applyBorder="1" applyAlignment="1"/>
    <xf numFmtId="0" fontId="194" fillId="0" borderId="14" xfId="79" applyNumberFormat="1" applyFont="1" applyBorder="1" applyAlignment="1"/>
    <xf numFmtId="43" fontId="194" fillId="0" borderId="41" xfId="79" applyNumberFormat="1" applyFont="1" applyBorder="1"/>
    <xf numFmtId="0" fontId="192" fillId="0" borderId="37" xfId="79" applyFont="1" applyBorder="1"/>
    <xf numFmtId="43" fontId="192" fillId="0" borderId="40" xfId="79" applyNumberFormat="1" applyFont="1" applyBorder="1"/>
    <xf numFmtId="43" fontId="192" fillId="0" borderId="29" xfId="79" applyNumberFormat="1" applyFont="1" applyBorder="1"/>
    <xf numFmtId="43" fontId="192" fillId="0" borderId="16" xfId="79" applyNumberFormat="1" applyFont="1" applyBorder="1"/>
    <xf numFmtId="0" fontId="186" fillId="0" borderId="63" xfId="79" applyFont="1" applyBorder="1" applyAlignment="1">
      <alignment wrapText="1"/>
    </xf>
    <xf numFmtId="1" fontId="120" fillId="0" borderId="57" xfId="79" applyNumberFormat="1" applyFont="1" applyBorder="1" applyAlignment="1"/>
    <xf numFmtId="0" fontId="192" fillId="0" borderId="42" xfId="79" applyFont="1" applyBorder="1" applyAlignment="1">
      <alignment wrapText="1"/>
    </xf>
    <xf numFmtId="0" fontId="192" fillId="0" borderId="75" xfId="79" applyFont="1" applyBorder="1" applyAlignment="1">
      <alignment wrapText="1"/>
    </xf>
    <xf numFmtId="43" fontId="195" fillId="0" borderId="56" xfId="79" applyNumberFormat="1" applyFont="1" applyBorder="1" applyAlignment="1">
      <alignment wrapText="1"/>
    </xf>
    <xf numFmtId="0" fontId="192" fillId="0" borderId="63" xfId="79" applyFont="1" applyBorder="1" applyAlignment="1">
      <alignment wrapText="1"/>
    </xf>
    <xf numFmtId="43" fontId="195" fillId="0" borderId="86" xfId="79" applyNumberFormat="1" applyFont="1" applyBorder="1" applyAlignment="1">
      <alignment wrapText="1"/>
    </xf>
    <xf numFmtId="43" fontId="195" fillId="0" borderId="4" xfId="79" applyNumberFormat="1" applyFont="1" applyBorder="1" applyAlignment="1">
      <alignment wrapText="1"/>
    </xf>
    <xf numFmtId="0" fontId="188" fillId="35" borderId="0" xfId="79" applyFont="1" applyFill="1" applyBorder="1" applyAlignment="1">
      <alignment wrapText="1"/>
    </xf>
    <xf numFmtId="0" fontId="186" fillId="0" borderId="62" xfId="79" applyFont="1" applyBorder="1" applyAlignment="1"/>
    <xf numFmtId="0" fontId="186" fillId="0" borderId="24" xfId="79" applyFont="1" applyBorder="1" applyAlignment="1"/>
    <xf numFmtId="43" fontId="186" fillId="0" borderId="23" xfId="79" applyNumberFormat="1" applyFont="1" applyBorder="1"/>
    <xf numFmtId="0" fontId="192" fillId="0" borderId="61" xfId="79" applyFont="1" applyBorder="1"/>
    <xf numFmtId="10" fontId="188" fillId="35" borderId="31" xfId="93" applyNumberFormat="1" applyFont="1" applyFill="1" applyBorder="1"/>
    <xf numFmtId="0" fontId="128" fillId="0" borderId="50" xfId="79" applyFont="1" applyBorder="1" applyAlignment="1"/>
    <xf numFmtId="0" fontId="128" fillId="0" borderId="49" xfId="79" applyFont="1" applyBorder="1" applyAlignment="1"/>
    <xf numFmtId="4" fontId="131" fillId="0" borderId="48" xfId="79" applyNumberFormat="1" applyFont="1" applyBorder="1"/>
    <xf numFmtId="1" fontId="186" fillId="0" borderId="50" xfId="79" applyNumberFormat="1" applyFont="1" applyBorder="1" applyAlignment="1"/>
    <xf numFmtId="0" fontId="186" fillId="0" borderId="49" xfId="79" applyNumberFormat="1" applyFont="1" applyBorder="1" applyAlignment="1"/>
    <xf numFmtId="43" fontId="185" fillId="0" borderId="48" xfId="79" applyNumberFormat="1" applyFont="1" applyBorder="1"/>
    <xf numFmtId="0" fontId="186" fillId="0" borderId="50" xfId="79" applyFont="1" applyBorder="1" applyAlignment="1"/>
    <xf numFmtId="0" fontId="186" fillId="0" borderId="49" xfId="79" applyFont="1" applyBorder="1" applyAlignment="1"/>
    <xf numFmtId="0" fontId="120" fillId="0" borderId="46" xfId="79" applyFont="1" applyBorder="1" applyAlignment="1"/>
    <xf numFmtId="0" fontId="120" fillId="0" borderId="45" xfId="79" applyFont="1" applyBorder="1" applyAlignment="1"/>
    <xf numFmtId="0" fontId="120" fillId="0" borderId="44" xfId="79" applyBorder="1"/>
    <xf numFmtId="0" fontId="120" fillId="0" borderId="45" xfId="79" applyNumberFormat="1" applyFont="1" applyBorder="1" applyAlignment="1"/>
    <xf numFmtId="43" fontId="120" fillId="0" borderId="60" xfId="79" applyNumberFormat="1" applyBorder="1"/>
    <xf numFmtId="10" fontId="188" fillId="35" borderId="40" xfId="93" applyNumberFormat="1" applyFont="1" applyFill="1" applyBorder="1"/>
    <xf numFmtId="4" fontId="128" fillId="34" borderId="41" xfId="79" applyNumberFormat="1" applyFont="1" applyFill="1" applyBorder="1"/>
    <xf numFmtId="43" fontId="186" fillId="0" borderId="52" xfId="79" applyNumberFormat="1" applyFont="1" applyBorder="1"/>
    <xf numFmtId="0" fontId="186" fillId="0" borderId="14" xfId="79" applyNumberFormat="1" applyFont="1" applyBorder="1" applyAlignment="1">
      <alignment wrapText="1"/>
    </xf>
    <xf numFmtId="0" fontId="192" fillId="0" borderId="32" xfId="79" applyFont="1" applyBorder="1"/>
    <xf numFmtId="0" fontId="192" fillId="0" borderId="68" xfId="79" applyFont="1" applyBorder="1"/>
    <xf numFmtId="0" fontId="192" fillId="0" borderId="55" xfId="79" applyFont="1" applyBorder="1"/>
    <xf numFmtId="0" fontId="192" fillId="0" borderId="15" xfId="79" applyFont="1" applyBorder="1"/>
    <xf numFmtId="0" fontId="192" fillId="0" borderId="33" xfId="79" applyFont="1" applyBorder="1"/>
    <xf numFmtId="0" fontId="128" fillId="0" borderId="47" xfId="79" applyFont="1" applyBorder="1" applyAlignment="1"/>
    <xf numFmtId="0" fontId="128" fillId="0" borderId="35" xfId="79" applyFont="1" applyBorder="1" applyAlignment="1"/>
    <xf numFmtId="4" fontId="128" fillId="0" borderId="34" xfId="79" applyNumberFormat="1" applyFont="1" applyBorder="1"/>
    <xf numFmtId="43" fontId="186" fillId="0" borderId="59" xfId="79" applyNumberFormat="1" applyFont="1" applyBorder="1"/>
    <xf numFmtId="0" fontId="120" fillId="0" borderId="36" xfId="79" applyFont="1" applyBorder="1" applyAlignment="1"/>
    <xf numFmtId="0" fontId="120" fillId="0" borderId="35" xfId="79" applyFont="1" applyBorder="1" applyAlignment="1"/>
    <xf numFmtId="0" fontId="120" fillId="0" borderId="34" xfId="79" applyBorder="1"/>
    <xf numFmtId="1" fontId="186" fillId="0" borderId="28" xfId="79" applyNumberFormat="1" applyFont="1" applyBorder="1" applyAlignment="1"/>
    <xf numFmtId="0" fontId="186" fillId="0" borderId="27" xfId="79" applyNumberFormat="1" applyFont="1" applyBorder="1" applyAlignment="1"/>
    <xf numFmtId="43" fontId="185" fillId="0" borderId="29" xfId="79" applyNumberFormat="1" applyFont="1" applyBorder="1"/>
    <xf numFmtId="0" fontId="186" fillId="0" borderId="28" xfId="79" applyFont="1" applyBorder="1" applyAlignment="1"/>
    <xf numFmtId="0" fontId="192" fillId="0" borderId="50" xfId="79" applyFont="1" applyBorder="1"/>
    <xf numFmtId="0" fontId="192" fillId="0" borderId="87" xfId="79" applyFont="1" applyBorder="1"/>
    <xf numFmtId="43" fontId="191" fillId="0" borderId="85" xfId="79" applyNumberFormat="1" applyFont="1" applyBorder="1"/>
    <xf numFmtId="0" fontId="188" fillId="35" borderId="56" xfId="79" applyFont="1" applyFill="1" applyBorder="1" applyAlignment="1">
      <alignment wrapText="1"/>
    </xf>
    <xf numFmtId="0" fontId="112" fillId="34" borderId="45" xfId="79" applyFont="1" applyFill="1" applyBorder="1" applyAlignment="1"/>
    <xf numFmtId="43" fontId="112" fillId="34" borderId="44" xfId="79" applyNumberFormat="1" applyFont="1" applyFill="1" applyBorder="1"/>
    <xf numFmtId="0" fontId="112" fillId="34" borderId="65" xfId="79" applyFont="1" applyFill="1" applyBorder="1" applyAlignment="1"/>
    <xf numFmtId="0" fontId="113" fillId="34" borderId="14" xfId="79" applyFont="1" applyFill="1" applyBorder="1" applyAlignment="1"/>
    <xf numFmtId="4" fontId="113" fillId="34" borderId="41" xfId="79" applyNumberFormat="1" applyFont="1" applyFill="1" applyBorder="1"/>
    <xf numFmtId="0" fontId="112" fillId="34" borderId="45" xfId="79" applyNumberFormat="1" applyFont="1" applyFill="1" applyBorder="1" applyAlignment="1"/>
    <xf numFmtId="43" fontId="112" fillId="34" borderId="60" xfId="79" applyNumberFormat="1" applyFont="1" applyFill="1" applyBorder="1"/>
    <xf numFmtId="43" fontId="112" fillId="34" borderId="45" xfId="79" applyNumberFormat="1" applyFont="1" applyFill="1" applyBorder="1"/>
    <xf numFmtId="0" fontId="112" fillId="46" borderId="83" xfId="79" applyFont="1" applyFill="1" applyBorder="1"/>
    <xf numFmtId="43" fontId="112" fillId="46" borderId="44" xfId="79" applyNumberFormat="1" applyFont="1" applyFill="1" applyBorder="1"/>
    <xf numFmtId="0" fontId="112" fillId="34" borderId="46" xfId="79" applyFont="1" applyFill="1" applyBorder="1" applyAlignment="1"/>
    <xf numFmtId="0" fontId="112" fillId="46" borderId="45" xfId="79" applyFont="1" applyFill="1" applyBorder="1"/>
    <xf numFmtId="43" fontId="112" fillId="46" borderId="60" xfId="79" applyNumberFormat="1" applyFont="1" applyFill="1" applyBorder="1"/>
    <xf numFmtId="0" fontId="188" fillId="35" borderId="86" xfId="79" applyFont="1" applyFill="1" applyBorder="1" applyAlignment="1">
      <alignment wrapText="1"/>
    </xf>
    <xf numFmtId="0" fontId="112" fillId="34" borderId="4" xfId="79" applyFont="1" applyFill="1" applyBorder="1" applyAlignment="1"/>
    <xf numFmtId="0" fontId="113" fillId="34" borderId="52" xfId="79" applyFont="1" applyFill="1" applyBorder="1" applyAlignment="1"/>
    <xf numFmtId="0" fontId="112" fillId="34" borderId="14" xfId="79" applyNumberFormat="1" applyFont="1" applyFill="1" applyBorder="1" applyAlignment="1"/>
    <xf numFmtId="0" fontId="112" fillId="46" borderId="75" xfId="79" applyFont="1" applyFill="1" applyBorder="1"/>
    <xf numFmtId="43" fontId="112" fillId="46" borderId="41" xfId="79" applyNumberFormat="1" applyFont="1" applyFill="1" applyBorder="1"/>
    <xf numFmtId="0" fontId="112" fillId="46" borderId="57" xfId="79" applyFont="1" applyFill="1" applyBorder="1"/>
    <xf numFmtId="0" fontId="112" fillId="46" borderId="14" xfId="79" applyFont="1" applyFill="1" applyBorder="1"/>
    <xf numFmtId="43" fontId="112" fillId="46" borderId="58" xfId="79" applyNumberFormat="1" applyFont="1" applyFill="1" applyBorder="1"/>
    <xf numFmtId="0" fontId="113" fillId="34" borderId="57" xfId="79" applyFont="1" applyFill="1" applyBorder="1" applyAlignment="1"/>
    <xf numFmtId="4" fontId="113" fillId="34" borderId="14" xfId="79" applyNumberFormat="1" applyFont="1" applyFill="1" applyBorder="1"/>
    <xf numFmtId="43" fontId="112" fillId="34" borderId="14" xfId="79" applyNumberFormat="1" applyFont="1" applyFill="1" applyBorder="1"/>
    <xf numFmtId="0" fontId="190" fillId="35" borderId="86" xfId="79" applyFont="1" applyFill="1" applyBorder="1"/>
    <xf numFmtId="43" fontId="112" fillId="46" borderId="56" xfId="79" applyNumberFormat="1" applyFont="1" applyFill="1" applyBorder="1"/>
    <xf numFmtId="43" fontId="112" fillId="46" borderId="43" xfId="79" applyNumberFormat="1" applyFont="1" applyFill="1" applyBorder="1"/>
    <xf numFmtId="0" fontId="188" fillId="35" borderId="53" xfId="79" applyFont="1" applyFill="1" applyBorder="1" applyAlignment="1">
      <alignment wrapText="1"/>
    </xf>
    <xf numFmtId="0" fontId="112" fillId="34" borderId="30" xfId="79" applyFont="1" applyFill="1" applyBorder="1" applyAlignment="1"/>
    <xf numFmtId="0" fontId="112" fillId="34" borderId="24" xfId="79" applyFont="1" applyFill="1" applyBorder="1" applyAlignment="1"/>
    <xf numFmtId="43" fontId="112" fillId="34" borderId="23" xfId="79" applyNumberFormat="1" applyFont="1" applyFill="1" applyBorder="1"/>
    <xf numFmtId="0" fontId="112" fillId="34" borderId="66" xfId="79" applyFont="1" applyFill="1" applyBorder="1" applyAlignment="1"/>
    <xf numFmtId="0" fontId="112" fillId="34" borderId="0" xfId="79" applyFont="1" applyFill="1" applyBorder="1" applyAlignment="1"/>
    <xf numFmtId="0" fontId="112" fillId="34" borderId="62" xfId="79" applyFont="1" applyFill="1" applyBorder="1" applyAlignment="1"/>
    <xf numFmtId="0" fontId="113" fillId="34" borderId="39" xfId="79" applyFont="1" applyFill="1" applyBorder="1" applyAlignment="1"/>
    <xf numFmtId="0" fontId="113" fillId="34" borderId="38" xfId="79" applyFont="1" applyFill="1" applyBorder="1" applyAlignment="1"/>
    <xf numFmtId="4" fontId="113" fillId="34" borderId="40" xfId="79" applyNumberFormat="1" applyFont="1" applyFill="1" applyBorder="1"/>
    <xf numFmtId="0" fontId="112" fillId="34" borderId="25" xfId="79" applyFont="1" applyFill="1" applyBorder="1" applyAlignment="1"/>
    <xf numFmtId="0" fontId="112" fillId="34" borderId="24" xfId="79" applyNumberFormat="1" applyFont="1" applyFill="1" applyBorder="1" applyAlignment="1"/>
    <xf numFmtId="43" fontId="112" fillId="34" borderId="80" xfId="79" applyNumberFormat="1" applyFont="1" applyFill="1" applyBorder="1"/>
    <xf numFmtId="0" fontId="112" fillId="46" borderId="25" xfId="79" applyFont="1" applyFill="1" applyBorder="1"/>
    <xf numFmtId="0" fontId="112" fillId="46" borderId="30" xfId="79" applyFont="1" applyFill="1" applyBorder="1"/>
    <xf numFmtId="43" fontId="112" fillId="46" borderId="69" xfId="79" applyNumberFormat="1" applyFont="1" applyFill="1" applyBorder="1"/>
    <xf numFmtId="0" fontId="112" fillId="46" borderId="62" xfId="79" applyFont="1" applyFill="1" applyBorder="1"/>
    <xf numFmtId="0" fontId="112" fillId="46" borderId="24" xfId="79" applyFont="1" applyFill="1" applyBorder="1"/>
    <xf numFmtId="43" fontId="112" fillId="46" borderId="66" xfId="79" applyNumberFormat="1" applyFont="1" applyFill="1" applyBorder="1"/>
    <xf numFmtId="0" fontId="128" fillId="0" borderId="51" xfId="79" applyFont="1" applyBorder="1" applyAlignment="1"/>
    <xf numFmtId="4" fontId="128" fillId="0" borderId="21" xfId="79" applyNumberFormat="1" applyFont="1" applyBorder="1"/>
    <xf numFmtId="43" fontId="112" fillId="34" borderId="21" xfId="79" applyNumberFormat="1" applyFont="1" applyFill="1" applyBorder="1"/>
    <xf numFmtId="43" fontId="186" fillId="0" borderId="21" xfId="79" applyNumberFormat="1" applyFont="1" applyBorder="1"/>
    <xf numFmtId="43" fontId="112" fillId="46" borderId="17" xfId="79" applyNumberFormat="1" applyFont="1" applyFill="1" applyBorder="1"/>
    <xf numFmtId="0" fontId="192" fillId="0" borderId="51" xfId="79" applyFont="1" applyBorder="1"/>
    <xf numFmtId="0" fontId="192" fillId="0" borderId="18" xfId="79" applyFont="1" applyBorder="1"/>
    <xf numFmtId="43" fontId="112" fillId="46" borderId="26" xfId="79" applyNumberFormat="1" applyFont="1" applyFill="1" applyBorder="1"/>
    <xf numFmtId="0" fontId="184" fillId="35" borderId="17" xfId="79" applyFont="1" applyFill="1" applyBorder="1" applyAlignment="1">
      <alignment wrapText="1"/>
    </xf>
    <xf numFmtId="0" fontId="187" fillId="35" borderId="27" xfId="79" applyFont="1" applyFill="1" applyBorder="1"/>
    <xf numFmtId="10" fontId="185" fillId="35" borderId="29" xfId="93" applyNumberFormat="1" applyFont="1" applyFill="1" applyBorder="1"/>
    <xf numFmtId="0" fontId="184" fillId="35" borderId="33" xfId="79" applyFont="1" applyFill="1" applyBorder="1" applyAlignment="1">
      <alignment horizontal="left" vertical="center" wrapText="1"/>
    </xf>
    <xf numFmtId="43" fontId="185" fillId="0" borderId="31" xfId="79" applyNumberFormat="1" applyFont="1" applyBorder="1"/>
    <xf numFmtId="0" fontId="186" fillId="0" borderId="12" xfId="79" applyFont="1" applyBorder="1" applyAlignment="1"/>
    <xf numFmtId="43" fontId="185" fillId="0" borderId="16" xfId="79" applyNumberFormat="1" applyFont="1" applyBorder="1"/>
    <xf numFmtId="0" fontId="186" fillId="0" borderId="25" xfId="79" applyFont="1" applyBorder="1" applyAlignment="1"/>
    <xf numFmtId="0" fontId="128" fillId="0" borderId="32" xfId="79" applyFont="1" applyBorder="1" applyAlignment="1"/>
    <xf numFmtId="0" fontId="128" fillId="0" borderId="15" xfId="79" applyFont="1" applyBorder="1" applyAlignment="1"/>
    <xf numFmtId="4" fontId="185" fillId="34" borderId="15" xfId="79" applyNumberFormat="1" applyFont="1" applyFill="1" applyBorder="1"/>
    <xf numFmtId="43" fontId="185" fillId="34" borderId="34" xfId="79" applyNumberFormat="1" applyFont="1" applyFill="1" applyBorder="1"/>
    <xf numFmtId="43" fontId="191" fillId="0" borderId="53" xfId="79" applyNumberFormat="1" applyFont="1" applyBorder="1"/>
    <xf numFmtId="43" fontId="191" fillId="0" borderId="0" xfId="79" applyNumberFormat="1" applyFont="1" applyBorder="1"/>
    <xf numFmtId="0" fontId="187" fillId="35" borderId="15" xfId="79" applyFont="1" applyFill="1" applyBorder="1"/>
    <xf numFmtId="43" fontId="187" fillId="35" borderId="15" xfId="79" applyNumberFormat="1" applyFont="1" applyFill="1" applyBorder="1"/>
    <xf numFmtId="10" fontId="185" fillId="35" borderId="31" xfId="93" applyNumberFormat="1" applyFont="1" applyFill="1" applyBorder="1"/>
    <xf numFmtId="0" fontId="187" fillId="35" borderId="26" xfId="79" applyFont="1" applyFill="1" applyBorder="1" applyAlignment="1">
      <alignment horizontal="right"/>
    </xf>
    <xf numFmtId="43" fontId="187" fillId="0" borderId="22" xfId="79" applyNumberFormat="1" applyFont="1" applyBorder="1"/>
    <xf numFmtId="43" fontId="193" fillId="0" borderId="26" xfId="79" applyNumberFormat="1" applyFont="1" applyBorder="1"/>
    <xf numFmtId="43" fontId="193" fillId="0" borderId="19" xfId="79" applyNumberFormat="1" applyFont="1" applyBorder="1"/>
    <xf numFmtId="43" fontId="193" fillId="0" borderId="18" xfId="79" applyNumberFormat="1" applyFont="1" applyBorder="1"/>
    <xf numFmtId="0" fontId="120" fillId="34" borderId="0" xfId="79" applyFont="1" applyFill="1" applyAlignment="1"/>
    <xf numFmtId="0" fontId="120" fillId="0" borderId="51" xfId="79" applyBorder="1"/>
    <xf numFmtId="0" fontId="128" fillId="34" borderId="19" xfId="79" applyFont="1" applyFill="1" applyBorder="1" applyAlignment="1"/>
    <xf numFmtId="0" fontId="128" fillId="34" borderId="18" xfId="79" applyFont="1" applyFill="1" applyBorder="1" applyAlignment="1"/>
    <xf numFmtId="4" fontId="131" fillId="0" borderId="18" xfId="79" applyNumberFormat="1" applyFont="1" applyBorder="1"/>
    <xf numFmtId="0" fontId="186" fillId="34" borderId="26" xfId="79" applyFont="1" applyFill="1" applyBorder="1" applyAlignment="1"/>
    <xf numFmtId="43" fontId="191" fillId="0" borderId="17" xfId="79" applyNumberFormat="1" applyFont="1" applyBorder="1"/>
    <xf numFmtId="0" fontId="192" fillId="0" borderId="26" xfId="79" applyFont="1" applyBorder="1"/>
    <xf numFmtId="0" fontId="187" fillId="35" borderId="18" xfId="79" applyFont="1" applyFill="1" applyBorder="1"/>
    <xf numFmtId="0" fontId="120" fillId="0" borderId="26" xfId="79" applyBorder="1"/>
    <xf numFmtId="0" fontId="120" fillId="34" borderId="0" xfId="79" applyFill="1"/>
    <xf numFmtId="0" fontId="120" fillId="39" borderId="0" xfId="79" applyFill="1"/>
    <xf numFmtId="0" fontId="196" fillId="39" borderId="0" xfId="79" applyFont="1" applyFill="1"/>
    <xf numFmtId="0" fontId="120" fillId="39" borderId="0" xfId="79" applyFill="1" applyAlignment="1">
      <alignment horizontal="center" vertical="center" wrapText="1"/>
    </xf>
    <xf numFmtId="43" fontId="120" fillId="39" borderId="0" xfId="79" applyNumberFormat="1" applyFill="1"/>
    <xf numFmtId="9" fontId="187" fillId="35" borderId="21" xfId="93" applyFont="1" applyFill="1" applyBorder="1"/>
    <xf numFmtId="0" fontId="111" fillId="34" borderId="51" xfId="79" applyFont="1" applyFill="1" applyBorder="1"/>
    <xf numFmtId="0" fontId="112" fillId="34" borderId="19" xfId="79" applyFont="1" applyFill="1" applyBorder="1" applyAlignment="1"/>
    <xf numFmtId="0" fontId="112" fillId="34" borderId="18" xfId="79" applyFont="1" applyFill="1" applyBorder="1" applyAlignment="1"/>
    <xf numFmtId="43" fontId="111" fillId="34" borderId="21" xfId="79" applyNumberFormat="1" applyFont="1" applyFill="1" applyBorder="1"/>
    <xf numFmtId="0" fontId="112" fillId="34" borderId="22" xfId="79" applyFont="1" applyFill="1" applyBorder="1" applyAlignment="1"/>
    <xf numFmtId="43" fontId="111" fillId="34" borderId="20" xfId="79" applyNumberFormat="1" applyFont="1" applyFill="1" applyBorder="1"/>
    <xf numFmtId="0" fontId="113" fillId="34" borderId="19" xfId="79" applyFont="1" applyFill="1" applyBorder="1" applyAlignment="1"/>
    <xf numFmtId="0" fontId="113" fillId="34" borderId="18" xfId="79" applyFont="1" applyFill="1" applyBorder="1" applyAlignment="1"/>
    <xf numFmtId="4" fontId="114" fillId="34" borderId="21" xfId="79" applyNumberFormat="1" applyFont="1" applyFill="1" applyBorder="1"/>
    <xf numFmtId="1" fontId="112" fillId="34" borderId="25" xfId="79" applyNumberFormat="1" applyFont="1" applyFill="1" applyBorder="1" applyAlignment="1"/>
    <xf numFmtId="43" fontId="111" fillId="34" borderId="23" xfId="79" applyNumberFormat="1" applyFont="1" applyFill="1" applyBorder="1"/>
    <xf numFmtId="0" fontId="95" fillId="34" borderId="22" xfId="79" applyFont="1" applyFill="1" applyBorder="1" applyAlignment="1"/>
    <xf numFmtId="0" fontId="95" fillId="34" borderId="18" xfId="79" applyFont="1" applyFill="1" applyBorder="1" applyAlignment="1"/>
    <xf numFmtId="43" fontId="115" fillId="34" borderId="21" xfId="79" applyNumberFormat="1" applyFont="1" applyFill="1" applyBorder="1"/>
    <xf numFmtId="0" fontId="112" fillId="46" borderId="19" xfId="79" applyFont="1" applyFill="1" applyBorder="1"/>
    <xf numFmtId="0" fontId="112" fillId="46" borderId="22" xfId="79" applyFont="1" applyFill="1" applyBorder="1"/>
    <xf numFmtId="43" fontId="111" fillId="46" borderId="17" xfId="79" applyNumberFormat="1" applyFont="1" applyFill="1" applyBorder="1"/>
    <xf numFmtId="43" fontId="111" fillId="46" borderId="26" xfId="79" applyNumberFormat="1" applyFont="1" applyFill="1" applyBorder="1"/>
    <xf numFmtId="0" fontId="111" fillId="34" borderId="39" xfId="79" applyFont="1" applyFill="1" applyBorder="1"/>
    <xf numFmtId="0" fontId="112" fillId="34" borderId="42" xfId="79" applyFont="1" applyFill="1" applyBorder="1" applyAlignment="1"/>
    <xf numFmtId="0" fontId="112" fillId="34" borderId="43" xfId="79" applyFont="1" applyFill="1" applyBorder="1" applyAlignment="1"/>
    <xf numFmtId="0" fontId="112" fillId="34" borderId="39" xfId="79" applyFont="1" applyFill="1" applyBorder="1" applyAlignment="1"/>
    <xf numFmtId="0" fontId="112" fillId="34" borderId="33" xfId="79" applyFont="1" applyFill="1" applyBorder="1" applyAlignment="1"/>
    <xf numFmtId="0" fontId="112" fillId="34" borderId="15" xfId="79" applyNumberFormat="1" applyFont="1" applyFill="1" applyBorder="1" applyAlignment="1"/>
    <xf numFmtId="43" fontId="112" fillId="34" borderId="31" xfId="79" applyNumberFormat="1" applyFont="1" applyFill="1" applyBorder="1"/>
    <xf numFmtId="0" fontId="112" fillId="46" borderId="38" xfId="79" applyFont="1" applyFill="1" applyBorder="1"/>
    <xf numFmtId="43" fontId="187" fillId="35" borderId="46" xfId="79" applyNumberFormat="1" applyFont="1" applyFill="1" applyBorder="1"/>
    <xf numFmtId="43" fontId="187" fillId="35" borderId="45" xfId="79" applyNumberFormat="1" applyFont="1" applyFill="1" applyBorder="1"/>
    <xf numFmtId="10" fontId="186" fillId="35" borderId="44" xfId="93" applyNumberFormat="1" applyFont="1" applyFill="1" applyBorder="1"/>
    <xf numFmtId="0" fontId="111" fillId="34" borderId="55" xfId="79" applyFont="1" applyFill="1" applyBorder="1"/>
    <xf numFmtId="0" fontId="112" fillId="34" borderId="55" xfId="79" applyFont="1" applyFill="1" applyBorder="1" applyAlignment="1"/>
    <xf numFmtId="0" fontId="112" fillId="34" borderId="15" xfId="79" applyFont="1" applyFill="1" applyBorder="1" applyAlignment="1"/>
    <xf numFmtId="0" fontId="112" fillId="46" borderId="27" xfId="79" applyFont="1" applyFill="1" applyBorder="1"/>
    <xf numFmtId="43" fontId="187" fillId="35" borderId="36" xfId="79" applyNumberFormat="1" applyFont="1" applyFill="1" applyBorder="1"/>
    <xf numFmtId="43" fontId="187" fillId="35" borderId="35" xfId="79" applyNumberFormat="1" applyFont="1" applyFill="1" applyBorder="1"/>
    <xf numFmtId="10" fontId="186" fillId="35" borderId="34" xfId="93" applyNumberFormat="1" applyFont="1" applyFill="1" applyBorder="1"/>
    <xf numFmtId="1" fontId="112" fillId="34" borderId="22" xfId="79" applyNumberFormat="1" applyFont="1" applyFill="1" applyBorder="1" applyAlignment="1"/>
    <xf numFmtId="0" fontId="112" fillId="34" borderId="18" xfId="79" applyNumberFormat="1" applyFont="1" applyFill="1" applyBorder="1" applyAlignment="1"/>
    <xf numFmtId="0" fontId="190" fillId="0" borderId="63" xfId="79" applyFont="1" applyBorder="1"/>
    <xf numFmtId="0" fontId="197" fillId="0" borderId="46" xfId="79" applyFont="1" applyBorder="1"/>
    <xf numFmtId="0" fontId="112" fillId="34" borderId="38" xfId="79" applyNumberFormat="1" applyFont="1" applyFill="1" applyBorder="1" applyAlignment="1"/>
    <xf numFmtId="43" fontId="112" fillId="46" borderId="88" xfId="79" applyNumberFormat="1" applyFont="1" applyFill="1" applyBorder="1"/>
    <xf numFmtId="14" fontId="188" fillId="35" borderId="32" xfId="79" applyNumberFormat="1" applyFont="1" applyFill="1" applyBorder="1" applyAlignment="1">
      <alignment horizontal="right"/>
    </xf>
    <xf numFmtId="0" fontId="185" fillId="0" borderId="84" xfId="79" applyFont="1" applyBorder="1"/>
    <xf numFmtId="0" fontId="197" fillId="0" borderId="25" xfId="79" applyFont="1" applyBorder="1"/>
    <xf numFmtId="0" fontId="197" fillId="0" borderId="28" xfId="79" applyFont="1" applyBorder="1"/>
    <xf numFmtId="0" fontId="190" fillId="0" borderId="68" xfId="79" applyFont="1" applyBorder="1"/>
    <xf numFmtId="0" fontId="126" fillId="0" borderId="15" xfId="79" applyFont="1" applyBorder="1" applyAlignment="1"/>
    <xf numFmtId="43" fontId="112" fillId="46" borderId="53" xfId="79" applyNumberFormat="1" applyFont="1" applyFill="1" applyBorder="1"/>
    <xf numFmtId="43" fontId="112" fillId="46" borderId="0" xfId="79" applyNumberFormat="1" applyFont="1" applyFill="1" applyBorder="1"/>
    <xf numFmtId="10" fontId="185" fillId="35" borderId="34" xfId="93" applyNumberFormat="1" applyFont="1" applyFill="1" applyBorder="1"/>
    <xf numFmtId="0" fontId="196" fillId="0" borderId="0" xfId="79" applyFont="1"/>
    <xf numFmtId="43" fontId="196" fillId="39" borderId="0" xfId="79" applyNumberFormat="1" applyFont="1" applyFill="1"/>
    <xf numFmtId="0" fontId="172" fillId="26" borderId="0" xfId="80" applyFont="1" applyFill="1" applyBorder="1" applyAlignment="1" applyProtection="1">
      <alignment horizontal="center" wrapText="1"/>
    </xf>
    <xf numFmtId="0" fontId="172" fillId="26" borderId="0" xfId="80" applyFont="1" applyFill="1" applyBorder="1" applyAlignment="1" applyProtection="1">
      <alignment horizontal="right"/>
    </xf>
    <xf numFmtId="0" fontId="198" fillId="0" borderId="0" xfId="80" applyFont="1" applyProtection="1"/>
    <xf numFmtId="0" fontId="172" fillId="0" borderId="0" xfId="0" applyFont="1"/>
    <xf numFmtId="0" fontId="173" fillId="26" borderId="0" xfId="80" applyFont="1" applyFill="1" applyBorder="1" applyAlignment="1" applyProtection="1">
      <alignment horizontal="center"/>
    </xf>
    <xf numFmtId="0" fontId="172" fillId="34" borderId="0" xfId="80" applyFont="1" applyFill="1" applyBorder="1" applyAlignment="1" applyProtection="1">
      <alignment horizontal="center"/>
    </xf>
    <xf numFmtId="168" fontId="173" fillId="0" borderId="0" xfId="52" applyFont="1" applyFill="1" applyBorder="1" applyProtection="1"/>
    <xf numFmtId="0" fontId="198" fillId="0" borderId="0" xfId="80" applyFont="1" applyAlignment="1" applyProtection="1">
      <alignment horizontal="center"/>
    </xf>
    <xf numFmtId="0" fontId="198" fillId="26" borderId="0" xfId="0" applyFont="1" applyFill="1" applyProtection="1"/>
    <xf numFmtId="180" fontId="198" fillId="26" borderId="0" xfId="80" applyNumberFormat="1" applyFont="1" applyFill="1" applyProtection="1"/>
    <xf numFmtId="0" fontId="172" fillId="34" borderId="0" xfId="0" applyFont="1" applyFill="1"/>
    <xf numFmtId="180" fontId="172" fillId="34" borderId="0" xfId="80" applyNumberFormat="1" applyFont="1" applyFill="1" applyBorder="1" applyProtection="1"/>
    <xf numFmtId="0" fontId="173" fillId="34" borderId="0" xfId="0" applyFont="1" applyFill="1" applyBorder="1"/>
    <xf numFmtId="180" fontId="173" fillId="34" borderId="0" xfId="0" applyNumberFormat="1" applyFont="1" applyFill="1" applyBorder="1"/>
    <xf numFmtId="168" fontId="173" fillId="34" borderId="0" xfId="52" applyFont="1" applyFill="1" applyBorder="1" applyProtection="1"/>
    <xf numFmtId="0" fontId="179" fillId="34" borderId="0" xfId="0" applyFont="1" applyFill="1" applyProtection="1"/>
    <xf numFmtId="167" fontId="172" fillId="34" borderId="0" xfId="80" applyNumberFormat="1" applyFont="1" applyFill="1" applyBorder="1" applyProtection="1"/>
    <xf numFmtId="167" fontId="173" fillId="34" borderId="0" xfId="80" applyNumberFormat="1" applyFont="1" applyFill="1" applyBorder="1" applyProtection="1"/>
    <xf numFmtId="49" fontId="172" fillId="34" borderId="0" xfId="80" applyNumberFormat="1" applyFont="1" applyFill="1" applyAlignment="1" applyProtection="1">
      <alignment horizontal="right"/>
    </xf>
    <xf numFmtId="0" fontId="172" fillId="34" borderId="0" xfId="80" applyNumberFormat="1" applyFont="1" applyFill="1" applyProtection="1"/>
    <xf numFmtId="167" fontId="172" fillId="34" borderId="0" xfId="80" applyNumberFormat="1" applyFont="1" applyFill="1" applyProtection="1"/>
    <xf numFmtId="0" fontId="173" fillId="34" borderId="54" xfId="80" applyFont="1" applyFill="1" applyBorder="1" applyProtection="1"/>
    <xf numFmtId="0" fontId="173" fillId="34" borderId="33" xfId="80" applyFont="1" applyFill="1" applyBorder="1" applyProtection="1"/>
    <xf numFmtId="0" fontId="173" fillId="34" borderId="33" xfId="80" applyFont="1" applyFill="1" applyBorder="1" applyAlignment="1" applyProtection="1">
      <alignment horizontal="center"/>
    </xf>
    <xf numFmtId="0" fontId="172" fillId="34" borderId="16" xfId="80" applyFont="1" applyFill="1" applyBorder="1" applyProtection="1"/>
    <xf numFmtId="0" fontId="173" fillId="34" borderId="16" xfId="80" applyFont="1" applyFill="1" applyBorder="1" applyProtection="1"/>
    <xf numFmtId="0" fontId="179" fillId="34" borderId="16" xfId="80" applyFont="1" applyFill="1" applyBorder="1" applyProtection="1"/>
    <xf numFmtId="14" fontId="179" fillId="34" borderId="0" xfId="80" applyNumberFormat="1" applyFont="1" applyFill="1" applyBorder="1" applyAlignment="1" applyProtection="1">
      <alignment horizontal="left" indent="1"/>
    </xf>
    <xf numFmtId="0" fontId="179" fillId="34" borderId="0" xfId="80" applyFont="1" applyFill="1" applyBorder="1" applyProtection="1"/>
    <xf numFmtId="0" fontId="172" fillId="34" borderId="0" xfId="80" applyFont="1" applyFill="1" applyBorder="1" applyAlignment="1" applyProtection="1">
      <alignment horizontal="left" indent="2"/>
    </xf>
    <xf numFmtId="0" fontId="172" fillId="34" borderId="54" xfId="80" applyFont="1" applyFill="1" applyBorder="1" applyProtection="1"/>
    <xf numFmtId="0" fontId="172" fillId="34" borderId="33" xfId="80" applyFont="1" applyFill="1" applyBorder="1" applyProtection="1"/>
    <xf numFmtId="0" fontId="172" fillId="34" borderId="37" xfId="80" applyFont="1" applyFill="1" applyBorder="1" applyProtection="1"/>
    <xf numFmtId="0" fontId="172" fillId="34" borderId="43" xfId="80" applyFont="1" applyFill="1" applyBorder="1" applyProtection="1"/>
    <xf numFmtId="0" fontId="172" fillId="34" borderId="37" xfId="80" applyFont="1" applyFill="1" applyBorder="1" applyAlignment="1" applyProtection="1">
      <alignment horizontal="center" wrapText="1"/>
    </xf>
    <xf numFmtId="0" fontId="172" fillId="34" borderId="43" xfId="80" applyFont="1" applyFill="1" applyBorder="1" applyAlignment="1" applyProtection="1">
      <alignment horizontal="center" wrapText="1"/>
    </xf>
    <xf numFmtId="0" fontId="176" fillId="34" borderId="43" xfId="80" applyFont="1" applyFill="1" applyBorder="1" applyProtection="1"/>
    <xf numFmtId="0" fontId="172" fillId="34" borderId="16" xfId="80" applyFont="1" applyFill="1" applyBorder="1" applyAlignment="1" applyProtection="1">
      <alignment horizontal="left" wrapText="1"/>
    </xf>
    <xf numFmtId="0" fontId="172" fillId="34" borderId="0" xfId="80" applyFont="1" applyFill="1" applyBorder="1" applyAlignment="1" applyProtection="1">
      <alignment horizontal="left" wrapText="1"/>
    </xf>
    <xf numFmtId="180" fontId="173" fillId="34" borderId="0" xfId="80" applyNumberFormat="1" applyFont="1" applyFill="1" applyProtection="1"/>
    <xf numFmtId="0" fontId="172" fillId="34" borderId="16" xfId="80" applyFont="1" applyFill="1" applyBorder="1" applyAlignment="1" applyProtection="1">
      <alignment horizontal="left"/>
    </xf>
    <xf numFmtId="0" fontId="172" fillId="34" borderId="0" xfId="80" applyFont="1" applyFill="1" applyBorder="1" applyAlignment="1" applyProtection="1">
      <alignment horizontal="left"/>
    </xf>
    <xf numFmtId="0" fontId="172" fillId="34" borderId="37" xfId="80" applyFont="1" applyFill="1" applyBorder="1" applyAlignment="1" applyProtection="1">
      <alignment horizontal="center"/>
    </xf>
    <xf numFmtId="180" fontId="172" fillId="34" borderId="0" xfId="80" applyNumberFormat="1" applyFont="1" applyFill="1" applyProtection="1"/>
    <xf numFmtId="0" fontId="198" fillId="34" borderId="0" xfId="80" applyFont="1" applyFill="1" applyProtection="1"/>
    <xf numFmtId="0" fontId="206" fillId="34" borderId="0" xfId="80" applyFont="1" applyFill="1" applyProtection="1"/>
    <xf numFmtId="0" fontId="207" fillId="34" borderId="0" xfId="80" applyFont="1" applyFill="1" applyProtection="1"/>
    <xf numFmtId="9" fontId="172" fillId="0" borderId="0" xfId="0" applyNumberFormat="1" applyFont="1"/>
    <xf numFmtId="0" fontId="172" fillId="34" borderId="16" xfId="80" applyFont="1" applyFill="1" applyBorder="1" applyAlignment="1" applyProtection="1">
      <alignment horizontal="right"/>
    </xf>
    <xf numFmtId="0" fontId="172" fillId="34" borderId="0" xfId="80" applyFont="1" applyFill="1" applyBorder="1" applyAlignment="1" applyProtection="1">
      <alignment horizontal="right"/>
    </xf>
    <xf numFmtId="0" fontId="172" fillId="34" borderId="16" xfId="80" applyFont="1" applyFill="1" applyBorder="1" applyAlignment="1" applyProtection="1">
      <alignment horizontal="center"/>
    </xf>
    <xf numFmtId="0" fontId="172" fillId="34" borderId="16" xfId="80" applyFont="1" applyFill="1" applyBorder="1" applyAlignment="1" applyProtection="1">
      <alignment horizontal="center" wrapText="1"/>
    </xf>
    <xf numFmtId="0" fontId="172" fillId="34" borderId="0" xfId="80" applyFont="1" applyFill="1" applyBorder="1" applyAlignment="1" applyProtection="1">
      <alignment horizontal="center" wrapText="1"/>
    </xf>
    <xf numFmtId="0" fontId="172" fillId="34" borderId="68" xfId="80" applyFont="1" applyFill="1" applyBorder="1" applyAlignment="1" applyProtection="1">
      <alignment horizontal="center"/>
    </xf>
    <xf numFmtId="180" fontId="172" fillId="34" borderId="54" xfId="80" applyNumberFormat="1" applyFont="1" applyFill="1" applyBorder="1" applyProtection="1"/>
    <xf numFmtId="180" fontId="172" fillId="34" borderId="33" xfId="80" applyNumberFormat="1" applyFont="1" applyFill="1" applyBorder="1" applyProtection="1"/>
    <xf numFmtId="0" fontId="172" fillId="34" borderId="12" xfId="80" applyFont="1" applyFill="1" applyBorder="1" applyAlignment="1" applyProtection="1">
      <alignment horizontal="center"/>
    </xf>
    <xf numFmtId="180" fontId="172" fillId="34" borderId="16" xfId="80" applyNumberFormat="1" applyFont="1" applyFill="1" applyBorder="1" applyProtection="1"/>
    <xf numFmtId="0" fontId="172" fillId="34" borderId="75" xfId="80" applyFont="1" applyFill="1" applyBorder="1" applyAlignment="1" applyProtection="1">
      <alignment horizontal="center"/>
    </xf>
    <xf numFmtId="180" fontId="172" fillId="34" borderId="37" xfId="80" applyNumberFormat="1" applyFont="1" applyFill="1" applyBorder="1" applyProtection="1"/>
    <xf numFmtId="180" fontId="172" fillId="34" borderId="43" xfId="80" applyNumberFormat="1" applyFont="1" applyFill="1" applyBorder="1" applyProtection="1"/>
    <xf numFmtId="168" fontId="173" fillId="34" borderId="0" xfId="52" applyFont="1" applyFill="1" applyBorder="1" applyAlignment="1" applyProtection="1">
      <alignment horizontal="right"/>
    </xf>
    <xf numFmtId="180" fontId="173" fillId="34" borderId="0" xfId="30" applyNumberFormat="1" applyFont="1" applyFill="1" applyBorder="1" applyAlignment="1" applyProtection="1">
      <alignment horizontal="right"/>
    </xf>
    <xf numFmtId="0" fontId="173" fillId="34" borderId="37" xfId="80" applyFont="1" applyFill="1" applyBorder="1" applyProtection="1"/>
    <xf numFmtId="0" fontId="173" fillId="34" borderId="0" xfId="80" applyFont="1" applyFill="1" applyBorder="1" applyAlignment="1" applyProtection="1">
      <alignment horizontal="right"/>
    </xf>
    <xf numFmtId="0" fontId="198" fillId="34" borderId="0" xfId="80" applyFont="1" applyFill="1" applyAlignment="1" applyProtection="1">
      <alignment horizontal="center"/>
    </xf>
    <xf numFmtId="2" fontId="173" fillId="34" borderId="0" xfId="80" applyNumberFormat="1" applyFont="1" applyFill="1" applyBorder="1" applyAlignment="1" applyProtection="1">
      <alignment horizontal="right"/>
    </xf>
    <xf numFmtId="0" fontId="215" fillId="34" borderId="0" xfId="0" applyFont="1" applyFill="1" applyAlignment="1">
      <alignment horizontal="left"/>
    </xf>
    <xf numFmtId="0" fontId="181" fillId="50" borderId="54" xfId="80" applyFont="1" applyFill="1" applyBorder="1" applyProtection="1"/>
    <xf numFmtId="0" fontId="172" fillId="50" borderId="33" xfId="80" applyFont="1" applyFill="1" applyBorder="1" applyProtection="1"/>
    <xf numFmtId="0" fontId="180" fillId="50" borderId="33" xfId="80" applyFont="1" applyFill="1" applyBorder="1" applyAlignment="1" applyProtection="1">
      <alignment horizontal="right"/>
    </xf>
    <xf numFmtId="0" fontId="172" fillId="50" borderId="68" xfId="80" applyFont="1" applyFill="1" applyBorder="1" applyProtection="1"/>
    <xf numFmtId="0" fontId="176" fillId="50" borderId="16" xfId="80" applyFont="1" applyFill="1" applyBorder="1" applyProtection="1"/>
    <xf numFmtId="0" fontId="173" fillId="50" borderId="0" xfId="80" applyFont="1" applyFill="1" applyBorder="1" applyProtection="1"/>
    <xf numFmtId="0" fontId="172" fillId="50" borderId="0" xfId="80" applyFont="1" applyFill="1" applyBorder="1" applyProtection="1"/>
    <xf numFmtId="0" fontId="177" fillId="50" borderId="0" xfId="80" applyFont="1" applyFill="1" applyBorder="1" applyProtection="1"/>
    <xf numFmtId="0" fontId="172" fillId="50" borderId="12" xfId="80" applyFont="1" applyFill="1" applyBorder="1" applyProtection="1"/>
    <xf numFmtId="0" fontId="172" fillId="50" borderId="37" xfId="80" applyFont="1" applyFill="1" applyBorder="1" applyProtection="1"/>
    <xf numFmtId="0" fontId="172" fillId="50" borderId="43" xfId="80" applyFont="1" applyFill="1" applyBorder="1" applyProtection="1"/>
    <xf numFmtId="0" fontId="173" fillId="50" borderId="43" xfId="80" applyFont="1" applyFill="1" applyBorder="1" applyProtection="1"/>
    <xf numFmtId="0" fontId="172" fillId="50" borderId="43" xfId="80" applyFont="1" applyFill="1" applyBorder="1" applyAlignment="1" applyProtection="1">
      <alignment horizontal="right"/>
    </xf>
    <xf numFmtId="0" fontId="173" fillId="50" borderId="75" xfId="80" applyFont="1" applyFill="1" applyBorder="1" applyAlignment="1" applyProtection="1">
      <alignment horizontal="center"/>
    </xf>
    <xf numFmtId="168" fontId="173" fillId="50" borderId="58" xfId="52" applyFont="1" applyFill="1" applyBorder="1" applyProtection="1"/>
    <xf numFmtId="168" fontId="173" fillId="50" borderId="4" xfId="52" applyFont="1" applyFill="1" applyBorder="1" applyProtection="1"/>
    <xf numFmtId="168" fontId="173" fillId="50" borderId="4" xfId="52" applyFont="1" applyFill="1" applyBorder="1" applyAlignment="1" applyProtection="1">
      <alignment horizontal="right"/>
    </xf>
    <xf numFmtId="168" fontId="173" fillId="50" borderId="63" xfId="52" applyFont="1" applyFill="1" applyBorder="1" applyAlignment="1" applyProtection="1">
      <alignment horizontal="right"/>
    </xf>
    <xf numFmtId="180" fontId="172" fillId="34" borderId="118" xfId="80" applyNumberFormat="1" applyFont="1" applyFill="1" applyBorder="1" applyProtection="1"/>
    <xf numFmtId="180" fontId="172" fillId="34" borderId="111" xfId="80" applyNumberFormat="1" applyFont="1" applyFill="1" applyBorder="1" applyProtection="1"/>
    <xf numFmtId="0" fontId="176" fillId="50" borderId="4" xfId="80" applyFont="1" applyFill="1" applyBorder="1" applyProtection="1"/>
    <xf numFmtId="0" fontId="176" fillId="50" borderId="58" xfId="80" applyFont="1" applyFill="1" applyBorder="1" applyProtection="1"/>
    <xf numFmtId="0" fontId="215" fillId="34" borderId="0" xfId="80" applyFont="1" applyFill="1" applyProtection="1"/>
    <xf numFmtId="0" fontId="215" fillId="34" borderId="0" xfId="80" applyFont="1" applyFill="1" applyBorder="1" applyProtection="1"/>
    <xf numFmtId="0" fontId="215" fillId="26" borderId="0" xfId="80" applyFont="1" applyFill="1" applyBorder="1" applyProtection="1"/>
    <xf numFmtId="0" fontId="215" fillId="26" borderId="0" xfId="0" applyFont="1" applyFill="1" applyProtection="1"/>
    <xf numFmtId="0" fontId="215" fillId="26" borderId="0" xfId="0" applyFont="1" applyFill="1" applyAlignment="1" applyProtection="1">
      <alignment horizontal="left"/>
    </xf>
    <xf numFmtId="0" fontId="176" fillId="34" borderId="16" xfId="80" applyFont="1" applyFill="1" applyBorder="1" applyProtection="1"/>
    <xf numFmtId="0" fontId="200" fillId="34" borderId="0" xfId="80" applyFont="1" applyFill="1" applyBorder="1" applyProtection="1"/>
    <xf numFmtId="168" fontId="173" fillId="34" borderId="58" xfId="52" applyFont="1" applyFill="1" applyBorder="1" applyProtection="1"/>
    <xf numFmtId="168" fontId="173" fillId="34" borderId="4" xfId="52" applyFont="1" applyFill="1" applyBorder="1" applyProtection="1"/>
    <xf numFmtId="168" fontId="173" fillId="34" borderId="4" xfId="52" applyFont="1" applyFill="1" applyBorder="1" applyAlignment="1" applyProtection="1">
      <alignment horizontal="center"/>
    </xf>
    <xf numFmtId="0" fontId="176" fillId="50" borderId="4" xfId="80" applyFont="1" applyFill="1" applyBorder="1" applyAlignment="1" applyProtection="1"/>
    <xf numFmtId="0" fontId="176" fillId="34" borderId="0" xfId="80" applyFont="1" applyFill="1" applyBorder="1" applyAlignment="1" applyProtection="1"/>
    <xf numFmtId="180" fontId="173" fillId="34" borderId="125" xfId="0" applyNumberFormat="1" applyFont="1" applyFill="1" applyBorder="1"/>
    <xf numFmtId="180" fontId="173" fillId="34" borderId="126" xfId="0" applyNumberFormat="1" applyFont="1" applyFill="1" applyBorder="1"/>
    <xf numFmtId="180" fontId="173" fillId="34" borderId="127" xfId="0" applyNumberFormat="1" applyFont="1" applyFill="1" applyBorder="1"/>
    <xf numFmtId="180" fontId="173" fillId="34" borderId="111" xfId="0" applyNumberFormat="1" applyFont="1" applyFill="1" applyBorder="1"/>
    <xf numFmtId="0" fontId="173" fillId="50" borderId="12" xfId="80" applyFont="1" applyFill="1" applyBorder="1" applyProtection="1"/>
    <xf numFmtId="180" fontId="173" fillId="34" borderId="124" xfId="0" applyNumberFormat="1" applyFont="1" applyFill="1" applyBorder="1"/>
    <xf numFmtId="0" fontId="176" fillId="50" borderId="63" xfId="80" applyFont="1" applyFill="1" applyBorder="1" applyAlignment="1" applyProtection="1"/>
    <xf numFmtId="0" fontId="172" fillId="50" borderId="33" xfId="80" applyFont="1" applyFill="1" applyBorder="1" applyAlignment="1" applyProtection="1">
      <alignment vertical="center"/>
    </xf>
    <xf numFmtId="0" fontId="172" fillId="50" borderId="0" xfId="80" applyFont="1" applyFill="1" applyBorder="1" applyAlignment="1" applyProtection="1">
      <alignment horizontal="center"/>
    </xf>
    <xf numFmtId="0" fontId="173" fillId="50" borderId="43" xfId="80" applyFont="1" applyFill="1" applyBorder="1" applyAlignment="1" applyProtection="1">
      <alignment horizontal="center" vertical="center"/>
    </xf>
    <xf numFmtId="0" fontId="172" fillId="50" borderId="43" xfId="80" applyFont="1" applyFill="1" applyBorder="1" applyAlignment="1" applyProtection="1">
      <alignment horizontal="center"/>
    </xf>
    <xf numFmtId="168" fontId="173" fillId="50" borderId="43" xfId="52" applyFont="1" applyFill="1" applyBorder="1" applyAlignment="1" applyProtection="1">
      <alignment horizontal="right"/>
    </xf>
    <xf numFmtId="168" fontId="173" fillId="50" borderId="75" xfId="52" applyFont="1" applyFill="1" applyBorder="1" applyAlignment="1" applyProtection="1">
      <alignment horizontal="right"/>
    </xf>
    <xf numFmtId="180" fontId="173" fillId="34" borderId="123" xfId="80" applyNumberFormat="1" applyFont="1" applyFill="1" applyBorder="1" applyAlignment="1" applyProtection="1">
      <alignment horizontal="right"/>
    </xf>
    <xf numFmtId="180" fontId="173" fillId="34" borderId="124" xfId="80" applyNumberFormat="1" applyFont="1" applyFill="1" applyBorder="1" applyAlignment="1" applyProtection="1">
      <alignment horizontal="right"/>
    </xf>
    <xf numFmtId="180" fontId="173" fillId="34" borderId="117" xfId="80" applyNumberFormat="1" applyFont="1" applyFill="1" applyBorder="1" applyAlignment="1" applyProtection="1">
      <alignment horizontal="right"/>
    </xf>
    <xf numFmtId="180" fontId="172" fillId="34" borderId="118" xfId="80" applyNumberFormat="1" applyFont="1" applyFill="1" applyBorder="1" applyAlignment="1" applyProtection="1">
      <alignment horizontal="right"/>
    </xf>
    <xf numFmtId="180" fontId="172" fillId="34" borderId="111" xfId="80" applyNumberFormat="1" applyFont="1" applyFill="1" applyBorder="1" applyAlignment="1" applyProtection="1">
      <alignment horizontal="right"/>
    </xf>
    <xf numFmtId="180" fontId="173" fillId="34" borderId="118" xfId="80" applyNumberFormat="1" applyFont="1" applyFill="1" applyBorder="1" applyAlignment="1" applyProtection="1">
      <alignment horizontal="right"/>
    </xf>
    <xf numFmtId="180" fontId="173" fillId="34" borderId="111" xfId="80" applyNumberFormat="1" applyFont="1" applyFill="1" applyBorder="1" applyAlignment="1" applyProtection="1">
      <alignment horizontal="right"/>
    </xf>
    <xf numFmtId="180" fontId="173" fillId="34" borderId="119" xfId="80" applyNumberFormat="1" applyFont="1" applyFill="1" applyBorder="1" applyAlignment="1" applyProtection="1">
      <alignment horizontal="right"/>
    </xf>
    <xf numFmtId="180" fontId="173" fillId="34" borderId="120" xfId="80" applyNumberFormat="1" applyFont="1" applyFill="1" applyBorder="1" applyAlignment="1" applyProtection="1">
      <alignment horizontal="right"/>
    </xf>
    <xf numFmtId="180" fontId="173" fillId="34" borderId="121" xfId="80" applyNumberFormat="1" applyFont="1" applyFill="1" applyBorder="1" applyAlignment="1" applyProtection="1">
      <alignment horizontal="right"/>
    </xf>
    <xf numFmtId="180" fontId="173" fillId="34" borderId="122" xfId="80" applyNumberFormat="1" applyFont="1" applyFill="1" applyBorder="1" applyAlignment="1" applyProtection="1">
      <alignment horizontal="right"/>
    </xf>
    <xf numFmtId="180" fontId="173" fillId="34" borderId="125" xfId="80" applyNumberFormat="1" applyFont="1" applyFill="1" applyBorder="1" applyAlignment="1" applyProtection="1">
      <alignment horizontal="right"/>
    </xf>
    <xf numFmtId="180" fontId="173" fillId="34" borderId="126" xfId="80" applyNumberFormat="1" applyFont="1" applyFill="1" applyBorder="1" applyAlignment="1" applyProtection="1">
      <alignment horizontal="right"/>
    </xf>
    <xf numFmtId="180" fontId="173" fillId="34" borderId="127" xfId="80" applyNumberFormat="1" applyFont="1" applyFill="1" applyBorder="1" applyAlignment="1" applyProtection="1">
      <alignment horizontal="right"/>
    </xf>
    <xf numFmtId="180" fontId="173" fillId="34" borderId="15" xfId="80" applyNumberFormat="1" applyFont="1" applyFill="1" applyBorder="1" applyProtection="1"/>
    <xf numFmtId="180" fontId="173" fillId="34" borderId="27" xfId="80" applyNumberFormat="1" applyFont="1" applyFill="1" applyBorder="1" applyProtection="1"/>
    <xf numFmtId="180" fontId="173" fillId="34" borderId="38" xfId="80" applyNumberFormat="1" applyFont="1" applyFill="1" applyBorder="1" applyProtection="1"/>
    <xf numFmtId="168" fontId="173" fillId="50" borderId="43" xfId="52" applyFont="1" applyFill="1" applyBorder="1" applyProtection="1"/>
    <xf numFmtId="168" fontId="173" fillId="34" borderId="43" xfId="52" applyFont="1" applyFill="1" applyBorder="1" applyProtection="1"/>
    <xf numFmtId="168" fontId="173" fillId="34" borderId="4" xfId="52" applyFont="1" applyFill="1" applyBorder="1" applyAlignment="1" applyProtection="1">
      <alignment horizontal="right"/>
    </xf>
    <xf numFmtId="1" fontId="172" fillId="50" borderId="54" xfId="80" applyNumberFormat="1" applyFont="1" applyFill="1" applyBorder="1" applyAlignment="1" applyProtection="1">
      <alignment horizontal="center" vertical="center"/>
    </xf>
    <xf numFmtId="1" fontId="172" fillId="50" borderId="33" xfId="80" applyNumberFormat="1" applyFont="1" applyFill="1" applyBorder="1" applyAlignment="1" applyProtection="1">
      <alignment horizontal="center" vertical="center"/>
    </xf>
    <xf numFmtId="166" fontId="172" fillId="50" borderId="37" xfId="80" applyNumberFormat="1" applyFont="1" applyFill="1" applyBorder="1" applyAlignment="1" applyProtection="1">
      <alignment horizontal="center" vertical="center"/>
    </xf>
    <xf numFmtId="166" fontId="172" fillId="50" borderId="43" xfId="80" applyNumberFormat="1" applyFont="1" applyFill="1" applyBorder="1" applyAlignment="1" applyProtection="1">
      <alignment horizontal="center" vertical="center"/>
    </xf>
    <xf numFmtId="0" fontId="204" fillId="34" borderId="0" xfId="80" applyFont="1" applyFill="1" applyProtection="1"/>
    <xf numFmtId="0" fontId="208" fillId="34" borderId="0" xfId="80" applyFont="1" applyFill="1" applyProtection="1"/>
    <xf numFmtId="0" fontId="219" fillId="34" borderId="0" xfId="0" applyFont="1" applyFill="1" applyProtection="1"/>
    <xf numFmtId="0" fontId="204" fillId="34" borderId="0" xfId="0" applyFont="1" applyFill="1" applyProtection="1"/>
    <xf numFmtId="0" fontId="173" fillId="50" borderId="75" xfId="80" applyFont="1" applyFill="1" applyBorder="1" applyAlignment="1" applyProtection="1">
      <alignment horizontal="right"/>
    </xf>
    <xf numFmtId="9" fontId="176" fillId="34" borderId="0" xfId="80" applyNumberFormat="1" applyFont="1" applyFill="1" applyBorder="1" applyProtection="1">
      <protection locked="0"/>
    </xf>
    <xf numFmtId="9" fontId="173" fillId="26" borderId="43" xfId="80" applyNumberFormat="1" applyFont="1" applyFill="1" applyBorder="1" applyProtection="1"/>
    <xf numFmtId="10" fontId="178" fillId="34" borderId="71" xfId="80" applyNumberFormat="1" applyFont="1" applyFill="1" applyBorder="1" applyAlignment="1" applyProtection="1">
      <alignment horizontal="center"/>
    </xf>
    <xf numFmtId="0" fontId="172" fillId="26" borderId="38" xfId="80" applyFont="1" applyFill="1" applyBorder="1" applyAlignment="1" applyProtection="1">
      <alignment horizontal="center"/>
    </xf>
    <xf numFmtId="180" fontId="173" fillId="26" borderId="124" xfId="80" applyNumberFormat="1" applyFont="1" applyFill="1" applyBorder="1" applyProtection="1"/>
    <xf numFmtId="180" fontId="173" fillId="34" borderId="124" xfId="80" applyNumberFormat="1" applyFont="1" applyFill="1" applyBorder="1" applyProtection="1"/>
    <xf numFmtId="180" fontId="173" fillId="26" borderId="111" xfId="80" applyNumberFormat="1" applyFont="1" applyFill="1" applyBorder="1" applyProtection="1"/>
    <xf numFmtId="180" fontId="173" fillId="34" borderId="111" xfId="80" applyNumberFormat="1" applyFont="1" applyFill="1" applyBorder="1" applyProtection="1"/>
    <xf numFmtId="180" fontId="173" fillId="26" borderId="121" xfId="80" applyNumberFormat="1" applyFont="1" applyFill="1" applyBorder="1" applyProtection="1"/>
    <xf numFmtId="180" fontId="173" fillId="34" borderId="121" xfId="80" applyNumberFormat="1" applyFont="1" applyFill="1" applyBorder="1" applyProtection="1"/>
    <xf numFmtId="0" fontId="176" fillId="26" borderId="0" xfId="80" applyFont="1" applyFill="1" applyBorder="1" applyProtection="1"/>
    <xf numFmtId="180" fontId="173" fillId="26" borderId="123" xfId="80" applyNumberFormat="1" applyFont="1" applyFill="1" applyBorder="1" applyProtection="1"/>
    <xf numFmtId="180" fontId="173" fillId="34" borderId="117" xfId="80" applyNumberFormat="1" applyFont="1" applyFill="1" applyBorder="1" applyProtection="1"/>
    <xf numFmtId="180" fontId="173" fillId="26" borderId="118" xfId="80" applyNumberFormat="1" applyFont="1" applyFill="1" applyBorder="1" applyProtection="1"/>
    <xf numFmtId="180" fontId="173" fillId="34" borderId="119" xfId="80" applyNumberFormat="1" applyFont="1" applyFill="1" applyBorder="1" applyProtection="1"/>
    <xf numFmtId="180" fontId="173" fillId="26" borderId="120" xfId="80" applyNumberFormat="1" applyFont="1" applyFill="1" applyBorder="1" applyProtection="1"/>
    <xf numFmtId="180" fontId="173" fillId="34" borderId="122" xfId="80" applyNumberFormat="1" applyFont="1" applyFill="1" applyBorder="1" applyProtection="1"/>
    <xf numFmtId="0" fontId="176" fillId="50" borderId="63" xfId="80" applyFont="1" applyFill="1" applyBorder="1" applyProtection="1"/>
    <xf numFmtId="168" fontId="182" fillId="50" borderId="4" xfId="52" applyFont="1" applyFill="1" applyBorder="1" applyAlignment="1" applyProtection="1">
      <alignment horizontal="right"/>
    </xf>
    <xf numFmtId="0" fontId="208" fillId="26" borderId="0" xfId="0" applyFont="1" applyFill="1" applyProtection="1"/>
    <xf numFmtId="0" fontId="172" fillId="50" borderId="0" xfId="80" applyFont="1" applyFill="1" applyAlignment="1" applyProtection="1">
      <alignment horizontal="center"/>
    </xf>
    <xf numFmtId="1" fontId="172" fillId="50" borderId="0" xfId="80" applyNumberFormat="1" applyFont="1" applyFill="1" applyProtection="1"/>
    <xf numFmtId="168" fontId="173" fillId="50" borderId="33" xfId="52" applyFont="1" applyFill="1" applyBorder="1" applyAlignment="1" applyProtection="1">
      <alignment horizontal="right"/>
    </xf>
    <xf numFmtId="10" fontId="178" fillId="34" borderId="129" xfId="80" applyNumberFormat="1" applyFont="1" applyFill="1" applyBorder="1" applyAlignment="1" applyProtection="1">
      <alignment horizontal="center"/>
    </xf>
    <xf numFmtId="0" fontId="172" fillId="50" borderId="54" xfId="80" applyFont="1" applyFill="1" applyBorder="1" applyAlignment="1" applyProtection="1">
      <alignment horizontal="center"/>
    </xf>
    <xf numFmtId="1" fontId="172" fillId="50" borderId="33" xfId="80" applyNumberFormat="1" applyFont="1" applyFill="1" applyBorder="1" applyProtection="1"/>
    <xf numFmtId="0" fontId="172" fillId="50" borderId="37" xfId="80" applyFont="1" applyFill="1" applyBorder="1" applyAlignment="1" applyProtection="1">
      <alignment horizontal="center"/>
    </xf>
    <xf numFmtId="166" fontId="172" fillId="50" borderId="43" xfId="80" applyNumberFormat="1" applyFont="1" applyFill="1" applyBorder="1" applyProtection="1"/>
    <xf numFmtId="180" fontId="172" fillId="26" borderId="123" xfId="80" applyNumberFormat="1" applyFont="1" applyFill="1" applyBorder="1" applyProtection="1"/>
    <xf numFmtId="180" fontId="172" fillId="26" borderId="124" xfId="80" applyNumberFormat="1" applyFont="1" applyFill="1" applyBorder="1" applyProtection="1"/>
    <xf numFmtId="180" fontId="172" fillId="26" borderId="118" xfId="80" applyNumberFormat="1" applyFont="1" applyFill="1" applyBorder="1" applyProtection="1"/>
    <xf numFmtId="180" fontId="172" fillId="26" borderId="111" xfId="80" applyNumberFormat="1" applyFont="1" applyFill="1" applyBorder="1" applyProtection="1"/>
    <xf numFmtId="180" fontId="172" fillId="26" borderId="120" xfId="80" applyNumberFormat="1" applyFont="1" applyFill="1" applyBorder="1" applyProtection="1"/>
    <xf numFmtId="180" fontId="172" fillId="26" borderId="121" xfId="80" applyNumberFormat="1" applyFont="1" applyFill="1" applyBorder="1" applyProtection="1"/>
    <xf numFmtId="180" fontId="173" fillId="26" borderId="125" xfId="80" applyNumberFormat="1" applyFont="1" applyFill="1" applyBorder="1" applyProtection="1"/>
    <xf numFmtId="180" fontId="173" fillId="26" borderId="126" xfId="80" applyNumberFormat="1" applyFont="1" applyFill="1" applyBorder="1" applyProtection="1"/>
    <xf numFmtId="180" fontId="173" fillId="26" borderId="127" xfId="80" applyNumberFormat="1" applyFont="1" applyFill="1" applyBorder="1" applyProtection="1"/>
    <xf numFmtId="0" fontId="172" fillId="26" borderId="0" xfId="0" applyFont="1" applyFill="1" applyBorder="1" applyProtection="1"/>
    <xf numFmtId="168" fontId="173" fillId="50" borderId="54" xfId="52" applyFont="1" applyFill="1" applyBorder="1" applyProtection="1"/>
    <xf numFmtId="168" fontId="173" fillId="50" borderId="33" xfId="52" applyFont="1" applyFill="1" applyBorder="1" applyProtection="1"/>
    <xf numFmtId="180" fontId="173" fillId="34" borderId="121" xfId="0" applyNumberFormat="1" applyFont="1" applyFill="1" applyBorder="1"/>
    <xf numFmtId="181" fontId="173" fillId="34" borderId="128" xfId="90" applyNumberFormat="1" applyFont="1" applyFill="1" applyBorder="1"/>
    <xf numFmtId="168" fontId="173" fillId="50" borderId="68" xfId="52" applyFont="1" applyFill="1" applyBorder="1" applyProtection="1"/>
    <xf numFmtId="168" fontId="173" fillId="50" borderId="37" xfId="52" applyFont="1" applyFill="1" applyBorder="1" applyProtection="1"/>
    <xf numFmtId="168" fontId="173" fillId="50" borderId="75" xfId="52" applyFont="1" applyFill="1" applyBorder="1" applyProtection="1"/>
    <xf numFmtId="168" fontId="173" fillId="34" borderId="54" xfId="52" applyFont="1" applyFill="1" applyBorder="1" applyProtection="1"/>
    <xf numFmtId="168" fontId="173" fillId="34" borderId="33" xfId="52" applyFont="1" applyFill="1" applyBorder="1" applyProtection="1"/>
    <xf numFmtId="168" fontId="173" fillId="34" borderId="68" xfId="52" applyFont="1" applyFill="1" applyBorder="1" applyProtection="1"/>
    <xf numFmtId="168" fontId="173" fillId="34" borderId="16" xfId="52" applyFont="1" applyFill="1" applyBorder="1" applyProtection="1"/>
    <xf numFmtId="168" fontId="173" fillId="34" borderId="12" xfId="52" applyFont="1" applyFill="1" applyBorder="1" applyProtection="1"/>
    <xf numFmtId="168" fontId="173" fillId="34" borderId="37" xfId="52" applyFont="1" applyFill="1" applyBorder="1" applyProtection="1"/>
    <xf numFmtId="168" fontId="173" fillId="34" borderId="75" xfId="52" applyFont="1" applyFill="1" applyBorder="1" applyProtection="1"/>
    <xf numFmtId="0" fontId="172" fillId="50" borderId="0" xfId="80" applyFont="1" applyFill="1" applyProtection="1"/>
    <xf numFmtId="0" fontId="173" fillId="50" borderId="0" xfId="80" applyFont="1" applyFill="1" applyProtection="1"/>
    <xf numFmtId="1" fontId="172" fillId="50" borderId="0" xfId="80" applyNumberFormat="1" applyFont="1" applyFill="1" applyAlignment="1" applyProtection="1">
      <alignment horizontal="left"/>
    </xf>
    <xf numFmtId="10" fontId="178" fillId="34" borderId="0" xfId="80" applyNumberFormat="1" applyFont="1" applyFill="1" applyProtection="1"/>
    <xf numFmtId="1" fontId="172" fillId="50" borderId="33" xfId="80" applyNumberFormat="1" applyFont="1" applyFill="1" applyBorder="1" applyAlignment="1" applyProtection="1">
      <alignment horizontal="left"/>
    </xf>
    <xf numFmtId="0" fontId="173" fillId="50" borderId="33" xfId="80" applyFont="1" applyFill="1" applyBorder="1" applyProtection="1"/>
    <xf numFmtId="0" fontId="172" fillId="50" borderId="68" xfId="80" applyFont="1" applyFill="1" applyBorder="1" applyAlignment="1" applyProtection="1">
      <alignment horizontal="right"/>
    </xf>
    <xf numFmtId="0" fontId="172" fillId="50" borderId="12" xfId="80" applyFont="1" applyFill="1" applyBorder="1" applyAlignment="1" applyProtection="1">
      <alignment horizontal="center"/>
    </xf>
    <xf numFmtId="0" fontId="172" fillId="50" borderId="75" xfId="80" applyFont="1" applyFill="1" applyBorder="1" applyAlignment="1" applyProtection="1">
      <alignment horizontal="center"/>
    </xf>
    <xf numFmtId="10" fontId="178" fillId="34" borderId="15" xfId="80" applyNumberFormat="1" applyFont="1" applyFill="1" applyBorder="1" applyProtection="1"/>
    <xf numFmtId="1" fontId="172" fillId="50" borderId="54" xfId="80" applyNumberFormat="1" applyFont="1" applyFill="1" applyBorder="1" applyProtection="1"/>
    <xf numFmtId="166" fontId="172" fillId="50" borderId="37" xfId="80" applyNumberFormat="1" applyFont="1" applyFill="1" applyBorder="1" applyProtection="1"/>
    <xf numFmtId="180" fontId="172" fillId="34" borderId="123" xfId="80" applyNumberFormat="1" applyFont="1" applyFill="1" applyBorder="1" applyProtection="1"/>
    <xf numFmtId="180" fontId="172" fillId="34" borderId="124" xfId="80" applyNumberFormat="1" applyFont="1" applyFill="1" applyBorder="1" applyProtection="1"/>
    <xf numFmtId="180" fontId="172" fillId="34" borderId="120" xfId="80" applyNumberFormat="1" applyFont="1" applyFill="1" applyBorder="1" applyProtection="1"/>
    <xf numFmtId="180" fontId="172" fillId="34" borderId="121" xfId="80" applyNumberFormat="1" applyFont="1" applyFill="1" applyBorder="1" applyProtection="1"/>
    <xf numFmtId="0" fontId="172" fillId="50" borderId="54" xfId="80" applyFont="1" applyFill="1" applyBorder="1" applyProtection="1"/>
    <xf numFmtId="0" fontId="172" fillId="50" borderId="33" xfId="80" applyFont="1" applyFill="1" applyBorder="1" applyAlignment="1" applyProtection="1">
      <alignment horizontal="right"/>
    </xf>
    <xf numFmtId="0" fontId="173" fillId="50" borderId="68" xfId="80" applyFont="1" applyFill="1" applyBorder="1" applyAlignment="1" applyProtection="1">
      <alignment horizontal="center"/>
    </xf>
    <xf numFmtId="180" fontId="173" fillId="34" borderId="75" xfId="0" applyNumberFormat="1" applyFont="1" applyFill="1" applyBorder="1"/>
    <xf numFmtId="180" fontId="202" fillId="34" borderId="0" xfId="80" applyNumberFormat="1" applyFont="1" applyFill="1" applyBorder="1" applyProtection="1"/>
    <xf numFmtId="1" fontId="204" fillId="34" borderId="0" xfId="80" applyNumberFormat="1" applyFont="1" applyFill="1" applyBorder="1" applyProtection="1"/>
    <xf numFmtId="0" fontId="172" fillId="34" borderId="43" xfId="80" applyFont="1" applyFill="1" applyBorder="1" applyAlignment="1" applyProtection="1">
      <alignment horizontal="center"/>
    </xf>
    <xf numFmtId="180" fontId="173" fillId="34" borderId="43" xfId="0" applyNumberFormat="1" applyFont="1" applyFill="1" applyBorder="1"/>
    <xf numFmtId="0" fontId="172" fillId="34" borderId="68" xfId="80" applyFont="1" applyFill="1" applyBorder="1" applyProtection="1"/>
    <xf numFmtId="0" fontId="172" fillId="34" borderId="12" xfId="80" applyFont="1" applyFill="1" applyBorder="1" applyProtection="1"/>
    <xf numFmtId="0" fontId="172" fillId="34" borderId="75" xfId="80" applyFont="1" applyFill="1" applyBorder="1" applyProtection="1"/>
    <xf numFmtId="168" fontId="178" fillId="50" borderId="58" xfId="52" applyFont="1" applyFill="1" applyBorder="1" applyProtection="1"/>
    <xf numFmtId="168" fontId="178" fillId="50" borderId="4" xfId="52" applyFont="1" applyFill="1" applyBorder="1" applyProtection="1"/>
    <xf numFmtId="168" fontId="178" fillId="50" borderId="4" xfId="52" applyFont="1" applyFill="1" applyBorder="1" applyAlignment="1" applyProtection="1">
      <alignment horizontal="right"/>
    </xf>
    <xf numFmtId="168" fontId="178" fillId="50" borderId="63" xfId="52" applyFont="1" applyFill="1" applyBorder="1" applyAlignment="1" applyProtection="1">
      <alignment horizontal="right"/>
    </xf>
    <xf numFmtId="0" fontId="173" fillId="50" borderId="33" xfId="80" applyFont="1" applyFill="1" applyBorder="1" applyAlignment="1" applyProtection="1">
      <alignment horizontal="right"/>
    </xf>
    <xf numFmtId="0" fontId="173" fillId="50" borderId="16" xfId="80" applyFont="1" applyFill="1" applyBorder="1" applyProtection="1"/>
    <xf numFmtId="0" fontId="173" fillId="50" borderId="12" xfId="80" applyFont="1" applyFill="1" applyBorder="1" applyAlignment="1" applyProtection="1">
      <alignment horizontal="center"/>
    </xf>
    <xf numFmtId="168" fontId="178" fillId="50" borderId="0" xfId="52" applyFont="1" applyFill="1" applyBorder="1" applyProtection="1"/>
    <xf numFmtId="2" fontId="172" fillId="34" borderId="0" xfId="80" applyNumberFormat="1" applyFont="1" applyFill="1" applyBorder="1" applyProtection="1"/>
    <xf numFmtId="0" fontId="198" fillId="34" borderId="0" xfId="80" applyFont="1" applyFill="1" applyBorder="1" applyProtection="1"/>
    <xf numFmtId="0" fontId="176" fillId="50" borderId="54" xfId="80" applyFont="1" applyFill="1" applyBorder="1" applyProtection="1"/>
    <xf numFmtId="0" fontId="177" fillId="50" borderId="33" xfId="80" applyFont="1" applyFill="1" applyBorder="1" applyProtection="1"/>
    <xf numFmtId="0" fontId="173" fillId="50" borderId="37" xfId="80" applyFont="1" applyFill="1" applyBorder="1" applyProtection="1"/>
    <xf numFmtId="1" fontId="173" fillId="50" borderId="54" xfId="80" applyNumberFormat="1" applyFont="1" applyFill="1" applyBorder="1" applyAlignment="1" applyProtection="1">
      <alignment horizontal="left"/>
    </xf>
    <xf numFmtId="1" fontId="173" fillId="50" borderId="33" xfId="80" applyNumberFormat="1" applyFont="1" applyFill="1" applyBorder="1" applyAlignment="1" applyProtection="1">
      <alignment horizontal="left"/>
    </xf>
    <xf numFmtId="0" fontId="173" fillId="50" borderId="75" xfId="80" applyFont="1" applyFill="1" applyBorder="1" applyProtection="1"/>
    <xf numFmtId="168" fontId="178" fillId="50" borderId="54" xfId="52" applyFont="1" applyFill="1" applyBorder="1" applyProtection="1"/>
    <xf numFmtId="168" fontId="178" fillId="50" borderId="33" xfId="52" applyFont="1" applyFill="1" applyBorder="1" applyProtection="1"/>
    <xf numFmtId="180" fontId="173" fillId="34" borderId="117" xfId="30" applyNumberFormat="1" applyFont="1" applyFill="1" applyBorder="1" applyAlignment="1" applyProtection="1">
      <alignment horizontal="right"/>
    </xf>
    <xf numFmtId="180" fontId="173" fillId="34" borderId="118" xfId="30" applyNumberFormat="1" applyFont="1" applyFill="1" applyBorder="1" applyAlignment="1" applyProtection="1">
      <alignment horizontal="right"/>
    </xf>
    <xf numFmtId="180" fontId="173" fillId="34" borderId="111" xfId="30" applyNumberFormat="1" applyFont="1" applyFill="1" applyBorder="1" applyAlignment="1" applyProtection="1">
      <alignment horizontal="right"/>
    </xf>
    <xf numFmtId="180" fontId="173" fillId="34" borderId="119" xfId="30" applyNumberFormat="1" applyFont="1" applyFill="1" applyBorder="1" applyAlignment="1" applyProtection="1">
      <alignment horizontal="right"/>
    </xf>
    <xf numFmtId="180" fontId="173" fillId="34" borderId="120" xfId="30" applyNumberFormat="1" applyFont="1" applyFill="1" applyBorder="1" applyAlignment="1" applyProtection="1">
      <alignment horizontal="right"/>
    </xf>
    <xf numFmtId="180" fontId="173" fillId="34" borderId="121" xfId="30" applyNumberFormat="1" applyFont="1" applyFill="1" applyBorder="1" applyAlignment="1" applyProtection="1">
      <alignment horizontal="right"/>
    </xf>
    <xf numFmtId="180" fontId="173" fillId="34" borderId="122" xfId="30" applyNumberFormat="1" applyFont="1" applyFill="1" applyBorder="1" applyAlignment="1" applyProtection="1">
      <alignment horizontal="right"/>
    </xf>
    <xf numFmtId="0" fontId="172" fillId="50" borderId="54" xfId="80" applyFont="1" applyFill="1" applyBorder="1" applyAlignment="1" applyProtection="1">
      <alignment horizontal="center" wrapText="1"/>
    </xf>
    <xf numFmtId="0" fontId="172" fillId="50" borderId="68" xfId="80" applyFont="1" applyFill="1" applyBorder="1" applyAlignment="1" applyProtection="1">
      <alignment horizontal="center" wrapText="1"/>
    </xf>
    <xf numFmtId="0" fontId="174" fillId="50" borderId="33" xfId="80" applyFont="1" applyFill="1" applyBorder="1" applyProtection="1"/>
    <xf numFmtId="0" fontId="175" fillId="50" borderId="33" xfId="80" applyFont="1" applyFill="1" applyBorder="1" applyAlignment="1" applyProtection="1">
      <alignment horizontal="right"/>
    </xf>
    <xf numFmtId="0" fontId="174" fillId="50" borderId="68" xfId="80" applyFont="1" applyFill="1" applyBorder="1" applyProtection="1"/>
    <xf numFmtId="0" fontId="173" fillId="50" borderId="43" xfId="80" applyFont="1" applyFill="1" applyBorder="1" applyAlignment="1" applyProtection="1">
      <alignment horizontal="center"/>
    </xf>
    <xf numFmtId="168" fontId="178" fillId="50" borderId="43" xfId="52" applyFont="1" applyFill="1" applyBorder="1" applyAlignment="1" applyProtection="1">
      <alignment horizontal="right"/>
    </xf>
    <xf numFmtId="168" fontId="178" fillId="50" borderId="75" xfId="52" applyFont="1" applyFill="1" applyBorder="1" applyAlignment="1" applyProtection="1">
      <alignment horizontal="right"/>
    </xf>
    <xf numFmtId="180" fontId="172" fillId="26" borderId="123" xfId="80" applyNumberFormat="1" applyFont="1" applyFill="1" applyBorder="1" applyAlignment="1" applyProtection="1">
      <alignment horizontal="right"/>
    </xf>
    <xf numFmtId="180" fontId="172" fillId="26" borderId="124" xfId="80" applyNumberFormat="1" applyFont="1" applyFill="1" applyBorder="1" applyAlignment="1" applyProtection="1">
      <alignment horizontal="right"/>
    </xf>
    <xf numFmtId="180" fontId="173" fillId="26" borderId="117" xfId="80" applyNumberFormat="1" applyFont="1" applyFill="1" applyBorder="1" applyProtection="1"/>
    <xf numFmtId="180" fontId="173" fillId="26" borderId="119" xfId="80" applyNumberFormat="1" applyFont="1" applyFill="1" applyBorder="1" applyProtection="1"/>
    <xf numFmtId="180" fontId="173" fillId="26" borderId="122" xfId="80" applyNumberFormat="1" applyFont="1" applyFill="1" applyBorder="1" applyProtection="1"/>
    <xf numFmtId="180" fontId="173" fillId="26" borderId="128" xfId="80" applyNumberFormat="1" applyFont="1" applyFill="1" applyBorder="1" applyProtection="1"/>
    <xf numFmtId="2" fontId="172" fillId="26" borderId="128" xfId="0" applyNumberFormat="1" applyFont="1" applyFill="1" applyBorder="1" applyProtection="1"/>
    <xf numFmtId="168" fontId="178" fillId="50" borderId="4" xfId="52" applyFont="1" applyFill="1" applyBorder="1" applyAlignment="1" applyProtection="1">
      <alignment horizontal="left"/>
    </xf>
    <xf numFmtId="189" fontId="172" fillId="34" borderId="111" xfId="90" applyNumberFormat="1" applyFont="1" applyFill="1" applyBorder="1" applyProtection="1"/>
    <xf numFmtId="0" fontId="173" fillId="26" borderId="12" xfId="80" applyFont="1" applyFill="1" applyBorder="1" applyAlignment="1" applyProtection="1">
      <alignment horizontal="center"/>
    </xf>
    <xf numFmtId="180" fontId="173" fillId="34" borderId="123" xfId="80" applyNumberFormat="1" applyFont="1" applyFill="1" applyBorder="1" applyProtection="1"/>
    <xf numFmtId="180" fontId="173" fillId="34" borderId="125" xfId="80" applyNumberFormat="1" applyFont="1" applyFill="1" applyBorder="1" applyProtection="1"/>
    <xf numFmtId="0" fontId="172" fillId="34" borderId="0" xfId="0" applyFont="1" applyFill="1" applyBorder="1" applyAlignment="1">
      <alignment wrapText="1"/>
    </xf>
    <xf numFmtId="0" fontId="172" fillId="34" borderId="27" xfId="0" applyFont="1" applyFill="1" applyBorder="1" applyAlignment="1">
      <alignment wrapText="1"/>
    </xf>
    <xf numFmtId="0" fontId="173" fillId="50" borderId="58" xfId="0" applyFont="1" applyFill="1" applyBorder="1" applyAlignment="1">
      <alignment wrapText="1"/>
    </xf>
    <xf numFmtId="0" fontId="173" fillId="50" borderId="4" xfId="0" applyFont="1" applyFill="1" applyBorder="1" applyAlignment="1">
      <alignment wrapText="1"/>
    </xf>
    <xf numFmtId="0" fontId="172" fillId="34" borderId="125" xfId="0" applyFont="1" applyFill="1" applyBorder="1" applyAlignment="1">
      <alignment wrapText="1"/>
    </xf>
    <xf numFmtId="0" fontId="221" fillId="0" borderId="0" xfId="0" applyFont="1"/>
    <xf numFmtId="0" fontId="221" fillId="34" borderId="0" xfId="0" applyFont="1" applyFill="1"/>
    <xf numFmtId="0" fontId="173" fillId="34" borderId="14" xfId="0" applyFont="1" applyFill="1" applyBorder="1" applyAlignment="1">
      <alignment horizontal="center" wrapText="1"/>
    </xf>
    <xf numFmtId="0" fontId="173" fillId="50" borderId="58" xfId="0" applyFont="1" applyFill="1" applyBorder="1"/>
    <xf numFmtId="0" fontId="173" fillId="50" borderId="4" xfId="0" applyFont="1" applyFill="1" applyBorder="1"/>
    <xf numFmtId="0" fontId="173" fillId="50" borderId="63" xfId="0" applyFont="1" applyFill="1" applyBorder="1"/>
    <xf numFmtId="0" fontId="173" fillId="50" borderId="58" xfId="0" applyFont="1" applyFill="1" applyBorder="1" applyAlignment="1">
      <alignment horizontal="center" vertical="center"/>
    </xf>
    <xf numFmtId="0" fontId="173" fillId="50" borderId="4" xfId="0" applyFont="1" applyFill="1" applyBorder="1" applyAlignment="1">
      <alignment horizontal="center" vertical="center"/>
    </xf>
    <xf numFmtId="0" fontId="173" fillId="50" borderId="4" xfId="0" applyFont="1" applyFill="1" applyBorder="1" applyAlignment="1">
      <alignment horizontal="center" vertical="center" wrapText="1"/>
    </xf>
    <xf numFmtId="0" fontId="173" fillId="50" borderId="63" xfId="0" applyFont="1" applyFill="1" applyBorder="1" applyAlignment="1">
      <alignment horizontal="center" vertical="center"/>
    </xf>
    <xf numFmtId="0" fontId="172" fillId="34" borderId="12" xfId="0" applyFont="1" applyFill="1" applyBorder="1" applyAlignment="1">
      <alignment wrapText="1"/>
    </xf>
    <xf numFmtId="0" fontId="173" fillId="34" borderId="16" xfId="0" applyFont="1" applyFill="1" applyBorder="1" applyAlignment="1">
      <alignment horizontal="center" wrapText="1"/>
    </xf>
    <xf numFmtId="0" fontId="173" fillId="34" borderId="12" xfId="0" applyFont="1" applyFill="1" applyBorder="1" applyAlignment="1">
      <alignment wrapText="1"/>
    </xf>
    <xf numFmtId="0" fontId="173" fillId="34" borderId="63" xfId="0" applyFont="1" applyFill="1" applyBorder="1" applyAlignment="1">
      <alignment wrapText="1"/>
    </xf>
    <xf numFmtId="0" fontId="173" fillId="50" borderId="58" xfId="0" applyFont="1" applyFill="1" applyBorder="1" applyAlignment="1">
      <alignment horizontal="center" vertical="center" wrapText="1"/>
    </xf>
    <xf numFmtId="0" fontId="173" fillId="50" borderId="63" xfId="0" applyFont="1" applyFill="1" applyBorder="1" applyAlignment="1">
      <alignment horizontal="center" vertical="center" wrapText="1"/>
    </xf>
    <xf numFmtId="9" fontId="173" fillId="34" borderId="63" xfId="0" applyNumberFormat="1" applyFont="1" applyFill="1" applyBorder="1" applyAlignment="1">
      <alignment horizontal="center" wrapText="1"/>
    </xf>
    <xf numFmtId="0" fontId="172" fillId="34" borderId="132" xfId="0" applyFont="1" applyFill="1" applyBorder="1" applyAlignment="1">
      <alignment wrapText="1"/>
    </xf>
    <xf numFmtId="0" fontId="172" fillId="34" borderId="38" xfId="0" applyFont="1" applyFill="1" applyBorder="1" applyAlignment="1">
      <alignment wrapText="1"/>
    </xf>
    <xf numFmtId="0" fontId="173" fillId="34" borderId="54" xfId="0" applyFont="1" applyFill="1" applyBorder="1" applyAlignment="1">
      <alignment horizontal="left" vertical="center"/>
    </xf>
    <xf numFmtId="0" fontId="173" fillId="34" borderId="33" xfId="0" applyFont="1" applyFill="1" applyBorder="1" applyAlignment="1">
      <alignment horizontal="left" vertical="center"/>
    </xf>
    <xf numFmtId="0" fontId="173" fillId="34" borderId="0" xfId="0" applyFont="1" applyFill="1" applyBorder="1" applyAlignment="1">
      <alignment horizontal="left" vertical="center"/>
    </xf>
    <xf numFmtId="0" fontId="173" fillId="34" borderId="54" xfId="0" applyFont="1" applyFill="1" applyBorder="1" applyAlignment="1">
      <alignment horizontal="center" wrapText="1"/>
    </xf>
    <xf numFmtId="0" fontId="173" fillId="34" borderId="68" xfId="0" applyFont="1" applyFill="1" applyBorder="1" applyAlignment="1">
      <alignment wrapText="1"/>
    </xf>
    <xf numFmtId="0" fontId="172" fillId="34" borderId="16" xfId="0" applyFont="1" applyFill="1" applyBorder="1" applyAlignment="1">
      <alignment horizontal="center" wrapText="1"/>
    </xf>
    <xf numFmtId="0" fontId="172" fillId="34" borderId="58" xfId="0" applyFont="1" applyFill="1" applyBorder="1" applyAlignment="1">
      <alignment wrapText="1"/>
    </xf>
    <xf numFmtId="43" fontId="172" fillId="0" borderId="0" xfId="30" applyFont="1"/>
    <xf numFmtId="43" fontId="172" fillId="0" borderId="0" xfId="0" applyNumberFormat="1" applyFont="1"/>
    <xf numFmtId="0" fontId="173" fillId="34" borderId="124" xfId="0" applyFont="1" applyFill="1" applyBorder="1" applyAlignment="1">
      <alignment horizontal="center" vertical="center" wrapText="1"/>
    </xf>
    <xf numFmtId="9" fontId="173" fillId="34" borderId="124" xfId="90" applyFont="1" applyFill="1" applyBorder="1" applyAlignment="1">
      <alignment horizontal="center" vertical="center" wrapText="1"/>
    </xf>
    <xf numFmtId="0" fontId="173" fillId="34" borderId="111" xfId="0" applyFont="1" applyFill="1" applyBorder="1" applyAlignment="1">
      <alignment horizontal="center" vertical="center" wrapText="1"/>
    </xf>
    <xf numFmtId="9" fontId="173" fillId="34" borderId="111" xfId="90" applyFont="1" applyFill="1" applyBorder="1" applyAlignment="1">
      <alignment horizontal="center" vertical="center" wrapText="1"/>
    </xf>
    <xf numFmtId="0" fontId="172" fillId="34" borderId="111" xfId="0" applyFont="1" applyFill="1" applyBorder="1" applyAlignment="1">
      <alignment horizontal="center" vertical="center" wrapText="1"/>
    </xf>
    <xf numFmtId="9" fontId="172" fillId="34" borderId="111" xfId="90" applyFont="1" applyFill="1" applyBorder="1" applyAlignment="1">
      <alignment horizontal="center" vertical="center" wrapText="1"/>
    </xf>
    <xf numFmtId="9" fontId="173" fillId="34" borderId="4" xfId="90" applyFont="1" applyFill="1" applyBorder="1" applyAlignment="1">
      <alignment horizontal="center" vertical="center" wrapText="1"/>
    </xf>
    <xf numFmtId="180" fontId="172" fillId="34" borderId="14" xfId="80" applyNumberFormat="1" applyFont="1" applyFill="1" applyBorder="1" applyAlignment="1" applyProtection="1">
      <alignment horizontal="center"/>
      <protection locked="0"/>
    </xf>
    <xf numFmtId="1" fontId="171" fillId="34" borderId="43" xfId="0" applyNumberFormat="1" applyFont="1" applyFill="1" applyBorder="1" applyAlignment="1">
      <alignment vertical="top" wrapText="1"/>
    </xf>
    <xf numFmtId="0" fontId="172" fillId="34" borderId="14" xfId="80" applyFont="1" applyFill="1" applyBorder="1" applyAlignment="1" applyProtection="1">
      <alignment horizontal="left" vertical="center" wrapText="1"/>
    </xf>
    <xf numFmtId="180" fontId="173" fillId="53" borderId="14" xfId="80" applyNumberFormat="1" applyFont="1" applyFill="1" applyBorder="1" applyAlignment="1" applyProtection="1">
      <alignment horizontal="center"/>
      <protection locked="0"/>
    </xf>
    <xf numFmtId="180" fontId="172" fillId="53" borderId="14" xfId="80" applyNumberFormat="1" applyFont="1" applyFill="1" applyBorder="1" applyAlignment="1" applyProtection="1">
      <alignment horizontal="center"/>
      <protection locked="0"/>
    </xf>
    <xf numFmtId="180" fontId="172" fillId="53" borderId="105" xfId="80" applyNumberFormat="1" applyFont="1" applyFill="1" applyBorder="1" applyProtection="1">
      <protection locked="0"/>
    </xf>
    <xf numFmtId="180" fontId="172" fillId="53" borderId="105" xfId="80" applyNumberFormat="1" applyFont="1" applyFill="1" applyBorder="1" applyAlignment="1" applyProtection="1">
      <alignment horizontal="right"/>
      <protection locked="0"/>
    </xf>
    <xf numFmtId="180" fontId="172" fillId="53" borderId="111" xfId="80" applyNumberFormat="1" applyFont="1" applyFill="1" applyBorder="1" applyAlignment="1" applyProtection="1">
      <alignment horizontal="right"/>
      <protection locked="0"/>
    </xf>
    <xf numFmtId="180" fontId="2" fillId="53" borderId="111" xfId="80" applyNumberFormat="1" applyFont="1" applyFill="1" applyBorder="1" applyProtection="1">
      <protection locked="0"/>
    </xf>
    <xf numFmtId="180" fontId="172" fillId="53" borderId="118" xfId="80" applyNumberFormat="1" applyFont="1" applyFill="1" applyBorder="1" applyProtection="1">
      <protection locked="0"/>
    </xf>
    <xf numFmtId="180" fontId="172" fillId="53" borderId="111" xfId="80" applyNumberFormat="1" applyFont="1" applyFill="1" applyBorder="1" applyProtection="1">
      <protection locked="0"/>
    </xf>
    <xf numFmtId="180" fontId="172" fillId="53" borderId="124" xfId="80" applyNumberFormat="1" applyFont="1" applyFill="1" applyBorder="1" applyProtection="1">
      <protection locked="0"/>
    </xf>
    <xf numFmtId="180" fontId="172" fillId="53" borderId="121" xfId="80" applyNumberFormat="1" applyFont="1" applyFill="1" applyBorder="1" applyProtection="1">
      <protection locked="0"/>
    </xf>
    <xf numFmtId="182" fontId="172" fillId="53" borderId="14" xfId="80" applyNumberFormat="1" applyFont="1" applyFill="1" applyBorder="1" applyProtection="1">
      <protection locked="0"/>
    </xf>
    <xf numFmtId="9" fontId="172" fillId="53" borderId="14" xfId="80" applyNumberFormat="1" applyFont="1" applyFill="1" applyBorder="1" applyProtection="1">
      <protection locked="0"/>
    </xf>
    <xf numFmtId="0" fontId="172" fillId="53" borderId="124" xfId="0" applyFont="1" applyFill="1" applyBorder="1" applyAlignment="1">
      <alignment wrapText="1"/>
    </xf>
    <xf numFmtId="0" fontId="172" fillId="53" borderId="111" xfId="0" applyFont="1" applyFill="1" applyBorder="1" applyAlignment="1">
      <alignment wrapText="1"/>
    </xf>
    <xf numFmtId="0" fontId="173" fillId="53" borderId="4" xfId="0" applyFont="1" applyFill="1" applyBorder="1" applyAlignment="1">
      <alignment wrapText="1"/>
    </xf>
    <xf numFmtId="0" fontId="172" fillId="53" borderId="117" xfId="0" applyFont="1" applyFill="1" applyBorder="1" applyAlignment="1">
      <alignment wrapText="1"/>
    </xf>
    <xf numFmtId="0" fontId="172" fillId="53" borderId="119" xfId="0" applyFont="1" applyFill="1" applyBorder="1" applyAlignment="1">
      <alignment wrapText="1"/>
    </xf>
    <xf numFmtId="0" fontId="173" fillId="53" borderId="63" xfId="0" applyFont="1" applyFill="1" applyBorder="1" applyAlignment="1">
      <alignment wrapText="1"/>
    </xf>
    <xf numFmtId="0" fontId="172" fillId="53" borderId="121" xfId="0" applyFont="1" applyFill="1" applyBorder="1" applyAlignment="1">
      <alignment wrapText="1"/>
    </xf>
    <xf numFmtId="0" fontId="176" fillId="53" borderId="121" xfId="0" applyFont="1" applyFill="1" applyBorder="1" applyAlignment="1">
      <alignment horizontal="center" wrapText="1"/>
    </xf>
    <xf numFmtId="0" fontId="225" fillId="34" borderId="0" xfId="0" applyFont="1" applyFill="1"/>
    <xf numFmtId="180" fontId="179" fillId="34" borderId="119" xfId="30" applyNumberFormat="1" applyFont="1" applyFill="1" applyBorder="1" applyAlignment="1" applyProtection="1">
      <alignment horizontal="right"/>
    </xf>
    <xf numFmtId="0" fontId="176" fillId="34" borderId="0" xfId="80" applyFont="1" applyFill="1" applyBorder="1" applyAlignment="1" applyProtection="1">
      <alignment horizontal="left"/>
    </xf>
    <xf numFmtId="0" fontId="176" fillId="34" borderId="12" xfId="80" applyFont="1" applyFill="1" applyBorder="1" applyAlignment="1" applyProtection="1">
      <alignment horizontal="left"/>
    </xf>
    <xf numFmtId="180" fontId="176" fillId="34" borderId="118" xfId="30" applyNumberFormat="1" applyFont="1" applyFill="1" applyBorder="1" applyAlignment="1" applyProtection="1">
      <alignment horizontal="right"/>
    </xf>
    <xf numFmtId="180" fontId="176" fillId="34" borderId="111" xfId="30" applyNumberFormat="1" applyFont="1" applyFill="1" applyBorder="1" applyAlignment="1" applyProtection="1">
      <alignment horizontal="right"/>
    </xf>
    <xf numFmtId="0" fontId="176" fillId="34" borderId="0" xfId="80" applyFont="1" applyFill="1" applyProtection="1"/>
    <xf numFmtId="180" fontId="176" fillId="34" borderId="0" xfId="80" applyNumberFormat="1" applyFont="1" applyFill="1" applyBorder="1" applyProtection="1"/>
    <xf numFmtId="0" fontId="176" fillId="34" borderId="0" xfId="80" applyFont="1" applyFill="1" applyBorder="1" applyProtection="1"/>
    <xf numFmtId="0" fontId="172" fillId="26" borderId="0" xfId="80" applyFont="1" applyFill="1" applyBorder="1" applyAlignment="1" applyProtection="1"/>
    <xf numFmtId="0" fontId="176" fillId="34" borderId="0" xfId="0" applyFont="1" applyFill="1" applyAlignment="1">
      <alignment horizontal="left" indent="1"/>
    </xf>
    <xf numFmtId="14" fontId="172" fillId="26" borderId="0" xfId="80" applyNumberFormat="1" applyFont="1" applyFill="1" applyBorder="1" applyAlignment="1" applyProtection="1">
      <alignment horizontal="right"/>
    </xf>
    <xf numFmtId="180" fontId="176" fillId="26" borderId="118" xfId="80" applyNumberFormat="1" applyFont="1" applyFill="1" applyBorder="1" applyProtection="1"/>
    <xf numFmtId="180" fontId="176" fillId="26" borderId="111" xfId="80" applyNumberFormat="1" applyFont="1" applyFill="1" applyBorder="1" applyProtection="1"/>
    <xf numFmtId="14" fontId="172" fillId="26" borderId="0" xfId="80" applyNumberFormat="1" applyFont="1" applyFill="1" applyBorder="1" applyAlignment="1" applyProtection="1">
      <alignment horizontal="left"/>
    </xf>
    <xf numFmtId="14" fontId="173" fillId="26" borderId="0" xfId="80" applyNumberFormat="1" applyFont="1" applyFill="1" applyBorder="1" applyAlignment="1" applyProtection="1">
      <alignment horizontal="left"/>
    </xf>
    <xf numFmtId="0" fontId="179" fillId="26" borderId="0" xfId="80" applyFont="1" applyFill="1" applyBorder="1" applyAlignment="1" applyProtection="1">
      <alignment horizontal="left"/>
    </xf>
    <xf numFmtId="0" fontId="172" fillId="34" borderId="12" xfId="80" applyFont="1" applyFill="1" applyBorder="1" applyAlignment="1" applyProtection="1">
      <alignment horizontal="left"/>
    </xf>
    <xf numFmtId="0" fontId="172" fillId="34" borderId="33" xfId="80" applyFont="1" applyFill="1" applyBorder="1" applyAlignment="1" applyProtection="1">
      <alignment horizontal="right"/>
    </xf>
    <xf numFmtId="0" fontId="172" fillId="34" borderId="43" xfId="80" applyFont="1" applyFill="1" applyBorder="1" applyAlignment="1" applyProtection="1">
      <alignment horizontal="left"/>
    </xf>
    <xf numFmtId="0" fontId="172" fillId="34" borderId="43" xfId="80" applyFont="1" applyFill="1" applyBorder="1" applyAlignment="1" applyProtection="1">
      <alignment horizontal="right"/>
    </xf>
    <xf numFmtId="16" fontId="172" fillId="26" borderId="0" xfId="80" applyNumberFormat="1" applyFont="1" applyFill="1" applyBorder="1" applyProtection="1"/>
    <xf numFmtId="180" fontId="172" fillId="26" borderId="43" xfId="80" applyNumberFormat="1" applyFont="1" applyFill="1" applyBorder="1" applyProtection="1"/>
    <xf numFmtId="180" fontId="173" fillId="26" borderId="75" xfId="80" applyNumberFormat="1" applyFont="1" applyFill="1" applyBorder="1" applyProtection="1"/>
    <xf numFmtId="0" fontId="172" fillId="34" borderId="27" xfId="0" applyFont="1" applyFill="1" applyBorder="1" applyAlignment="1">
      <alignment horizontal="center"/>
    </xf>
    <xf numFmtId="0" fontId="172" fillId="34" borderId="38" xfId="0" applyFont="1" applyFill="1" applyBorder="1" applyAlignment="1">
      <alignment horizontal="center"/>
    </xf>
    <xf numFmtId="193" fontId="172" fillId="50" borderId="0" xfId="80" applyNumberFormat="1" applyFont="1" applyFill="1" applyProtection="1"/>
    <xf numFmtId="2" fontId="173" fillId="50" borderId="0" xfId="80" applyNumberFormat="1" applyFont="1" applyFill="1" applyBorder="1" applyAlignment="1" applyProtection="1">
      <alignment horizontal="right"/>
    </xf>
    <xf numFmtId="9" fontId="172" fillId="0" borderId="117" xfId="90" applyFont="1" applyFill="1" applyBorder="1" applyAlignment="1">
      <alignment horizontal="center" wrapText="1"/>
    </xf>
    <xf numFmtId="1" fontId="173" fillId="34" borderId="4" xfId="0" applyNumberFormat="1" applyFont="1" applyFill="1" applyBorder="1" applyAlignment="1">
      <alignment horizontal="center" wrapText="1"/>
    </xf>
    <xf numFmtId="0" fontId="172" fillId="0" borderId="0" xfId="80" applyFont="1" applyFill="1" applyBorder="1" applyAlignment="1" applyProtection="1">
      <alignment horizontal="left"/>
    </xf>
    <xf numFmtId="0" fontId="172" fillId="34" borderId="125" xfId="0" applyFont="1" applyFill="1" applyBorder="1" applyAlignment="1">
      <alignment horizontal="center" wrapText="1"/>
    </xf>
    <xf numFmtId="180" fontId="173" fillId="34" borderId="43" xfId="0" applyNumberFormat="1" applyFont="1" applyFill="1" applyBorder="1" applyAlignment="1">
      <alignment horizontal="center"/>
    </xf>
    <xf numFmtId="180" fontId="172" fillId="34" borderId="125" xfId="80" applyNumberFormat="1" applyFont="1" applyFill="1" applyBorder="1" applyAlignment="1" applyProtection="1">
      <alignment horizontal="center"/>
      <protection locked="0"/>
    </xf>
    <xf numFmtId="0" fontId="172" fillId="50" borderId="4" xfId="80" applyFont="1" applyFill="1" applyBorder="1" applyAlignment="1" applyProtection="1">
      <alignment horizontal="center"/>
    </xf>
    <xf numFmtId="0" fontId="176" fillId="50" borderId="33" xfId="80" applyFont="1" applyFill="1" applyBorder="1" applyProtection="1"/>
    <xf numFmtId="168" fontId="173" fillId="50" borderId="63" xfId="52" applyFont="1" applyFill="1" applyBorder="1" applyAlignment="1" applyProtection="1">
      <alignment horizontal="center"/>
    </xf>
    <xf numFmtId="168" fontId="173" fillId="50" borderId="4" xfId="52" applyFont="1" applyFill="1" applyBorder="1" applyAlignment="1" applyProtection="1">
      <alignment horizontal="center"/>
    </xf>
    <xf numFmtId="0" fontId="172" fillId="0" borderId="123" xfId="0" applyFont="1" applyFill="1" applyBorder="1" applyAlignment="1">
      <alignment horizontal="center" wrapText="1"/>
    </xf>
    <xf numFmtId="0" fontId="173" fillId="0" borderId="58" xfId="0" applyFont="1" applyFill="1" applyBorder="1" applyAlignment="1">
      <alignment wrapText="1"/>
    </xf>
    <xf numFmtId="180" fontId="173" fillId="34" borderId="115" xfId="80" applyNumberFormat="1" applyFont="1" applyFill="1" applyBorder="1" applyAlignment="1" applyProtection="1">
      <alignment horizontal="right"/>
    </xf>
    <xf numFmtId="180" fontId="173" fillId="34" borderId="116" xfId="80" applyNumberFormat="1" applyFont="1" applyFill="1" applyBorder="1" applyAlignment="1" applyProtection="1">
      <alignment horizontal="right"/>
    </xf>
    <xf numFmtId="0" fontId="182" fillId="26" borderId="0" xfId="0" applyFont="1" applyFill="1" applyProtection="1"/>
    <xf numFmtId="180" fontId="172" fillId="53" borderId="118" xfId="80" applyNumberFormat="1" applyFont="1" applyFill="1" applyBorder="1" applyAlignment="1" applyProtection="1">
      <alignment horizontal="right"/>
      <protection locked="0"/>
    </xf>
    <xf numFmtId="180" fontId="172" fillId="34" borderId="118" xfId="30" applyNumberFormat="1" applyFont="1" applyFill="1" applyBorder="1" applyAlignment="1" applyProtection="1">
      <alignment horizontal="right"/>
    </xf>
    <xf numFmtId="180" fontId="172" fillId="34" borderId="111" xfId="30" applyNumberFormat="1" applyFont="1" applyFill="1" applyBorder="1" applyAlignment="1" applyProtection="1">
      <alignment horizontal="right"/>
    </xf>
    <xf numFmtId="180" fontId="172" fillId="34" borderId="123" xfId="30" applyNumberFormat="1" applyFont="1" applyFill="1" applyBorder="1" applyAlignment="1" applyProtection="1">
      <alignment horizontal="right"/>
    </xf>
    <xf numFmtId="180" fontId="172" fillId="34" borderId="124" xfId="30" applyNumberFormat="1" applyFont="1" applyFill="1" applyBorder="1" applyAlignment="1" applyProtection="1">
      <alignment horizontal="right"/>
    </xf>
    <xf numFmtId="10" fontId="172" fillId="34" borderId="14" xfId="0" applyNumberFormat="1" applyFont="1" applyFill="1" applyBorder="1" applyAlignment="1">
      <alignment horizontal="center" vertical="center" wrapText="1"/>
    </xf>
    <xf numFmtId="10" fontId="172" fillId="34" borderId="14" xfId="90" applyNumberFormat="1" applyFont="1" applyFill="1" applyBorder="1" applyAlignment="1">
      <alignment horizontal="center" vertical="center" wrapText="1"/>
    </xf>
    <xf numFmtId="2" fontId="172" fillId="34" borderId="14" xfId="0" applyNumberFormat="1" applyFont="1" applyFill="1" applyBorder="1" applyAlignment="1">
      <alignment horizontal="center" vertical="center" wrapText="1"/>
    </xf>
    <xf numFmtId="0" fontId="182" fillId="34" borderId="0" xfId="80" applyFont="1" applyFill="1" applyProtection="1"/>
    <xf numFmtId="180" fontId="4" fillId="26" borderId="0" xfId="80" applyNumberFormat="1" applyFont="1" applyFill="1" applyProtection="1"/>
    <xf numFmtId="10" fontId="4" fillId="26" borderId="0" xfId="90" applyNumberFormat="1" applyFont="1" applyFill="1" applyProtection="1"/>
    <xf numFmtId="2" fontId="0" fillId="26" borderId="0" xfId="0" applyNumberFormat="1" applyFill="1" applyProtection="1"/>
    <xf numFmtId="1" fontId="172" fillId="34" borderId="111" xfId="0" applyNumberFormat="1" applyFont="1" applyFill="1" applyBorder="1" applyAlignment="1">
      <alignment horizontal="center" vertical="center" wrapText="1"/>
    </xf>
    <xf numFmtId="1" fontId="173" fillId="34" borderId="4" xfId="0" applyNumberFormat="1" applyFont="1" applyFill="1" applyBorder="1" applyAlignment="1">
      <alignment horizontal="center" vertical="center" wrapText="1"/>
    </xf>
    <xf numFmtId="1" fontId="173" fillId="34" borderId="111" xfId="0" applyNumberFormat="1" applyFont="1" applyFill="1" applyBorder="1" applyAlignment="1">
      <alignment horizontal="center" vertical="center" wrapText="1"/>
    </xf>
    <xf numFmtId="1" fontId="172" fillId="34" borderId="125" xfId="0" applyNumberFormat="1" applyFont="1" applyFill="1" applyBorder="1" applyAlignment="1">
      <alignment horizontal="center" wrapText="1"/>
    </xf>
    <xf numFmtId="183" fontId="172" fillId="34" borderId="14" xfId="0" applyNumberFormat="1" applyFont="1" applyFill="1" applyBorder="1" applyAlignment="1" applyProtection="1">
      <alignment vertical="top" wrapText="1"/>
    </xf>
    <xf numFmtId="2" fontId="172" fillId="34" borderId="14" xfId="0" applyNumberFormat="1" applyFont="1" applyFill="1" applyBorder="1" applyAlignment="1" applyProtection="1">
      <alignment vertical="top" wrapText="1"/>
    </xf>
    <xf numFmtId="180" fontId="172" fillId="34" borderId="14" xfId="80" applyNumberFormat="1" applyFont="1" applyFill="1" applyBorder="1" applyAlignment="1" applyProtection="1">
      <alignment horizontal="center"/>
    </xf>
    <xf numFmtId="0" fontId="172" fillId="34" borderId="0" xfId="0" applyFont="1" applyFill="1" applyAlignment="1" applyProtection="1">
      <alignment horizontal="center"/>
    </xf>
    <xf numFmtId="43" fontId="173" fillId="34" borderId="14" xfId="30" applyFont="1" applyFill="1" applyBorder="1" applyAlignment="1" applyProtection="1">
      <alignment horizontal="left" vertical="center" wrapText="1"/>
    </xf>
    <xf numFmtId="183" fontId="172" fillId="34" borderId="0" xfId="0" applyNumberFormat="1" applyFont="1" applyFill="1" applyBorder="1" applyAlignment="1" applyProtection="1">
      <alignment vertical="top" wrapText="1"/>
    </xf>
    <xf numFmtId="2" fontId="172" fillId="34" borderId="0" xfId="0" applyNumberFormat="1" applyFont="1" applyFill="1" applyBorder="1" applyAlignment="1" applyProtection="1">
      <alignment vertical="top" wrapText="1"/>
    </xf>
    <xf numFmtId="1" fontId="182" fillId="34" borderId="0" xfId="0" applyNumberFormat="1" applyFont="1" applyFill="1" applyBorder="1" applyProtection="1"/>
    <xf numFmtId="0" fontId="172" fillId="34" borderId="14" xfId="0" applyFont="1" applyFill="1" applyBorder="1" applyAlignment="1" applyProtection="1">
      <alignment horizontal="center"/>
    </xf>
    <xf numFmtId="0" fontId="181" fillId="34" borderId="139" xfId="0" applyFont="1" applyFill="1" applyBorder="1" applyAlignment="1" applyProtection="1">
      <alignment horizontal="center" vertical="center"/>
    </xf>
    <xf numFmtId="0" fontId="181" fillId="34" borderId="140" xfId="0" applyFont="1" applyFill="1" applyBorder="1" applyAlignment="1" applyProtection="1">
      <alignment horizontal="center" vertical="center"/>
    </xf>
    <xf numFmtId="3" fontId="217" fillId="32" borderId="14" xfId="142" applyNumberFormat="1" applyFont="1" applyFill="1" applyBorder="1" applyAlignment="1" applyProtection="1">
      <alignment horizontal="right"/>
      <protection locked="0"/>
    </xf>
    <xf numFmtId="0" fontId="217" fillId="32" borderId="141" xfId="0" applyFont="1" applyFill="1" applyBorder="1" applyAlignment="1" applyProtection="1">
      <alignment vertical="top" wrapText="1"/>
      <protection locked="0"/>
    </xf>
    <xf numFmtId="4" fontId="217" fillId="59" borderId="141" xfId="0" applyNumberFormat="1" applyFont="1" applyFill="1" applyBorder="1" applyAlignment="1" applyProtection="1">
      <alignment horizontal="right"/>
      <protection locked="0"/>
    </xf>
    <xf numFmtId="3" fontId="233" fillId="32" borderId="14" xfId="0" applyNumberFormat="1" applyFont="1" applyFill="1" applyBorder="1" applyAlignment="1" applyProtection="1">
      <alignment horizontal="center" vertical="center"/>
      <protection locked="0"/>
    </xf>
    <xf numFmtId="3" fontId="217" fillId="59" borderId="141" xfId="0" applyNumberFormat="1" applyFont="1" applyFill="1" applyBorder="1" applyAlignment="1" applyProtection="1">
      <alignment horizontal="right"/>
      <protection locked="0"/>
    </xf>
    <xf numFmtId="0" fontId="217" fillId="59" borderId="141" xfId="0" applyFont="1" applyFill="1" applyBorder="1" applyAlignment="1" applyProtection="1">
      <alignment vertical="top" wrapText="1"/>
      <protection locked="0"/>
    </xf>
    <xf numFmtId="0" fontId="217" fillId="59" borderId="141" xfId="0" quotePrefix="1" applyFont="1" applyFill="1" applyBorder="1" applyAlignment="1" applyProtection="1">
      <alignment vertical="top" wrapText="1"/>
      <protection locked="0"/>
    </xf>
    <xf numFmtId="0" fontId="172" fillId="0" borderId="14" xfId="0" applyFont="1" applyBorder="1" applyProtection="1"/>
    <xf numFmtId="0" fontId="181" fillId="34" borderId="14" xfId="0" applyFont="1" applyFill="1" applyBorder="1" applyAlignment="1" applyProtection="1">
      <alignment horizontal="center" vertical="center"/>
    </xf>
    <xf numFmtId="180" fontId="172" fillId="32" borderId="14" xfId="80" applyNumberFormat="1" applyFont="1" applyFill="1" applyBorder="1" applyAlignment="1" applyProtection="1">
      <alignment horizontal="center"/>
      <protection locked="0"/>
    </xf>
    <xf numFmtId="0" fontId="172" fillId="0" borderId="14" xfId="0" applyFont="1" applyBorder="1"/>
    <xf numFmtId="0" fontId="172" fillId="0" borderId="54" xfId="0" applyFont="1" applyFill="1" applyBorder="1" applyAlignment="1">
      <alignment horizontal="center" wrapText="1"/>
    </xf>
    <xf numFmtId="0" fontId="172" fillId="53" borderId="0" xfId="0" applyFont="1" applyFill="1" applyBorder="1" applyAlignment="1">
      <alignment wrapText="1"/>
    </xf>
    <xf numFmtId="0" fontId="173" fillId="34" borderId="0" xfId="0" applyFont="1" applyFill="1" applyBorder="1" applyAlignment="1">
      <alignment horizontal="center" vertical="center" wrapText="1"/>
    </xf>
    <xf numFmtId="0" fontId="172" fillId="53" borderId="12" xfId="0" applyFont="1" applyFill="1" applyBorder="1" applyAlignment="1">
      <alignment wrapText="1"/>
    </xf>
    <xf numFmtId="0" fontId="172" fillId="0" borderId="14" xfId="0" applyFont="1" applyBorder="1" applyAlignment="1">
      <alignment horizontal="center"/>
    </xf>
    <xf numFmtId="0" fontId="5" fillId="56" borderId="14" xfId="0" applyFont="1" applyFill="1" applyBorder="1" applyAlignment="1" applyProtection="1">
      <alignment wrapText="1"/>
    </xf>
    <xf numFmtId="0" fontId="5" fillId="57" borderId="14" xfId="0" applyFont="1" applyFill="1" applyBorder="1" applyAlignment="1" applyProtection="1">
      <alignment wrapText="1"/>
    </xf>
    <xf numFmtId="0" fontId="2" fillId="39" borderId="0" xfId="0" applyFont="1" applyFill="1" applyAlignment="1" applyProtection="1">
      <alignment wrapText="1"/>
    </xf>
    <xf numFmtId="0" fontId="0" fillId="0" borderId="0" xfId="0" applyAlignment="1" applyProtection="1">
      <alignment wrapText="1"/>
    </xf>
    <xf numFmtId="10" fontId="0" fillId="56" borderId="14" xfId="0" applyNumberFormat="1" applyFill="1" applyBorder="1" applyAlignment="1" applyProtection="1">
      <alignment wrapText="1"/>
    </xf>
    <xf numFmtId="0" fontId="172" fillId="57" borderId="14" xfId="0" applyFont="1" applyFill="1" applyBorder="1" applyProtection="1"/>
    <xf numFmtId="181" fontId="0" fillId="0" borderId="0" xfId="0" applyNumberFormat="1" applyAlignment="1" applyProtection="1">
      <alignment wrapText="1"/>
    </xf>
    <xf numFmtId="0" fontId="173" fillId="50" borderId="14" xfId="0" applyFont="1" applyFill="1" applyBorder="1" applyAlignment="1">
      <alignment horizontal="center" vertical="center" wrapText="1"/>
    </xf>
    <xf numFmtId="0" fontId="173" fillId="50" borderId="4" xfId="0" applyFont="1" applyFill="1" applyBorder="1" applyAlignment="1">
      <alignment horizontal="center" vertical="center" wrapText="1"/>
    </xf>
    <xf numFmtId="0" fontId="173" fillId="34" borderId="0" xfId="0" applyFont="1" applyFill="1" applyAlignment="1" applyProtection="1">
      <alignment vertical="top"/>
    </xf>
    <xf numFmtId="0" fontId="172" fillId="34" borderId="0" xfId="0" applyFont="1" applyFill="1" applyAlignment="1" applyProtection="1">
      <alignment vertical="top"/>
    </xf>
    <xf numFmtId="0" fontId="172" fillId="0" borderId="0" xfId="0" applyFont="1" applyFill="1" applyAlignment="1" applyProtection="1">
      <alignment vertical="top"/>
    </xf>
    <xf numFmtId="0" fontId="217" fillId="34" borderId="4" xfId="0" applyFont="1" applyFill="1" applyBorder="1" applyProtection="1"/>
    <xf numFmtId="0" fontId="220" fillId="0" borderId="0" xfId="0" applyFont="1" applyProtection="1"/>
    <xf numFmtId="0" fontId="217" fillId="34" borderId="0" xfId="0" applyFont="1" applyFill="1" applyBorder="1" applyProtection="1"/>
    <xf numFmtId="9" fontId="204" fillId="0" borderId="0" xfId="90" applyFont="1" applyProtection="1"/>
    <xf numFmtId="0" fontId="204" fillId="0" borderId="0" xfId="0" applyFont="1" applyProtection="1"/>
    <xf numFmtId="0" fontId="119" fillId="34" borderId="0" xfId="69" applyFill="1" applyProtection="1"/>
    <xf numFmtId="0" fontId="217" fillId="34" borderId="4" xfId="0" applyFont="1" applyFill="1" applyBorder="1" applyAlignment="1" applyProtection="1">
      <alignment horizontal="left" vertical="center"/>
    </xf>
    <xf numFmtId="0" fontId="217" fillId="34" borderId="4" xfId="0" applyFont="1" applyFill="1" applyBorder="1" applyAlignment="1" applyProtection="1">
      <alignment horizontal="left" vertical="center" wrapText="1"/>
    </xf>
    <xf numFmtId="0" fontId="217" fillId="34" borderId="63" xfId="0" applyFont="1" applyFill="1" applyBorder="1" applyAlignment="1" applyProtection="1">
      <alignment horizontal="left" vertical="center" wrapText="1"/>
    </xf>
    <xf numFmtId="0" fontId="217" fillId="0" borderId="63" xfId="0" applyFont="1" applyFill="1" applyBorder="1" applyAlignment="1" applyProtection="1">
      <alignment horizontal="left" vertical="center" wrapText="1"/>
    </xf>
    <xf numFmtId="0" fontId="217" fillId="34" borderId="0" xfId="0" applyFont="1" applyFill="1" applyBorder="1" applyAlignment="1" applyProtection="1">
      <alignment horizontal="left" vertical="center"/>
    </xf>
    <xf numFmtId="0" fontId="217" fillId="0" borderId="0" xfId="0" applyFont="1" applyFill="1" applyBorder="1" applyAlignment="1" applyProtection="1">
      <alignment horizontal="left" vertical="center" wrapText="1"/>
    </xf>
    <xf numFmtId="0" fontId="217" fillId="34" borderId="4" xfId="0" applyNumberFormat="1" applyFont="1" applyFill="1" applyBorder="1" applyAlignment="1" applyProtection="1">
      <alignment horizontal="left" vertical="center"/>
    </xf>
    <xf numFmtId="0" fontId="217" fillId="0" borderId="4" xfId="0" applyFont="1" applyFill="1" applyBorder="1" applyAlignment="1" applyProtection="1">
      <alignment horizontal="left" vertical="center" wrapText="1"/>
    </xf>
    <xf numFmtId="0" fontId="2" fillId="0" borderId="0" xfId="0" applyFont="1" applyAlignment="1" applyProtection="1">
      <alignment vertical="top" wrapText="1"/>
    </xf>
    <xf numFmtId="0" fontId="217" fillId="0" borderId="0" xfId="0" applyFont="1" applyFill="1" applyBorder="1" applyAlignment="1" applyProtection="1">
      <alignment horizontal="center" vertical="top" wrapText="1"/>
    </xf>
    <xf numFmtId="0" fontId="217" fillId="0" borderId="0" xfId="0" applyFont="1" applyProtection="1"/>
    <xf numFmtId="3" fontId="217" fillId="34" borderId="14" xfId="142" applyNumberFormat="1" applyFont="1" applyFill="1" applyBorder="1" applyAlignment="1" applyProtection="1">
      <alignment horizontal="right"/>
    </xf>
    <xf numFmtId="0" fontId="217" fillId="0" borderId="14" xfId="0" applyFont="1" applyBorder="1" applyAlignment="1" applyProtection="1">
      <alignment vertical="top" wrapText="1"/>
    </xf>
    <xf numFmtId="195" fontId="217" fillId="0" borderId="14" xfId="30" applyNumberFormat="1" applyFont="1" applyBorder="1" applyAlignment="1" applyProtection="1">
      <alignment vertical="top" wrapText="1"/>
    </xf>
    <xf numFmtId="0" fontId="217" fillId="26" borderId="142" xfId="0" applyFont="1" applyFill="1" applyBorder="1" applyAlignment="1" applyProtection="1">
      <alignment wrapText="1"/>
    </xf>
    <xf numFmtId="10" fontId="217" fillId="0" borderId="14" xfId="0" applyNumberFormat="1" applyFont="1" applyBorder="1" applyProtection="1"/>
    <xf numFmtId="0" fontId="217" fillId="26" borderId="0" xfId="0" applyFont="1" applyFill="1" applyBorder="1" applyAlignment="1" applyProtection="1">
      <alignment wrapText="1"/>
    </xf>
    <xf numFmtId="10" fontId="217" fillId="0" borderId="0" xfId="0" applyNumberFormat="1" applyFont="1" applyBorder="1" applyProtection="1"/>
    <xf numFmtId="0" fontId="217" fillId="34" borderId="4" xfId="0" applyFont="1" applyFill="1" applyBorder="1" applyAlignment="1" applyProtection="1">
      <alignment wrapText="1"/>
    </xf>
    <xf numFmtId="0" fontId="232" fillId="0" borderId="0" xfId="0" applyFont="1" applyBorder="1" applyAlignment="1" applyProtection="1">
      <alignment horizontal="left" vertical="top" wrapText="1"/>
    </xf>
    <xf numFmtId="0" fontId="217" fillId="34" borderId="14" xfId="0" applyFont="1" applyFill="1" applyBorder="1" applyAlignment="1" applyProtection="1">
      <alignment horizontal="left" vertical="center"/>
    </xf>
    <xf numFmtId="0" fontId="217" fillId="26" borderId="14" xfId="0" applyFont="1" applyFill="1" applyBorder="1" applyAlignment="1" applyProtection="1">
      <alignment wrapText="1"/>
    </xf>
    <xf numFmtId="14" fontId="217" fillId="34" borderId="14" xfId="0" applyNumberFormat="1" applyFont="1" applyFill="1" applyBorder="1" applyAlignment="1" applyProtection="1">
      <alignment horizontal="left" vertical="center"/>
    </xf>
    <xf numFmtId="0" fontId="234" fillId="34" borderId="0" xfId="0" applyFont="1" applyFill="1" applyBorder="1" applyAlignment="1" applyProtection="1">
      <alignment horizontal="left" vertical="center" wrapText="1"/>
    </xf>
    <xf numFmtId="0" fontId="216" fillId="34" borderId="0" xfId="0" applyFont="1" applyFill="1" applyProtection="1"/>
    <xf numFmtId="0" fontId="172" fillId="34" borderId="0" xfId="0" applyFont="1" applyFill="1" applyAlignment="1" applyProtection="1">
      <alignment horizontal="center" wrapText="1"/>
    </xf>
    <xf numFmtId="0" fontId="172" fillId="0" borderId="0" xfId="0" applyFont="1" applyAlignment="1" applyProtection="1">
      <alignment horizontal="center" wrapText="1"/>
    </xf>
    <xf numFmtId="0" fontId="173" fillId="50" borderId="58" xfId="0" applyFont="1" applyFill="1" applyBorder="1" applyAlignment="1" applyProtection="1">
      <alignment horizontal="center" vertical="center"/>
    </xf>
    <xf numFmtId="0" fontId="173" fillId="50" borderId="4" xfId="0" applyFont="1" applyFill="1" applyBorder="1" applyAlignment="1" applyProtection="1">
      <alignment horizontal="center" vertical="center" wrapText="1"/>
    </xf>
    <xf numFmtId="0" fontId="173" fillId="50" borderId="63" xfId="0" applyFont="1" applyFill="1" applyBorder="1" applyAlignment="1" applyProtection="1">
      <alignment horizontal="center" vertical="center" wrapText="1"/>
    </xf>
    <xf numFmtId="0" fontId="173" fillId="50" borderId="102" xfId="0" applyFont="1" applyFill="1" applyBorder="1" applyAlignment="1" applyProtection="1">
      <alignment horizontal="center" vertical="center"/>
    </xf>
    <xf numFmtId="0" fontId="172" fillId="34" borderId="0" xfId="0" applyFont="1" applyFill="1" applyAlignment="1" applyProtection="1">
      <alignment horizontal="left" wrapText="1"/>
    </xf>
    <xf numFmtId="0" fontId="172" fillId="0" borderId="0" xfId="0" applyFont="1" applyAlignment="1" applyProtection="1">
      <alignment horizontal="left" wrapText="1"/>
    </xf>
    <xf numFmtId="0" fontId="172" fillId="0" borderId="123" xfId="0" applyFont="1" applyBorder="1" applyProtection="1"/>
    <xf numFmtId="0" fontId="172" fillId="35" borderId="124" xfId="0" applyFont="1" applyFill="1" applyBorder="1" applyProtection="1"/>
    <xf numFmtId="0" fontId="172" fillId="35" borderId="117" xfId="0" applyFont="1" applyFill="1" applyBorder="1" applyProtection="1"/>
    <xf numFmtId="0" fontId="172" fillId="0" borderId="118" xfId="0" applyFont="1" applyBorder="1" applyProtection="1"/>
    <xf numFmtId="0" fontId="172" fillId="35" borderId="111" xfId="0" applyFont="1" applyFill="1" applyBorder="1" applyProtection="1"/>
    <xf numFmtId="0" fontId="172" fillId="35" borderId="119" xfId="0" applyFont="1" applyFill="1" applyBorder="1" applyProtection="1"/>
    <xf numFmtId="0" fontId="172" fillId="0" borderId="120" xfId="0" applyFont="1" applyBorder="1" applyProtection="1"/>
    <xf numFmtId="0" fontId="172" fillId="35" borderId="121" xfId="0" applyFont="1" applyFill="1" applyBorder="1" applyProtection="1"/>
    <xf numFmtId="0" fontId="172" fillId="34" borderId="121" xfId="0" applyFont="1" applyFill="1" applyBorder="1" applyProtection="1"/>
    <xf numFmtId="0" fontId="172" fillId="34" borderId="122" xfId="0" applyFont="1" applyFill="1" applyBorder="1" applyProtection="1"/>
    <xf numFmtId="0" fontId="172" fillId="34" borderId="124" xfId="0" applyFont="1" applyFill="1" applyBorder="1" applyProtection="1"/>
    <xf numFmtId="0" fontId="172" fillId="34" borderId="117" xfId="0" applyFont="1" applyFill="1" applyBorder="1" applyProtection="1"/>
    <xf numFmtId="0" fontId="172" fillId="0" borderId="124" xfId="0" applyFont="1" applyBorder="1" applyProtection="1"/>
    <xf numFmtId="0" fontId="172" fillId="0" borderId="117" xfId="0" applyFont="1" applyBorder="1" applyProtection="1"/>
    <xf numFmtId="0" fontId="172" fillId="0" borderId="111" xfId="0" applyFont="1" applyBorder="1" applyProtection="1"/>
    <xf numFmtId="0" fontId="172" fillId="0" borderId="119" xfId="0" applyFont="1" applyBorder="1" applyProtection="1"/>
    <xf numFmtId="0" fontId="172" fillId="0" borderId="16" xfId="0" applyFont="1" applyBorder="1" applyProtection="1"/>
    <xf numFmtId="0" fontId="172" fillId="0" borderId="0" xfId="0" applyFont="1" applyBorder="1" applyProtection="1"/>
    <xf numFmtId="0" fontId="172" fillId="0" borderId="12" xfId="0" applyFont="1" applyBorder="1" applyProtection="1"/>
    <xf numFmtId="0" fontId="172" fillId="34" borderId="123" xfId="0" applyFont="1" applyFill="1" applyBorder="1" applyProtection="1"/>
    <xf numFmtId="0" fontId="172" fillId="34" borderId="118" xfId="0" applyFont="1" applyFill="1" applyBorder="1" applyProtection="1"/>
    <xf numFmtId="0" fontId="172" fillId="34" borderId="120" xfId="0" applyFont="1" applyFill="1" applyBorder="1" applyProtection="1"/>
    <xf numFmtId="0" fontId="172" fillId="35" borderId="122" xfId="0" applyFont="1" applyFill="1" applyBorder="1" applyProtection="1"/>
    <xf numFmtId="180" fontId="172" fillId="35" borderId="14" xfId="80" applyNumberFormat="1" applyFont="1" applyFill="1" applyBorder="1" applyProtection="1"/>
    <xf numFmtId="180" fontId="172" fillId="53" borderId="14" xfId="80" applyNumberFormat="1" applyFont="1" applyFill="1" applyBorder="1" applyProtection="1"/>
    <xf numFmtId="0" fontId="172" fillId="26" borderId="14" xfId="0" applyFont="1" applyFill="1" applyBorder="1" applyProtection="1"/>
    <xf numFmtId="0" fontId="202" fillId="34" borderId="0" xfId="0" applyFont="1" applyFill="1" applyProtection="1"/>
    <xf numFmtId="0" fontId="200" fillId="34" borderId="0" xfId="0" applyFont="1" applyFill="1" applyProtection="1"/>
    <xf numFmtId="0" fontId="200" fillId="34" borderId="0" xfId="0" applyFont="1" applyFill="1" applyAlignment="1" applyProtection="1">
      <alignment horizontal="center" wrapText="1"/>
    </xf>
    <xf numFmtId="0" fontId="202" fillId="34" borderId="0" xfId="0" applyFont="1" applyFill="1" applyAlignment="1" applyProtection="1">
      <alignment horizontal="center" wrapText="1"/>
    </xf>
    <xf numFmtId="0" fontId="202" fillId="0" borderId="0" xfId="0" applyFont="1" applyAlignment="1" applyProtection="1">
      <alignment horizontal="center" wrapText="1"/>
    </xf>
    <xf numFmtId="0" fontId="202" fillId="0" borderId="0" xfId="0" applyFont="1" applyProtection="1"/>
    <xf numFmtId="0" fontId="202" fillId="34" borderId="0" xfId="0" applyFont="1" applyFill="1" applyAlignment="1" applyProtection="1">
      <alignment horizontal="left" wrapText="1"/>
    </xf>
    <xf numFmtId="0" fontId="202" fillId="0" borderId="0" xfId="0" applyFont="1" applyAlignment="1" applyProtection="1">
      <alignment horizontal="left" wrapText="1"/>
    </xf>
    <xf numFmtId="0" fontId="2" fillId="0" borderId="0" xfId="0" applyFont="1" applyProtection="1"/>
    <xf numFmtId="0" fontId="119" fillId="0" borderId="0" xfId="69" applyProtection="1"/>
    <xf numFmtId="0" fontId="5" fillId="32" borderId="14" xfId="0" applyFont="1" applyFill="1" applyBorder="1" applyProtection="1">
      <protection locked="0"/>
    </xf>
    <xf numFmtId="0" fontId="217" fillId="32" borderId="14" xfId="0" applyFont="1" applyFill="1" applyBorder="1" applyAlignment="1" applyProtection="1">
      <alignment horizontal="left" vertical="top" wrapText="1" indent="1"/>
      <protection locked="0"/>
    </xf>
    <xf numFmtId="195" fontId="217" fillId="32" borderId="14" xfId="30" applyNumberFormat="1" applyFont="1" applyFill="1" applyBorder="1" applyAlignment="1" applyProtection="1">
      <alignment vertical="top" wrapText="1"/>
      <protection locked="0"/>
    </xf>
    <xf numFmtId="0" fontId="217" fillId="34" borderId="0" xfId="0" applyFont="1" applyFill="1" applyBorder="1" applyAlignment="1" applyProtection="1">
      <alignment horizontal="left" vertical="center"/>
      <protection locked="0"/>
    </xf>
    <xf numFmtId="0" fontId="217" fillId="0" borderId="0" xfId="0" applyFont="1" applyProtection="1">
      <protection locked="0"/>
    </xf>
    <xf numFmtId="0" fontId="182" fillId="34" borderId="0" xfId="0" applyFont="1" applyFill="1" applyAlignment="1" applyProtection="1">
      <alignment vertical="top"/>
    </xf>
    <xf numFmtId="0" fontId="173" fillId="50" borderId="14" xfId="0" applyFont="1" applyFill="1" applyBorder="1" applyAlignment="1" applyProtection="1">
      <alignment horizontal="center" vertical="center" wrapText="1"/>
    </xf>
    <xf numFmtId="0" fontId="198" fillId="34" borderId="0" xfId="0" applyFont="1" applyFill="1" applyProtection="1"/>
    <xf numFmtId="9" fontId="204" fillId="34" borderId="0" xfId="0" applyNumberFormat="1" applyFont="1" applyFill="1" applyProtection="1"/>
    <xf numFmtId="0" fontId="173" fillId="50" borderId="14" xfId="0" applyFont="1" applyFill="1" applyBorder="1" applyAlignment="1" applyProtection="1">
      <alignment horizontal="center" vertical="center"/>
    </xf>
    <xf numFmtId="0" fontId="211" fillId="50" borderId="14" xfId="0" applyFont="1" applyFill="1" applyBorder="1" applyAlignment="1" applyProtection="1">
      <alignment horizontal="center" vertical="center" wrapText="1"/>
    </xf>
    <xf numFmtId="0" fontId="173" fillId="0" borderId="14" xfId="0" applyFont="1" applyBorder="1" applyAlignment="1" applyProtection="1">
      <alignment horizontal="right" wrapText="1"/>
    </xf>
    <xf numFmtId="0" fontId="173" fillId="0" borderId="14" xfId="0" applyFont="1" applyBorder="1" applyAlignment="1" applyProtection="1">
      <alignment wrapText="1"/>
    </xf>
    <xf numFmtId="9" fontId="172" fillId="34" borderId="14" xfId="90" applyFont="1" applyFill="1" applyBorder="1" applyAlignment="1" applyProtection="1">
      <alignment horizontal="center"/>
    </xf>
    <xf numFmtId="180" fontId="173" fillId="0" borderId="14" xfId="0" applyNumberFormat="1" applyFont="1" applyFill="1" applyBorder="1" applyAlignment="1" applyProtection="1">
      <alignment horizontal="center"/>
    </xf>
    <xf numFmtId="9" fontId="172" fillId="0" borderId="14" xfId="90" applyFont="1" applyBorder="1" applyProtection="1"/>
    <xf numFmtId="180" fontId="172" fillId="0" borderId="14" xfId="80" applyNumberFormat="1" applyFont="1" applyFill="1" applyBorder="1" applyAlignment="1" applyProtection="1">
      <alignment horizontal="center"/>
    </xf>
    <xf numFmtId="180" fontId="173" fillId="34" borderId="133" xfId="0" applyNumberFormat="1" applyFont="1" applyFill="1" applyBorder="1" applyAlignment="1" applyProtection="1">
      <alignment horizontal="center"/>
    </xf>
    <xf numFmtId="180" fontId="173" fillId="34" borderId="133" xfId="80" applyNumberFormat="1" applyFont="1" applyFill="1" applyBorder="1" applyAlignment="1" applyProtection="1">
      <alignment horizontal="center"/>
    </xf>
    <xf numFmtId="180" fontId="173" fillId="0" borderId="14" xfId="80" applyNumberFormat="1" applyFont="1" applyFill="1" applyBorder="1" applyAlignment="1" applyProtection="1">
      <alignment horizontal="center"/>
    </xf>
    <xf numFmtId="180" fontId="173" fillId="34" borderId="14" xfId="80" applyNumberFormat="1" applyFont="1" applyFill="1" applyBorder="1" applyAlignment="1" applyProtection="1">
      <alignment horizontal="center"/>
    </xf>
    <xf numFmtId="0" fontId="172" fillId="0" borderId="14" xfId="0" applyFont="1" applyBorder="1" applyAlignment="1" applyProtection="1">
      <alignment horizontal="right" wrapText="1"/>
    </xf>
    <xf numFmtId="0" fontId="172" fillId="0" borderId="14" xfId="0" applyFont="1" applyBorder="1" applyAlignment="1" applyProtection="1">
      <alignment wrapText="1"/>
    </xf>
    <xf numFmtId="180" fontId="172" fillId="34" borderId="133" xfId="80" applyNumberFormat="1" applyFont="1" applyFill="1" applyBorder="1" applyAlignment="1" applyProtection="1">
      <alignment horizontal="center"/>
    </xf>
    <xf numFmtId="180" fontId="173" fillId="34" borderId="14" xfId="0" applyNumberFormat="1" applyFont="1" applyFill="1" applyBorder="1" applyAlignment="1" applyProtection="1">
      <alignment horizontal="center"/>
    </xf>
    <xf numFmtId="0" fontId="172" fillId="0" borderId="14" xfId="0" applyFont="1" applyBorder="1" applyAlignment="1" applyProtection="1">
      <alignment horizontal="right"/>
    </xf>
    <xf numFmtId="9" fontId="173" fillId="34" borderId="14" xfId="0" applyNumberFormat="1" applyFont="1" applyFill="1" applyBorder="1" applyAlignment="1" applyProtection="1">
      <alignment horizontal="center" wrapText="1"/>
    </xf>
    <xf numFmtId="9" fontId="173" fillId="0" borderId="14" xfId="80" applyNumberFormat="1" applyFont="1" applyFill="1" applyBorder="1" applyAlignment="1" applyProtection="1">
      <alignment horizontal="center"/>
    </xf>
    <xf numFmtId="0" fontId="202" fillId="0" borderId="0" xfId="0" applyFont="1" applyBorder="1" applyAlignment="1" applyProtection="1">
      <alignment horizontal="right"/>
    </xf>
    <xf numFmtId="0" fontId="200" fillId="0" borderId="0" xfId="0" applyFont="1" applyBorder="1" applyAlignment="1" applyProtection="1">
      <alignment wrapText="1"/>
    </xf>
    <xf numFmtId="0" fontId="200" fillId="34" borderId="0" xfId="0" applyFont="1" applyFill="1" applyBorder="1" applyAlignment="1" applyProtection="1">
      <alignment wrapText="1"/>
    </xf>
    <xf numFmtId="180" fontId="200" fillId="0" borderId="0" xfId="80" applyNumberFormat="1" applyFont="1" applyFill="1" applyBorder="1" applyAlignment="1" applyProtection="1">
      <alignment horizontal="center"/>
    </xf>
    <xf numFmtId="9" fontId="202" fillId="0" borderId="0" xfId="90" applyFont="1" applyBorder="1" applyProtection="1"/>
    <xf numFmtId="0" fontId="202" fillId="34" borderId="0" xfId="0" applyFont="1" applyFill="1" applyBorder="1" applyProtection="1"/>
    <xf numFmtId="0" fontId="202" fillId="0" borderId="0" xfId="0" applyFont="1" applyBorder="1" applyProtection="1"/>
    <xf numFmtId="0" fontId="172" fillId="34" borderId="0" xfId="0" applyFont="1" applyFill="1" applyBorder="1" applyAlignment="1" applyProtection="1">
      <alignment horizontal="right"/>
    </xf>
    <xf numFmtId="0" fontId="173" fillId="50" borderId="14" xfId="0" applyFont="1" applyFill="1" applyBorder="1" applyAlignment="1" applyProtection="1">
      <alignment horizontal="left" vertical="center" wrapText="1"/>
    </xf>
    <xf numFmtId="9" fontId="172" fillId="34" borderId="14" xfId="90" applyFont="1" applyFill="1" applyBorder="1" applyProtection="1"/>
    <xf numFmtId="0" fontId="203" fillId="34" borderId="0" xfId="0" applyFont="1" applyFill="1" applyAlignment="1" applyProtection="1">
      <alignment vertical="top"/>
    </xf>
    <xf numFmtId="0" fontId="204" fillId="34" borderId="0" xfId="0" applyFont="1" applyFill="1" applyBorder="1" applyProtection="1"/>
    <xf numFmtId="180" fontId="198" fillId="34" borderId="0" xfId="0" applyNumberFormat="1" applyFont="1" applyFill="1" applyProtection="1"/>
    <xf numFmtId="180" fontId="172" fillId="34" borderId="0" xfId="0" applyNumberFormat="1" applyFont="1" applyFill="1" applyProtection="1"/>
    <xf numFmtId="0" fontId="203" fillId="34" borderId="0" xfId="0" applyFont="1" applyFill="1" applyProtection="1"/>
    <xf numFmtId="0" fontId="3" fillId="34" borderId="0" xfId="0" applyFont="1" applyFill="1" applyProtection="1"/>
    <xf numFmtId="0" fontId="207" fillId="34" borderId="0" xfId="0" applyFont="1" applyFill="1" applyProtection="1"/>
    <xf numFmtId="9" fontId="172" fillId="34" borderId="0" xfId="0" applyNumberFormat="1" applyFont="1" applyFill="1" applyProtection="1"/>
    <xf numFmtId="0" fontId="211" fillId="50" borderId="14" xfId="0" applyFont="1" applyFill="1" applyBorder="1" applyAlignment="1" applyProtection="1">
      <alignment horizontal="center" vertical="center" wrapText="1"/>
      <protection locked="0"/>
    </xf>
    <xf numFmtId="0" fontId="215" fillId="34" borderId="33" xfId="0" applyFont="1" applyFill="1" applyBorder="1" applyAlignment="1" applyProtection="1">
      <alignment vertical="top"/>
    </xf>
    <xf numFmtId="0" fontId="172" fillId="26" borderId="81" xfId="80" applyFont="1" applyFill="1" applyBorder="1" applyProtection="1"/>
    <xf numFmtId="0" fontId="173" fillId="26" borderId="85" xfId="80" applyFont="1" applyFill="1" applyBorder="1" applyAlignment="1" applyProtection="1">
      <alignment horizontal="left"/>
    </xf>
    <xf numFmtId="0" fontId="173" fillId="26" borderId="85" xfId="80" applyFont="1" applyFill="1" applyBorder="1" applyProtection="1"/>
    <xf numFmtId="0" fontId="173" fillId="26" borderId="85" xfId="80" applyFont="1" applyFill="1" applyBorder="1" applyAlignment="1" applyProtection="1">
      <alignment horizontal="center" vertical="center"/>
    </xf>
    <xf numFmtId="180" fontId="173" fillId="34" borderId="103" xfId="80" applyNumberFormat="1" applyFont="1" applyFill="1" applyBorder="1" applyAlignment="1" applyProtection="1">
      <alignment horizontal="right"/>
    </xf>
    <xf numFmtId="180" fontId="173" fillId="34" borderId="104" xfId="80" applyNumberFormat="1" applyFont="1" applyFill="1" applyBorder="1" applyProtection="1"/>
    <xf numFmtId="0" fontId="172" fillId="26" borderId="61" xfId="80" applyFont="1" applyFill="1" applyBorder="1" applyProtection="1"/>
    <xf numFmtId="0" fontId="172" fillId="26" borderId="0" xfId="80" applyFont="1" applyFill="1" applyBorder="1" applyAlignment="1" applyProtection="1">
      <alignment horizontal="left" indent="1"/>
    </xf>
    <xf numFmtId="0" fontId="172" fillId="26" borderId="0" xfId="80" applyFont="1" applyFill="1" applyBorder="1" applyAlignment="1" applyProtection="1">
      <alignment vertical="top" wrapText="1"/>
    </xf>
    <xf numFmtId="0" fontId="172" fillId="26" borderId="0" xfId="80" applyFont="1" applyFill="1" applyBorder="1" applyAlignment="1" applyProtection="1">
      <alignment horizontal="center" vertical="center" wrapText="1"/>
    </xf>
    <xf numFmtId="180" fontId="173" fillId="34" borderId="106" xfId="80" applyNumberFormat="1" applyFont="1" applyFill="1" applyBorder="1" applyProtection="1"/>
    <xf numFmtId="0" fontId="173" fillId="26" borderId="0" xfId="80" applyFont="1" applyFill="1" applyBorder="1" applyAlignment="1" applyProtection="1">
      <alignment horizontal="center" vertical="center"/>
    </xf>
    <xf numFmtId="180" fontId="173" fillId="34" borderId="105" xfId="80" applyNumberFormat="1" applyFont="1" applyFill="1" applyBorder="1" applyProtection="1"/>
    <xf numFmtId="0" fontId="176" fillId="26" borderId="61" xfId="80" applyFont="1" applyFill="1" applyBorder="1" applyProtection="1"/>
    <xf numFmtId="0" fontId="173" fillId="26" borderId="62" xfId="80" applyFont="1" applyFill="1" applyBorder="1" applyProtection="1"/>
    <xf numFmtId="0" fontId="173" fillId="26" borderId="66" xfId="80" applyFont="1" applyFill="1" applyBorder="1" applyAlignment="1" applyProtection="1">
      <alignment horizontal="left"/>
    </xf>
    <xf numFmtId="0" fontId="173" fillId="26" borderId="66" xfId="80" applyFont="1" applyFill="1" applyBorder="1" applyProtection="1"/>
    <xf numFmtId="0" fontId="173" fillId="26" borderId="66" xfId="80" applyFont="1" applyFill="1" applyBorder="1" applyAlignment="1" applyProtection="1">
      <alignment horizontal="center" vertical="center"/>
    </xf>
    <xf numFmtId="180" fontId="173" fillId="34" borderId="107" xfId="80" applyNumberFormat="1" applyFont="1" applyFill="1" applyBorder="1" applyProtection="1"/>
    <xf numFmtId="180" fontId="173" fillId="34" borderId="108" xfId="80" applyNumberFormat="1" applyFont="1" applyFill="1" applyBorder="1" applyProtection="1"/>
    <xf numFmtId="0" fontId="205" fillId="0" borderId="0" xfId="0" applyFont="1" applyAlignment="1" applyProtection="1">
      <alignment vertical="top"/>
    </xf>
    <xf numFmtId="0" fontId="206" fillId="26" borderId="0" xfId="0" applyFont="1" applyFill="1" applyProtection="1"/>
    <xf numFmtId="0" fontId="212" fillId="34" borderId="0" xfId="0" applyFont="1" applyFill="1" applyAlignment="1" applyProtection="1">
      <alignment vertical="top"/>
    </xf>
    <xf numFmtId="0" fontId="209" fillId="34" borderId="0" xfId="0" applyFont="1" applyFill="1" applyAlignment="1" applyProtection="1">
      <alignment vertical="top"/>
    </xf>
    <xf numFmtId="0" fontId="209" fillId="50" borderId="33" xfId="80" applyFont="1" applyFill="1" applyBorder="1" applyProtection="1"/>
    <xf numFmtId="0" fontId="210" fillId="50" borderId="16" xfId="80" applyFont="1" applyFill="1" applyBorder="1" applyProtection="1"/>
    <xf numFmtId="0" fontId="209" fillId="50" borderId="37" xfId="80" applyFont="1" applyFill="1" applyBorder="1" applyProtection="1"/>
    <xf numFmtId="0" fontId="209" fillId="26" borderId="0" xfId="80" applyFont="1" applyFill="1" applyProtection="1"/>
    <xf numFmtId="0" fontId="209" fillId="26" borderId="0" xfId="80" applyFont="1" applyFill="1" applyAlignment="1" applyProtection="1">
      <alignment horizontal="center"/>
    </xf>
    <xf numFmtId="167" fontId="209" fillId="26" borderId="0" xfId="80" applyNumberFormat="1" applyFont="1" applyFill="1" applyProtection="1"/>
    <xf numFmtId="168" fontId="211" fillId="50" borderId="58" xfId="52" applyFont="1" applyFill="1" applyBorder="1" applyProtection="1"/>
    <xf numFmtId="168" fontId="211" fillId="50" borderId="4" xfId="52" applyFont="1" applyFill="1" applyBorder="1" applyProtection="1"/>
    <xf numFmtId="168" fontId="211" fillId="50" borderId="4" xfId="52" applyFont="1" applyFill="1" applyBorder="1" applyAlignment="1" applyProtection="1">
      <alignment horizontal="right"/>
    </xf>
    <xf numFmtId="168" fontId="211" fillId="50" borderId="63" xfId="52" applyFont="1" applyFill="1" applyBorder="1" applyAlignment="1" applyProtection="1">
      <alignment horizontal="right"/>
    </xf>
    <xf numFmtId="0" fontId="204" fillId="26" borderId="0" xfId="0" applyFont="1" applyFill="1" applyProtection="1"/>
    <xf numFmtId="0" fontId="173" fillId="26" borderId="81" xfId="80" applyFont="1" applyFill="1" applyBorder="1" applyAlignment="1" applyProtection="1">
      <alignment horizontal="left"/>
    </xf>
    <xf numFmtId="0" fontId="173" fillId="26" borderId="85" xfId="80" applyFont="1" applyFill="1" applyBorder="1" applyAlignment="1" applyProtection="1">
      <alignment horizontal="center"/>
    </xf>
    <xf numFmtId="180" fontId="173" fillId="34" borderId="109" xfId="80" applyNumberFormat="1" applyFont="1" applyFill="1" applyBorder="1" applyAlignment="1" applyProtection="1">
      <alignment horizontal="right"/>
    </xf>
    <xf numFmtId="180" fontId="173" fillId="34" borderId="110" xfId="80" applyNumberFormat="1" applyFont="1" applyFill="1" applyBorder="1" applyProtection="1"/>
    <xf numFmtId="0" fontId="172" fillId="26" borderId="0" xfId="80" applyFont="1" applyFill="1" applyBorder="1" applyAlignment="1" applyProtection="1">
      <alignment horizontal="right" indent="1"/>
    </xf>
    <xf numFmtId="180" fontId="173" fillId="34" borderId="112" xfId="80" applyNumberFormat="1" applyFont="1" applyFill="1" applyBorder="1" applyProtection="1"/>
    <xf numFmtId="0" fontId="173" fillId="0" borderId="0" xfId="80" applyFont="1" applyFill="1" applyBorder="1" applyProtection="1"/>
    <xf numFmtId="180" fontId="204" fillId="26" borderId="0" xfId="0" applyNumberFormat="1" applyFont="1" applyFill="1" applyProtection="1"/>
    <xf numFmtId="0" fontId="172" fillId="0" borderId="0" xfId="80" applyFont="1" applyFill="1" applyBorder="1" applyAlignment="1" applyProtection="1">
      <alignment vertical="top" wrapText="1"/>
    </xf>
    <xf numFmtId="0" fontId="227" fillId="26" borderId="0" xfId="0" applyFont="1" applyFill="1" applyProtection="1"/>
    <xf numFmtId="180" fontId="172" fillId="34" borderId="130" xfId="0" applyNumberFormat="1" applyFont="1" applyFill="1" applyBorder="1" applyAlignment="1" applyProtection="1">
      <alignment vertical="top" wrapText="1"/>
    </xf>
    <xf numFmtId="180" fontId="202" fillId="26" borderId="0" xfId="0" applyNumberFormat="1" applyFont="1" applyFill="1" applyProtection="1"/>
    <xf numFmtId="0" fontId="179" fillId="26" borderId="61" xfId="80" applyFont="1" applyFill="1" applyBorder="1" applyProtection="1"/>
    <xf numFmtId="0" fontId="173" fillId="26" borderId="0" xfId="80" applyFont="1" applyFill="1" applyBorder="1" applyAlignment="1" applyProtection="1">
      <alignment horizontal="right" indent="1"/>
    </xf>
    <xf numFmtId="0" fontId="179" fillId="26" borderId="0" xfId="80" applyFont="1" applyFill="1" applyBorder="1" applyProtection="1"/>
    <xf numFmtId="0" fontId="228" fillId="26" borderId="0" xfId="0" applyFont="1" applyFill="1" applyProtection="1"/>
    <xf numFmtId="0" fontId="179" fillId="26" borderId="0" xfId="0" applyFont="1" applyFill="1" applyProtection="1"/>
    <xf numFmtId="0" fontId="172" fillId="26" borderId="0" xfId="80" applyFont="1" applyFill="1" applyBorder="1" applyAlignment="1" applyProtection="1">
      <alignment horizontal="center" vertical="center"/>
    </xf>
    <xf numFmtId="180" fontId="172" fillId="34" borderId="112" xfId="80" applyNumberFormat="1" applyFont="1" applyFill="1" applyBorder="1" applyProtection="1"/>
    <xf numFmtId="0" fontId="202" fillId="26" borderId="0" xfId="0" applyFont="1" applyFill="1" applyProtection="1"/>
    <xf numFmtId="0" fontId="173" fillId="26" borderId="0" xfId="80" applyFont="1" applyFill="1" applyBorder="1" applyAlignment="1" applyProtection="1">
      <alignment horizontal="right"/>
    </xf>
    <xf numFmtId="0" fontId="172" fillId="26" borderId="0" xfId="80" applyFont="1" applyFill="1" applyBorder="1" applyAlignment="1" applyProtection="1">
      <alignment horizontal="right" vertical="top" indent="1"/>
    </xf>
    <xf numFmtId="180" fontId="2" fillId="34" borderId="143" xfId="80" applyNumberFormat="1" applyFont="1" applyFill="1" applyBorder="1" applyProtection="1"/>
    <xf numFmtId="0" fontId="172" fillId="26" borderId="62" xfId="80" applyFont="1" applyFill="1" applyBorder="1" applyProtection="1"/>
    <xf numFmtId="0" fontId="173" fillId="26" borderId="66" xfId="80" applyFont="1" applyFill="1" applyBorder="1" applyAlignment="1" applyProtection="1">
      <alignment horizontal="right"/>
    </xf>
    <xf numFmtId="180" fontId="173" fillId="34" borderId="113" xfId="80" applyNumberFormat="1" applyFont="1" applyFill="1" applyBorder="1" applyProtection="1"/>
    <xf numFmtId="180" fontId="173" fillId="34" borderId="114" xfId="80" applyNumberFormat="1" applyFont="1" applyFill="1" applyBorder="1" applyProtection="1"/>
    <xf numFmtId="0" fontId="117" fillId="34" borderId="0" xfId="0" applyFont="1" applyFill="1" applyProtection="1"/>
    <xf numFmtId="0" fontId="116" fillId="34" borderId="0" xfId="0" applyFont="1" applyFill="1" applyProtection="1"/>
    <xf numFmtId="0" fontId="172" fillId="32" borderId="0" xfId="80" applyFont="1" applyFill="1" applyBorder="1" applyAlignment="1" applyProtection="1">
      <alignment vertical="top" wrapText="1"/>
      <protection locked="0"/>
    </xf>
    <xf numFmtId="0" fontId="172" fillId="53" borderId="0" xfId="80" applyFont="1" applyFill="1" applyBorder="1" applyAlignment="1" applyProtection="1">
      <alignment vertical="top" wrapText="1"/>
      <protection locked="0"/>
    </xf>
    <xf numFmtId="180" fontId="172" fillId="34" borderId="126" xfId="80" applyNumberFormat="1" applyFont="1" applyFill="1" applyBorder="1" applyAlignment="1" applyProtection="1">
      <alignment horizontal="right"/>
    </xf>
    <xf numFmtId="180" fontId="172" fillId="34" borderId="131" xfId="80" applyNumberFormat="1" applyFont="1" applyFill="1" applyBorder="1" applyAlignment="1" applyProtection="1">
      <alignment horizontal="right"/>
    </xf>
    <xf numFmtId="180" fontId="204" fillId="34" borderId="144" xfId="80" applyNumberFormat="1" applyFont="1" applyFill="1" applyBorder="1" applyAlignment="1" applyProtection="1">
      <alignment horizontal="right"/>
    </xf>
    <xf numFmtId="180" fontId="204" fillId="34" borderId="145" xfId="80" applyNumberFormat="1" applyFont="1" applyFill="1" applyBorder="1" applyAlignment="1" applyProtection="1">
      <alignment horizontal="right"/>
    </xf>
    <xf numFmtId="180" fontId="173" fillId="34" borderId="118" xfId="80" applyNumberFormat="1" applyFont="1" applyFill="1" applyBorder="1" applyProtection="1"/>
    <xf numFmtId="180" fontId="173" fillId="34" borderId="126" xfId="80" applyNumberFormat="1" applyFont="1" applyFill="1" applyBorder="1" applyProtection="1"/>
    <xf numFmtId="0" fontId="205" fillId="34" borderId="0" xfId="0" applyFont="1" applyFill="1" applyAlignment="1" applyProtection="1">
      <alignment vertical="top"/>
    </xf>
    <xf numFmtId="0" fontId="206" fillId="34" borderId="0" xfId="0" applyFont="1" applyFill="1" applyProtection="1"/>
    <xf numFmtId="0" fontId="199" fillId="34" borderId="0" xfId="0" applyFont="1" applyFill="1" applyAlignment="1" applyProtection="1">
      <alignment vertical="top"/>
    </xf>
    <xf numFmtId="180" fontId="173" fillId="34" borderId="4" xfId="80" applyNumberFormat="1" applyFont="1" applyFill="1" applyBorder="1" applyAlignment="1" applyProtection="1">
      <alignment horizontal="right"/>
    </xf>
    <xf numFmtId="180" fontId="173" fillId="34" borderId="117" xfId="0" applyNumberFormat="1" applyFont="1" applyFill="1" applyBorder="1" applyProtection="1"/>
    <xf numFmtId="180" fontId="173" fillId="34" borderId="119" xfId="0" applyNumberFormat="1" applyFont="1" applyFill="1" applyBorder="1" applyProtection="1"/>
    <xf numFmtId="180" fontId="173" fillId="34" borderId="63" xfId="80" applyNumberFormat="1" applyFont="1" applyFill="1" applyBorder="1" applyAlignment="1" applyProtection="1">
      <alignment horizontal="right"/>
    </xf>
    <xf numFmtId="0" fontId="172" fillId="34" borderId="43" xfId="0" applyFont="1" applyFill="1" applyBorder="1" applyAlignment="1" applyProtection="1">
      <alignment wrapText="1"/>
    </xf>
    <xf numFmtId="180" fontId="173" fillId="34" borderId="122" xfId="0" applyNumberFormat="1" applyFont="1" applyFill="1" applyBorder="1" applyProtection="1"/>
    <xf numFmtId="180" fontId="173" fillId="34" borderId="0" xfId="0" applyNumberFormat="1" applyFont="1" applyFill="1" applyBorder="1" applyProtection="1"/>
    <xf numFmtId="9" fontId="172" fillId="34" borderId="0" xfId="90" applyFont="1" applyFill="1" applyProtection="1"/>
    <xf numFmtId="0" fontId="172" fillId="53" borderId="0" xfId="0" applyFont="1" applyFill="1" applyProtection="1">
      <protection locked="0"/>
    </xf>
    <xf numFmtId="180" fontId="172" fillId="53" borderId="121" xfId="80" applyNumberFormat="1" applyFont="1" applyFill="1" applyBorder="1" applyAlignment="1" applyProtection="1">
      <alignment horizontal="right"/>
      <protection locked="0"/>
    </xf>
    <xf numFmtId="0" fontId="173" fillId="48" borderId="0" xfId="0" applyFont="1" applyFill="1" applyAlignment="1" applyProtection="1">
      <alignment vertical="top"/>
    </xf>
    <xf numFmtId="0" fontId="215" fillId="34" borderId="0" xfId="0" applyFont="1" applyFill="1" applyAlignment="1" applyProtection="1">
      <alignment vertical="top"/>
    </xf>
    <xf numFmtId="0" fontId="222" fillId="34" borderId="0" xfId="0" applyFont="1" applyFill="1" applyAlignment="1" applyProtection="1">
      <alignment vertical="top"/>
    </xf>
    <xf numFmtId="0" fontId="215" fillId="48" borderId="0" xfId="0" applyFont="1" applyFill="1" applyAlignment="1" applyProtection="1">
      <alignment vertical="top"/>
    </xf>
    <xf numFmtId="182" fontId="179" fillId="0" borderId="0" xfId="80" applyNumberFormat="1" applyFont="1" applyProtection="1">
      <protection locked="0"/>
    </xf>
    <xf numFmtId="9" fontId="179" fillId="0" borderId="0" xfId="80" applyNumberFormat="1" applyFont="1" applyBorder="1" applyProtection="1">
      <protection locked="0"/>
    </xf>
    <xf numFmtId="9" fontId="173" fillId="53" borderId="14" xfId="90" applyFont="1" applyFill="1" applyBorder="1" applyProtection="1">
      <protection locked="0"/>
    </xf>
    <xf numFmtId="0" fontId="173" fillId="50" borderId="33" xfId="80" applyFont="1" applyFill="1" applyBorder="1" applyAlignment="1" applyProtection="1">
      <alignment wrapText="1"/>
    </xf>
    <xf numFmtId="0" fontId="173" fillId="50" borderId="43" xfId="80" applyFont="1" applyFill="1" applyBorder="1" applyAlignment="1" applyProtection="1">
      <alignment wrapText="1"/>
    </xf>
    <xf numFmtId="9" fontId="173" fillId="34" borderId="33" xfId="80" applyNumberFormat="1" applyFont="1" applyFill="1" applyBorder="1" applyProtection="1"/>
    <xf numFmtId="0" fontId="172" fillId="34" borderId="0" xfId="80" applyFont="1" applyFill="1" applyBorder="1" applyAlignment="1" applyProtection="1">
      <alignment vertical="top" wrapText="1"/>
    </xf>
    <xf numFmtId="9" fontId="173" fillId="34" borderId="0" xfId="80" applyNumberFormat="1" applyFont="1" applyFill="1" applyBorder="1" applyProtection="1">
      <protection locked="0"/>
    </xf>
    <xf numFmtId="9" fontId="173" fillId="26" borderId="0" xfId="80" applyNumberFormat="1" applyFont="1" applyFill="1" applyBorder="1" applyProtection="1">
      <protection locked="0"/>
    </xf>
    <xf numFmtId="9" fontId="173" fillId="0" borderId="14" xfId="90" applyFont="1" applyBorder="1" applyAlignment="1" applyProtection="1">
      <alignment horizontal="center" wrapText="1"/>
    </xf>
    <xf numFmtId="9" fontId="172" fillId="0" borderId="14" xfId="90" applyFont="1" applyBorder="1" applyAlignment="1" applyProtection="1">
      <alignment horizontal="center"/>
    </xf>
    <xf numFmtId="9" fontId="172" fillId="0" borderId="14" xfId="90" applyFont="1" applyBorder="1" applyAlignment="1" applyProtection="1">
      <alignment horizontal="center" wrapText="1"/>
    </xf>
    <xf numFmtId="180" fontId="172" fillId="0" borderId="14" xfId="0" applyNumberFormat="1" applyFont="1" applyFill="1" applyBorder="1" applyAlignment="1" applyProtection="1">
      <alignment horizontal="center"/>
    </xf>
    <xf numFmtId="9" fontId="173" fillId="0" borderId="14" xfId="90" applyNumberFormat="1" applyFont="1" applyBorder="1" applyAlignment="1" applyProtection="1">
      <alignment horizontal="center" wrapText="1"/>
    </xf>
    <xf numFmtId="9" fontId="173" fillId="34" borderId="14" xfId="90" applyFont="1" applyFill="1" applyBorder="1" applyAlignment="1" applyProtection="1">
      <alignment horizontal="center"/>
    </xf>
    <xf numFmtId="0" fontId="173" fillId="34" borderId="0" xfId="0" applyFont="1" applyFill="1" applyBorder="1" applyAlignment="1" applyProtection="1">
      <alignment wrapText="1"/>
    </xf>
    <xf numFmtId="9" fontId="172" fillId="34" borderId="0" xfId="90" applyFont="1" applyFill="1" applyBorder="1" applyAlignment="1" applyProtection="1">
      <alignment horizontal="center"/>
    </xf>
    <xf numFmtId="180" fontId="173" fillId="34" borderId="0" xfId="0" applyNumberFormat="1" applyFont="1" applyFill="1" applyBorder="1" applyAlignment="1" applyProtection="1">
      <alignment horizontal="center"/>
    </xf>
    <xf numFmtId="9" fontId="172" fillId="34" borderId="0" xfId="90" applyFont="1" applyFill="1" applyBorder="1" applyProtection="1"/>
    <xf numFmtId="0" fontId="173" fillId="34" borderId="58" xfId="0" applyFont="1" applyFill="1" applyBorder="1" applyAlignment="1" applyProtection="1">
      <alignment wrapText="1"/>
    </xf>
    <xf numFmtId="0" fontId="173" fillId="34" borderId="4" xfId="0" applyFont="1" applyFill="1" applyBorder="1" applyAlignment="1" applyProtection="1">
      <alignment wrapText="1"/>
    </xf>
    <xf numFmtId="9" fontId="172" fillId="34" borderId="4" xfId="90" applyFont="1" applyFill="1" applyBorder="1" applyAlignment="1" applyProtection="1">
      <alignment horizontal="center"/>
    </xf>
    <xf numFmtId="180" fontId="173" fillId="34" borderId="63" xfId="0" applyNumberFormat="1" applyFont="1" applyFill="1" applyBorder="1" applyAlignment="1" applyProtection="1">
      <alignment horizontal="center"/>
    </xf>
    <xf numFmtId="0" fontId="173" fillId="34" borderId="37" xfId="0" applyFont="1" applyFill="1" applyBorder="1" applyAlignment="1" applyProtection="1">
      <alignment wrapText="1"/>
    </xf>
    <xf numFmtId="0" fontId="173" fillId="34" borderId="43" xfId="0" applyFont="1" applyFill="1" applyBorder="1" applyAlignment="1" applyProtection="1">
      <alignment wrapText="1"/>
    </xf>
    <xf numFmtId="9" fontId="172" fillId="34" borderId="43" xfId="90" applyFont="1" applyFill="1" applyBorder="1" applyAlignment="1" applyProtection="1">
      <alignment horizontal="center"/>
    </xf>
    <xf numFmtId="180" fontId="173" fillId="34" borderId="75" xfId="0" applyNumberFormat="1" applyFont="1" applyFill="1" applyBorder="1" applyAlignment="1" applyProtection="1">
      <alignment horizontal="center"/>
    </xf>
    <xf numFmtId="180" fontId="182" fillId="34" borderId="0" xfId="0" applyNumberFormat="1" applyFont="1" applyFill="1" applyBorder="1" applyAlignment="1" applyProtection="1">
      <alignment horizontal="center"/>
    </xf>
    <xf numFmtId="0" fontId="173" fillId="34" borderId="0" xfId="0" applyFont="1" applyFill="1" applyBorder="1" applyProtection="1"/>
    <xf numFmtId="0" fontId="208" fillId="34" borderId="0" xfId="0" applyFont="1" applyFill="1" applyBorder="1" applyProtection="1"/>
    <xf numFmtId="0" fontId="182" fillId="34" borderId="0" xfId="0" applyFont="1" applyFill="1" applyBorder="1" applyProtection="1"/>
    <xf numFmtId="0" fontId="172" fillId="34" borderId="14" xfId="0" applyFont="1" applyFill="1" applyBorder="1" applyProtection="1"/>
    <xf numFmtId="9" fontId="172" fillId="34" borderId="14" xfId="0" applyNumberFormat="1" applyFont="1" applyFill="1" applyBorder="1" applyProtection="1"/>
    <xf numFmtId="180" fontId="208" fillId="34" borderId="0" xfId="0" applyNumberFormat="1" applyFont="1" applyFill="1" applyBorder="1" applyProtection="1"/>
    <xf numFmtId="9" fontId="173" fillId="34" borderId="14" xfId="0" applyNumberFormat="1" applyFont="1" applyFill="1" applyBorder="1" applyProtection="1"/>
    <xf numFmtId="9" fontId="173" fillId="34" borderId="14" xfId="90" applyFont="1" applyFill="1" applyBorder="1" applyProtection="1"/>
    <xf numFmtId="180" fontId="204" fillId="34" borderId="0" xfId="0" applyNumberFormat="1" applyFont="1" applyFill="1" applyProtection="1"/>
    <xf numFmtId="1" fontId="172" fillId="34" borderId="0" xfId="0" applyNumberFormat="1" applyFont="1" applyFill="1" applyProtection="1"/>
    <xf numFmtId="0" fontId="68" fillId="0" borderId="0" xfId="0" applyFont="1" applyAlignment="1" applyProtection="1">
      <alignment horizontal="justify"/>
    </xf>
    <xf numFmtId="0" fontId="23" fillId="0" borderId="0" xfId="0" applyFont="1" applyAlignment="1" applyProtection="1">
      <alignment horizontal="justify"/>
    </xf>
    <xf numFmtId="0" fontId="0" fillId="0" borderId="0" xfId="0" applyProtection="1"/>
    <xf numFmtId="0" fontId="172" fillId="0" borderId="0" xfId="0" applyFont="1" applyAlignment="1" applyProtection="1">
      <alignment vertical="top"/>
    </xf>
    <xf numFmtId="1" fontId="173" fillId="50" borderId="33" xfId="0" applyNumberFormat="1" applyFont="1" applyFill="1" applyBorder="1" applyAlignment="1" applyProtection="1">
      <alignment horizontal="center" vertical="top" wrapText="1"/>
    </xf>
    <xf numFmtId="2" fontId="171" fillId="50" borderId="16" xfId="0" applyNumberFormat="1" applyFont="1" applyFill="1" applyBorder="1" applyAlignment="1" applyProtection="1">
      <alignment vertical="top" wrapText="1"/>
    </xf>
    <xf numFmtId="1" fontId="173" fillId="50" borderId="0" xfId="0" applyNumberFormat="1" applyFont="1" applyFill="1" applyBorder="1" applyAlignment="1" applyProtection="1">
      <alignment horizontal="center" vertical="top" wrapText="1"/>
    </xf>
    <xf numFmtId="2" fontId="173" fillId="50" borderId="37" xfId="0" applyNumberFormat="1" applyFont="1" applyFill="1" applyBorder="1" applyAlignment="1" applyProtection="1">
      <alignment vertical="top" wrapText="1"/>
    </xf>
    <xf numFmtId="2" fontId="172" fillId="50" borderId="43" xfId="0" applyNumberFormat="1" applyFont="1" applyFill="1" applyBorder="1" applyAlignment="1" applyProtection="1">
      <alignment vertical="top" wrapText="1"/>
    </xf>
    <xf numFmtId="180" fontId="172" fillId="34" borderId="124" xfId="0" applyNumberFormat="1" applyFont="1" applyFill="1" applyBorder="1" applyAlignment="1" applyProtection="1">
      <alignment vertical="top" wrapText="1"/>
    </xf>
    <xf numFmtId="180" fontId="172" fillId="34" borderId="111" xfId="0" applyNumberFormat="1" applyFont="1" applyFill="1" applyBorder="1" applyAlignment="1" applyProtection="1">
      <alignment vertical="top" wrapText="1"/>
    </xf>
    <xf numFmtId="180" fontId="172" fillId="34" borderId="121" xfId="0" applyNumberFormat="1" applyFont="1" applyFill="1" applyBorder="1" applyAlignment="1" applyProtection="1">
      <alignment vertical="top" wrapText="1"/>
    </xf>
    <xf numFmtId="2" fontId="173" fillId="50" borderId="58" xfId="0" applyNumberFormat="1" applyFont="1" applyFill="1" applyBorder="1" applyAlignment="1" applyProtection="1">
      <alignment vertical="top" wrapText="1"/>
    </xf>
    <xf numFmtId="180" fontId="172" fillId="50" borderId="4" xfId="0" applyNumberFormat="1" applyFont="1" applyFill="1" applyBorder="1" applyAlignment="1" applyProtection="1">
      <alignment vertical="top" wrapText="1"/>
    </xf>
    <xf numFmtId="180" fontId="173" fillId="50" borderId="4" xfId="0" applyNumberFormat="1" applyFont="1" applyFill="1" applyBorder="1" applyAlignment="1" applyProtection="1">
      <alignment vertical="top" wrapText="1"/>
    </xf>
    <xf numFmtId="180" fontId="172" fillId="34" borderId="128" xfId="0" applyNumberFormat="1" applyFont="1" applyFill="1" applyBorder="1" applyAlignment="1" applyProtection="1">
      <alignment vertical="top" wrapText="1"/>
    </xf>
    <xf numFmtId="0" fontId="199" fillId="0" borderId="0" xfId="0" applyFont="1" applyAlignment="1" applyProtection="1">
      <alignment vertical="top"/>
    </xf>
    <xf numFmtId="0" fontId="201" fillId="34" borderId="0" xfId="0" applyFont="1" applyFill="1" applyAlignment="1" applyProtection="1">
      <alignment vertical="top"/>
    </xf>
    <xf numFmtId="0" fontId="116" fillId="34" borderId="0" xfId="0" applyFont="1" applyFill="1" applyAlignment="1" applyProtection="1">
      <alignment vertical="top"/>
    </xf>
    <xf numFmtId="0" fontId="116" fillId="0" borderId="0" xfId="0" applyFont="1" applyAlignment="1" applyProtection="1">
      <alignment vertical="top"/>
    </xf>
    <xf numFmtId="49" fontId="172" fillId="26" borderId="0" xfId="80" applyNumberFormat="1" applyFont="1" applyFill="1" applyAlignment="1" applyProtection="1">
      <alignment horizontal="right"/>
    </xf>
    <xf numFmtId="0" fontId="172" fillId="26" borderId="0" xfId="80" applyNumberFormat="1" applyFont="1" applyFill="1" applyProtection="1"/>
    <xf numFmtId="168" fontId="172" fillId="26" borderId="0" xfId="80" applyNumberFormat="1" applyFont="1" applyFill="1" applyProtection="1"/>
    <xf numFmtId="0" fontId="173" fillId="26" borderId="0" xfId="80" applyFont="1" applyFill="1" applyBorder="1" applyAlignment="1" applyProtection="1"/>
    <xf numFmtId="180" fontId="208" fillId="26" borderId="0" xfId="0" applyNumberFormat="1" applyFont="1" applyFill="1" applyProtection="1"/>
    <xf numFmtId="0" fontId="176" fillId="34" borderId="0" xfId="80" applyFont="1" applyFill="1" applyBorder="1" applyAlignment="1" applyProtection="1">
      <alignment horizontal="left" indent="2"/>
    </xf>
    <xf numFmtId="14" fontId="172" fillId="34" borderId="0" xfId="80" applyNumberFormat="1" applyFont="1" applyFill="1" applyBorder="1" applyAlignment="1" applyProtection="1">
      <alignment horizontal="left"/>
    </xf>
    <xf numFmtId="0" fontId="173" fillId="34" borderId="0" xfId="80" applyFont="1" applyFill="1" applyBorder="1" applyAlignment="1" applyProtection="1">
      <alignment horizontal="left" indent="2"/>
    </xf>
    <xf numFmtId="180" fontId="173" fillId="26" borderId="0" xfId="0" applyNumberFormat="1" applyFont="1" applyFill="1" applyProtection="1"/>
    <xf numFmtId="180" fontId="173" fillId="0" borderId="126" xfId="80" applyNumberFormat="1" applyFont="1" applyFill="1" applyBorder="1" applyAlignment="1" applyProtection="1">
      <alignment horizontal="right"/>
    </xf>
    <xf numFmtId="180" fontId="173" fillId="34" borderId="120" xfId="80" applyNumberFormat="1" applyFont="1" applyFill="1" applyBorder="1" applyProtection="1"/>
    <xf numFmtId="180" fontId="173" fillId="34" borderId="127" xfId="80" applyNumberFormat="1" applyFont="1" applyFill="1" applyBorder="1" applyProtection="1"/>
    <xf numFmtId="9" fontId="172" fillId="34" borderId="0" xfId="90" applyNumberFormat="1" applyFont="1" applyFill="1" applyProtection="1"/>
    <xf numFmtId="185" fontId="172" fillId="34" borderId="0" xfId="0" applyNumberFormat="1" applyFont="1" applyFill="1" applyProtection="1"/>
    <xf numFmtId="9" fontId="172" fillId="26" borderId="0" xfId="90" applyNumberFormat="1" applyFont="1" applyFill="1" applyProtection="1"/>
    <xf numFmtId="10" fontId="172" fillId="26" borderId="0" xfId="90" applyNumberFormat="1" applyFont="1" applyFill="1" applyProtection="1"/>
    <xf numFmtId="10" fontId="172" fillId="34" borderId="0" xfId="90" applyNumberFormat="1" applyFont="1" applyFill="1" applyProtection="1"/>
    <xf numFmtId="185" fontId="173" fillId="34" borderId="0" xfId="0" applyNumberFormat="1" applyFont="1" applyFill="1" applyProtection="1"/>
    <xf numFmtId="9" fontId="172" fillId="26" borderId="0" xfId="90" applyFont="1" applyFill="1" applyProtection="1"/>
    <xf numFmtId="180" fontId="173" fillId="34" borderId="0" xfId="0" applyNumberFormat="1" applyFont="1" applyFill="1" applyProtection="1"/>
    <xf numFmtId="0" fontId="172" fillId="34" borderId="33" xfId="80" applyFont="1" applyFill="1" applyBorder="1" applyAlignment="1" applyProtection="1">
      <alignment horizontal="left"/>
    </xf>
    <xf numFmtId="10" fontId="172" fillId="34" borderId="0" xfId="80" applyNumberFormat="1" applyFont="1" applyFill="1" applyBorder="1" applyProtection="1"/>
    <xf numFmtId="0" fontId="173" fillId="50" borderId="0" xfId="80" applyFont="1" applyFill="1" applyBorder="1" applyAlignment="1" applyProtection="1">
      <alignment horizontal="left"/>
    </xf>
    <xf numFmtId="0" fontId="173" fillId="50" borderId="43" xfId="80" applyFont="1" applyFill="1" applyBorder="1" applyAlignment="1" applyProtection="1">
      <alignment horizontal="left"/>
    </xf>
    <xf numFmtId="180" fontId="173" fillId="34" borderId="116" xfId="0" applyNumberFormat="1" applyFont="1" applyFill="1" applyBorder="1" applyProtection="1"/>
    <xf numFmtId="180" fontId="173" fillId="34" borderId="111" xfId="0" applyNumberFormat="1" applyFont="1" applyFill="1" applyBorder="1" applyProtection="1"/>
    <xf numFmtId="0" fontId="172" fillId="34" borderId="54" xfId="80" applyFont="1" applyFill="1" applyBorder="1" applyAlignment="1" applyProtection="1">
      <alignment horizontal="left"/>
    </xf>
    <xf numFmtId="180" fontId="173" fillId="34" borderId="123" xfId="0" applyNumberFormat="1" applyFont="1" applyFill="1" applyBorder="1" applyProtection="1"/>
    <xf numFmtId="181" fontId="173" fillId="34" borderId="118" xfId="90" applyNumberFormat="1" applyFont="1" applyFill="1" applyBorder="1" applyProtection="1"/>
    <xf numFmtId="181" fontId="173" fillId="34" borderId="119" xfId="90" applyNumberFormat="1" applyFont="1" applyFill="1" applyBorder="1" applyProtection="1"/>
    <xf numFmtId="180" fontId="173" fillId="34" borderId="118" xfId="0" applyNumberFormat="1" applyFont="1" applyFill="1" applyBorder="1" applyProtection="1"/>
    <xf numFmtId="0" fontId="172" fillId="34" borderId="37" xfId="80" applyFont="1" applyFill="1" applyBorder="1" applyAlignment="1" applyProtection="1">
      <alignment horizontal="left"/>
    </xf>
    <xf numFmtId="180" fontId="173" fillId="34" borderId="120" xfId="0" applyNumberFormat="1" applyFont="1" applyFill="1" applyBorder="1" applyProtection="1"/>
    <xf numFmtId="0" fontId="172" fillId="34" borderId="0" xfId="0" applyFont="1" applyFill="1" applyBorder="1" applyAlignment="1" applyProtection="1">
      <alignment vertical="top"/>
    </xf>
    <xf numFmtId="0" fontId="215" fillId="34" borderId="0" xfId="0" applyFont="1" applyFill="1" applyBorder="1" applyProtection="1"/>
    <xf numFmtId="0" fontId="173" fillId="50" borderId="54" xfId="0" applyFont="1" applyFill="1" applyBorder="1" applyAlignment="1" applyProtection="1">
      <alignment horizontal="center" wrapText="1"/>
    </xf>
    <xf numFmtId="0" fontId="172" fillId="50" borderId="33" xfId="0" applyFont="1" applyFill="1" applyBorder="1" applyAlignment="1" applyProtection="1">
      <alignment horizontal="center" wrapText="1"/>
    </xf>
    <xf numFmtId="0" fontId="172" fillId="50" borderId="68" xfId="0" applyFont="1" applyFill="1" applyBorder="1" applyAlignment="1" applyProtection="1">
      <alignment horizontal="center" wrapText="1"/>
    </xf>
    <xf numFmtId="0" fontId="172" fillId="50" borderId="37" xfId="0" applyFont="1" applyFill="1" applyBorder="1" applyAlignment="1" applyProtection="1">
      <alignment wrapText="1"/>
    </xf>
    <xf numFmtId="0" fontId="173" fillId="50" borderId="43" xfId="0" applyFont="1" applyFill="1" applyBorder="1" applyAlignment="1" applyProtection="1">
      <alignment horizontal="center" wrapText="1"/>
    </xf>
    <xf numFmtId="0" fontId="173" fillId="50" borderId="75" xfId="0" applyFont="1" applyFill="1" applyBorder="1" applyAlignment="1" applyProtection="1">
      <alignment horizontal="center" wrapText="1"/>
    </xf>
    <xf numFmtId="0" fontId="172" fillId="34" borderId="15" xfId="0" applyFont="1" applyFill="1" applyBorder="1" applyAlignment="1" applyProtection="1">
      <alignment wrapText="1"/>
    </xf>
    <xf numFmtId="1" fontId="172" fillId="0" borderId="150" xfId="0" applyNumberFormat="1" applyFont="1" applyBorder="1" applyProtection="1"/>
    <xf numFmtId="1" fontId="172" fillId="0" borderId="151" xfId="0" applyNumberFormat="1" applyFont="1" applyBorder="1" applyProtection="1"/>
    <xf numFmtId="1" fontId="172" fillId="0" borderId="152" xfId="0" applyNumberFormat="1" applyFont="1" applyBorder="1" applyProtection="1"/>
    <xf numFmtId="9" fontId="172" fillId="34" borderId="125" xfId="90" applyFont="1" applyFill="1" applyBorder="1" applyAlignment="1" applyProtection="1">
      <alignment horizontal="center" wrapText="1"/>
    </xf>
    <xf numFmtId="0" fontId="229" fillId="34" borderId="0" xfId="0" applyFont="1" applyFill="1" applyProtection="1"/>
    <xf numFmtId="0" fontId="172" fillId="34" borderId="27" xfId="0" applyFont="1" applyFill="1" applyBorder="1" applyAlignment="1" applyProtection="1">
      <alignment wrapText="1"/>
    </xf>
    <xf numFmtId="180" fontId="172" fillId="34" borderId="146" xfId="80" applyNumberFormat="1" applyFont="1" applyFill="1" applyBorder="1" applyProtection="1"/>
    <xf numFmtId="180" fontId="172" fillId="34" borderId="147" xfId="80" applyNumberFormat="1" applyFont="1" applyFill="1" applyBorder="1" applyProtection="1"/>
    <xf numFmtId="0" fontId="173" fillId="34" borderId="27" xfId="0" applyFont="1" applyFill="1" applyBorder="1" applyAlignment="1" applyProtection="1">
      <alignment wrapText="1"/>
    </xf>
    <xf numFmtId="180" fontId="173" fillId="0" borderId="118" xfId="80" applyNumberFormat="1" applyFont="1" applyFill="1" applyBorder="1" applyProtection="1"/>
    <xf numFmtId="180" fontId="173" fillId="0" borderId="146" xfId="80" applyNumberFormat="1" applyFont="1" applyFill="1" applyBorder="1" applyProtection="1"/>
    <xf numFmtId="180" fontId="173" fillId="0" borderId="147" xfId="80" applyNumberFormat="1" applyFont="1" applyFill="1" applyBorder="1" applyProtection="1"/>
    <xf numFmtId="180" fontId="172" fillId="0" borderId="118" xfId="80" applyNumberFormat="1" applyFont="1" applyFill="1" applyBorder="1" applyProtection="1"/>
    <xf numFmtId="180" fontId="172" fillId="0" borderId="146" xfId="80" applyNumberFormat="1" applyFont="1" applyFill="1" applyBorder="1" applyProtection="1"/>
    <xf numFmtId="180" fontId="172" fillId="0" borderId="147" xfId="80" applyNumberFormat="1" applyFont="1" applyFill="1" applyBorder="1" applyProtection="1"/>
    <xf numFmtId="0" fontId="230" fillId="34" borderId="0" xfId="0" applyFont="1" applyFill="1" applyProtection="1"/>
    <xf numFmtId="0" fontId="173" fillId="0" borderId="0" xfId="0" applyFont="1" applyProtection="1"/>
    <xf numFmtId="0" fontId="178" fillId="34" borderId="38" xfId="0" applyFont="1" applyFill="1" applyBorder="1" applyAlignment="1" applyProtection="1">
      <alignment wrapText="1"/>
    </xf>
    <xf numFmtId="180" fontId="173" fillId="0" borderId="120" xfId="80" applyNumberFormat="1" applyFont="1" applyFill="1" applyBorder="1" applyProtection="1"/>
    <xf numFmtId="180" fontId="173" fillId="0" borderId="148" xfId="80" applyNumberFormat="1" applyFont="1" applyFill="1" applyBorder="1" applyProtection="1"/>
    <xf numFmtId="180" fontId="173" fillId="0" borderId="149" xfId="80" applyNumberFormat="1" applyFont="1" applyFill="1" applyBorder="1" applyProtection="1"/>
    <xf numFmtId="0" fontId="121" fillId="0" borderId="0" xfId="0" applyFont="1" applyAlignment="1" applyProtection="1">
      <alignment wrapText="1"/>
    </xf>
    <xf numFmtId="0" fontId="0" fillId="0" borderId="0" xfId="0" applyAlignment="1" applyProtection="1">
      <alignment horizontal="center" vertical="center" wrapText="1"/>
    </xf>
    <xf numFmtId="3" fontId="0" fillId="0" borderId="0" xfId="0" applyNumberFormat="1" applyProtection="1"/>
    <xf numFmtId="0" fontId="226" fillId="0" borderId="0" xfId="0" applyFont="1" applyProtection="1"/>
    <xf numFmtId="0" fontId="198" fillId="0" borderId="0" xfId="0" applyFont="1" applyProtection="1"/>
    <xf numFmtId="0" fontId="0" fillId="34" borderId="0" xfId="0" applyFill="1" applyProtection="1"/>
    <xf numFmtId="0" fontId="2" fillId="34" borderId="0" xfId="0" applyFont="1" applyFill="1" applyAlignment="1" applyProtection="1">
      <alignment horizontal="right"/>
    </xf>
    <xf numFmtId="0" fontId="5" fillId="34" borderId="0" xfId="0" applyFont="1" applyFill="1" applyBorder="1" applyAlignment="1" applyProtection="1">
      <alignment horizontal="center" wrapText="1"/>
    </xf>
    <xf numFmtId="0" fontId="173" fillId="50" borderId="33" xfId="0" applyFont="1" applyFill="1" applyBorder="1" applyAlignment="1" applyProtection="1">
      <alignment horizontal="center" wrapText="1"/>
    </xf>
    <xf numFmtId="0" fontId="173" fillId="50" borderId="4" xfId="0" applyFont="1" applyFill="1" applyBorder="1" applyAlignment="1" applyProtection="1">
      <alignment horizontal="center" wrapText="1"/>
    </xf>
    <xf numFmtId="0" fontId="173" fillId="50" borderId="63" xfId="0" applyFont="1" applyFill="1" applyBorder="1" applyAlignment="1" applyProtection="1">
      <alignment horizontal="center" wrapText="1"/>
    </xf>
    <xf numFmtId="0" fontId="176" fillId="34" borderId="0" xfId="0" applyFont="1" applyFill="1" applyProtection="1"/>
    <xf numFmtId="0" fontId="172" fillId="49" borderId="14" xfId="0" applyFont="1" applyFill="1" applyBorder="1" applyAlignment="1" applyProtection="1">
      <alignment horizontal="left" vertical="center"/>
    </xf>
    <xf numFmtId="0" fontId="172" fillId="49" borderId="14" xfId="0" applyFont="1" applyFill="1" applyBorder="1" applyAlignment="1" applyProtection="1">
      <alignment horizontal="left" vertical="center" wrapText="1"/>
    </xf>
    <xf numFmtId="180" fontId="172" fillId="34" borderId="111" xfId="80" applyNumberFormat="1" applyFont="1" applyFill="1" applyBorder="1" applyAlignment="1" applyProtection="1">
      <alignment horizontal="center" vertical="center"/>
    </xf>
    <xf numFmtId="0" fontId="172" fillId="0" borderId="14" xfId="0" applyFont="1" applyBorder="1" applyAlignment="1" applyProtection="1">
      <alignment horizontal="left" vertical="center" wrapText="1"/>
    </xf>
    <xf numFmtId="10" fontId="172" fillId="49" borderId="128" xfId="0" applyNumberFormat="1" applyFont="1" applyFill="1" applyBorder="1" applyAlignment="1" applyProtection="1">
      <alignment horizontal="center" vertical="center"/>
    </xf>
    <xf numFmtId="180" fontId="172" fillId="34" borderId="14" xfId="80" applyNumberFormat="1" applyFont="1" applyFill="1" applyBorder="1" applyAlignment="1" applyProtection="1">
      <alignment horizontal="center" vertical="center"/>
    </xf>
    <xf numFmtId="0" fontId="172" fillId="0" borderId="14" xfId="0" applyFont="1" applyFill="1" applyBorder="1" applyAlignment="1" applyProtection="1">
      <alignment vertical="center" wrapText="1"/>
    </xf>
    <xf numFmtId="192" fontId="173" fillId="34" borderId="14" xfId="80" applyNumberFormat="1" applyFont="1" applyFill="1" applyBorder="1" applyAlignment="1" applyProtection="1">
      <alignment horizontal="center" vertical="center"/>
    </xf>
    <xf numFmtId="192" fontId="173" fillId="34" borderId="133" xfId="80" applyNumberFormat="1" applyFont="1" applyFill="1" applyBorder="1" applyAlignment="1" applyProtection="1">
      <alignment horizontal="center" vertical="center"/>
    </xf>
    <xf numFmtId="180" fontId="173" fillId="34" borderId="14" xfId="80" applyNumberFormat="1" applyFont="1" applyFill="1" applyBorder="1" applyAlignment="1" applyProtection="1">
      <alignment horizontal="center" vertical="center"/>
    </xf>
    <xf numFmtId="0" fontId="223" fillId="0" borderId="14" xfId="69" applyFont="1" applyBorder="1" applyAlignment="1" applyProtection="1">
      <alignment horizontal="left" vertical="center" wrapText="1"/>
    </xf>
    <xf numFmtId="0" fontId="176" fillId="0" borderId="0" xfId="0" applyFont="1" applyBorder="1" applyAlignment="1" applyProtection="1">
      <alignment vertical="top" wrapText="1"/>
    </xf>
    <xf numFmtId="0" fontId="172" fillId="0" borderId="0" xfId="0" applyFont="1" applyBorder="1" applyAlignment="1" applyProtection="1">
      <alignment wrapText="1"/>
    </xf>
    <xf numFmtId="0" fontId="172" fillId="50" borderId="99" xfId="0" applyFont="1" applyFill="1" applyBorder="1" applyAlignment="1" applyProtection="1">
      <alignment wrapText="1"/>
    </xf>
    <xf numFmtId="0" fontId="173" fillId="50" borderId="99" xfId="0" applyFont="1" applyFill="1" applyBorder="1" applyAlignment="1" applyProtection="1">
      <alignment wrapText="1"/>
    </xf>
    <xf numFmtId="0" fontId="172" fillId="49" borderId="33" xfId="0" applyFont="1" applyFill="1" applyBorder="1" applyAlignment="1" applyProtection="1">
      <alignment horizontal="left" vertical="center" wrapText="1"/>
    </xf>
    <xf numFmtId="0" fontId="172" fillId="49" borderId="43" xfId="0" applyFont="1" applyFill="1" applyBorder="1" applyAlignment="1" applyProtection="1">
      <alignment horizontal="left" vertical="center" wrapText="1"/>
    </xf>
    <xf numFmtId="194" fontId="172" fillId="34" borderId="0" xfId="0" applyNumberFormat="1" applyFont="1" applyFill="1" applyProtection="1"/>
    <xf numFmtId="0" fontId="173" fillId="50" borderId="68" xfId="0" applyFont="1" applyFill="1" applyBorder="1" applyAlignment="1" applyProtection="1">
      <alignment horizontal="center" wrapText="1"/>
    </xf>
    <xf numFmtId="0" fontId="173" fillId="50" borderId="0" xfId="0" applyFont="1" applyFill="1" applyBorder="1" applyAlignment="1" applyProtection="1">
      <alignment horizontal="center" wrapText="1"/>
    </xf>
    <xf numFmtId="0" fontId="172" fillId="50" borderId="12" xfId="0" applyFont="1" applyFill="1" applyBorder="1" applyAlignment="1" applyProtection="1">
      <alignment horizontal="center" wrapText="1"/>
    </xf>
    <xf numFmtId="0" fontId="172" fillId="34" borderId="54" xfId="0" applyFont="1" applyFill="1" applyBorder="1" applyProtection="1"/>
    <xf numFmtId="0" fontId="172" fillId="34" borderId="68" xfId="0" applyFont="1" applyFill="1" applyBorder="1" applyAlignment="1" applyProtection="1">
      <alignment horizontal="center" wrapText="1"/>
    </xf>
    <xf numFmtId="181" fontId="172" fillId="34" borderId="14" xfId="90" applyNumberFormat="1" applyFont="1" applyFill="1" applyBorder="1" applyAlignment="1" applyProtection="1">
      <alignment horizontal="center" vertical="center" wrapText="1"/>
    </xf>
    <xf numFmtId="0" fontId="172" fillId="34" borderId="14" xfId="0" applyFont="1" applyFill="1" applyBorder="1" applyAlignment="1" applyProtection="1">
      <alignment horizontal="center" vertical="center" wrapText="1"/>
    </xf>
    <xf numFmtId="10" fontId="172" fillId="34" borderId="14" xfId="90" applyNumberFormat="1" applyFont="1" applyFill="1" applyBorder="1" applyAlignment="1" applyProtection="1">
      <alignment horizontal="center" vertical="center" wrapText="1"/>
    </xf>
    <xf numFmtId="0" fontId="172" fillId="34" borderId="37" xfId="0" applyFont="1" applyFill="1" applyBorder="1" applyProtection="1"/>
    <xf numFmtId="0" fontId="172" fillId="34" borderId="75" xfId="0" applyFont="1" applyFill="1" applyBorder="1" applyAlignment="1" applyProtection="1">
      <alignment horizontal="center" wrapText="1"/>
    </xf>
    <xf numFmtId="180" fontId="172" fillId="34" borderId="14" xfId="0" applyNumberFormat="1" applyFont="1" applyFill="1" applyBorder="1" applyAlignment="1" applyProtection="1">
      <alignment horizontal="center" vertical="center" wrapText="1"/>
    </xf>
    <xf numFmtId="1" fontId="229" fillId="34" borderId="0" xfId="0" applyNumberFormat="1" applyFont="1" applyFill="1" applyProtection="1"/>
    <xf numFmtId="0" fontId="173" fillId="39" borderId="33" xfId="0" applyFont="1" applyFill="1" applyBorder="1" applyAlignment="1" applyProtection="1">
      <alignment horizontal="center" wrapText="1"/>
    </xf>
    <xf numFmtId="16" fontId="172" fillId="34" borderId="0" xfId="80" applyNumberFormat="1" applyFont="1" applyFill="1" applyProtection="1"/>
    <xf numFmtId="0" fontId="172" fillId="0" borderId="14" xfId="0" applyFont="1" applyFill="1" applyBorder="1" applyAlignment="1" applyProtection="1">
      <alignment horizontal="left" vertical="center" wrapText="1"/>
    </xf>
    <xf numFmtId="0" fontId="235" fillId="34" borderId="0" xfId="80" applyFont="1" applyFill="1" applyBorder="1" applyProtection="1"/>
    <xf numFmtId="9" fontId="172" fillId="53" borderId="0" xfId="80" applyNumberFormat="1" applyFont="1" applyFill="1" applyBorder="1" applyProtection="1"/>
    <xf numFmtId="9" fontId="172" fillId="34" borderId="0" xfId="80" applyNumberFormat="1" applyFont="1" applyFill="1" applyBorder="1" applyProtection="1"/>
    <xf numFmtId="0" fontId="215" fillId="34" borderId="0" xfId="0" applyFont="1" applyFill="1" applyAlignment="1" applyProtection="1">
      <alignment horizontal="center"/>
    </xf>
    <xf numFmtId="0" fontId="233" fillId="0" borderId="0" xfId="0" applyFont="1" applyBorder="1" applyAlignment="1" applyProtection="1">
      <alignment horizontal="center" vertical="top" wrapText="1"/>
    </xf>
    <xf numFmtId="0" fontId="233" fillId="0" borderId="12" xfId="0" applyFont="1" applyBorder="1" applyAlignment="1" applyProtection="1">
      <alignment horizontal="center" vertical="top" wrapText="1"/>
    </xf>
    <xf numFmtId="0" fontId="217" fillId="0" borderId="0" xfId="0" applyFont="1" applyFill="1" applyBorder="1" applyAlignment="1" applyProtection="1">
      <alignment horizontal="center" vertical="top" wrapText="1"/>
    </xf>
    <xf numFmtId="0" fontId="217" fillId="0" borderId="12" xfId="0" applyFont="1" applyFill="1" applyBorder="1" applyAlignment="1" applyProtection="1">
      <alignment horizontal="center" vertical="top" wrapText="1"/>
    </xf>
    <xf numFmtId="0" fontId="217" fillId="0" borderId="0" xfId="0" applyFont="1" applyAlignment="1" applyProtection="1">
      <alignment horizontal="center" vertical="top" wrapText="1"/>
    </xf>
    <xf numFmtId="0" fontId="217" fillId="0" borderId="12" xfId="0" applyFont="1" applyBorder="1" applyAlignment="1" applyProtection="1">
      <alignment horizontal="center" vertical="top" wrapText="1"/>
    </xf>
    <xf numFmtId="0" fontId="181" fillId="34" borderId="14" xfId="0" applyFont="1" applyFill="1" applyBorder="1" applyAlignment="1" applyProtection="1">
      <alignment horizontal="center" vertical="center"/>
    </xf>
    <xf numFmtId="0" fontId="234" fillId="34" borderId="0" xfId="0" applyFont="1" applyFill="1" applyBorder="1" applyAlignment="1" applyProtection="1">
      <alignment horizontal="left" vertical="center" wrapText="1"/>
    </xf>
    <xf numFmtId="10" fontId="217" fillId="53" borderId="14" xfId="0" applyNumberFormat="1" applyFont="1" applyFill="1" applyBorder="1" applyAlignment="1" applyProtection="1">
      <alignment horizontal="center"/>
      <protection locked="0"/>
    </xf>
    <xf numFmtId="0" fontId="217" fillId="32" borderId="14" xfId="0" applyFont="1" applyFill="1" applyBorder="1" applyAlignment="1" applyProtection="1">
      <alignment horizontal="center"/>
      <protection locked="0"/>
    </xf>
    <xf numFmtId="0" fontId="173" fillId="0" borderId="58" xfId="0" applyFont="1" applyBorder="1" applyAlignment="1" applyProtection="1">
      <alignment horizontal="center"/>
    </xf>
    <xf numFmtId="0" fontId="173" fillId="0" borderId="4" xfId="0" applyFont="1" applyBorder="1" applyAlignment="1" applyProtection="1">
      <alignment horizontal="center"/>
    </xf>
    <xf numFmtId="0" fontId="173" fillId="0" borderId="63" xfId="0" applyFont="1" applyBorder="1" applyAlignment="1" applyProtection="1">
      <alignment horizontal="center"/>
    </xf>
    <xf numFmtId="0" fontId="209" fillId="54" borderId="102" xfId="0" applyFont="1" applyFill="1" applyBorder="1" applyAlignment="1" applyProtection="1">
      <alignment horizontal="left" vertical="center" wrapText="1"/>
    </xf>
    <xf numFmtId="0" fontId="172" fillId="54" borderId="102" xfId="0" applyFont="1" applyFill="1" applyBorder="1" applyAlignment="1" applyProtection="1">
      <alignment horizontal="left" vertical="center" wrapText="1"/>
    </xf>
    <xf numFmtId="0" fontId="232" fillId="0" borderId="33" xfId="0" applyFont="1" applyBorder="1" applyAlignment="1" applyProtection="1">
      <alignment horizontal="left" vertical="top" wrapText="1"/>
    </xf>
    <xf numFmtId="0" fontId="232" fillId="0" borderId="0" xfId="0" applyFont="1" applyBorder="1" applyAlignment="1" applyProtection="1">
      <alignment horizontal="left" vertical="top" wrapText="1"/>
    </xf>
    <xf numFmtId="0" fontId="5" fillId="32" borderId="14" xfId="0" applyFont="1" applyFill="1" applyBorder="1" applyAlignment="1" applyProtection="1">
      <alignment horizontal="center"/>
      <protection locked="0"/>
    </xf>
    <xf numFmtId="4" fontId="217" fillId="32" borderId="14" xfId="0" applyNumberFormat="1" applyFont="1" applyFill="1" applyBorder="1" applyAlignment="1" applyProtection="1">
      <alignment horizontal="center"/>
      <protection locked="0"/>
    </xf>
    <xf numFmtId="9" fontId="217" fillId="32" borderId="14" xfId="0" applyNumberFormat="1" applyFont="1" applyFill="1" applyBorder="1" applyAlignment="1" applyProtection="1">
      <alignment horizontal="center"/>
      <protection locked="0"/>
    </xf>
    <xf numFmtId="0" fontId="224" fillId="32" borderId="14" xfId="0" applyFont="1" applyFill="1" applyBorder="1" applyAlignment="1" applyProtection="1">
      <alignment horizontal="center" vertical="center"/>
      <protection locked="0"/>
    </xf>
    <xf numFmtId="9" fontId="181" fillId="32" borderId="14" xfId="90" applyFont="1" applyFill="1" applyBorder="1" applyAlignment="1" applyProtection="1">
      <alignment horizontal="center" vertical="center"/>
      <protection locked="0"/>
    </xf>
    <xf numFmtId="0" fontId="181" fillId="0" borderId="14" xfId="0" applyFont="1" applyFill="1" applyBorder="1" applyAlignment="1" applyProtection="1">
      <alignment horizontal="center" vertical="center"/>
    </xf>
    <xf numFmtId="0" fontId="181" fillId="34" borderId="14" xfId="0" applyFont="1" applyFill="1" applyBorder="1" applyAlignment="1" applyProtection="1">
      <alignment horizontal="center" vertical="center" wrapText="1"/>
    </xf>
    <xf numFmtId="0" fontId="173" fillId="50" borderId="14" xfId="0" applyFont="1" applyFill="1" applyBorder="1" applyAlignment="1" applyProtection="1">
      <alignment horizontal="center" vertical="center"/>
    </xf>
    <xf numFmtId="0" fontId="173" fillId="50" borderId="14" xfId="0" applyNumberFormat="1" applyFont="1" applyFill="1" applyBorder="1" applyAlignment="1" applyProtection="1">
      <alignment horizontal="center" vertical="center"/>
    </xf>
    <xf numFmtId="0" fontId="173" fillId="50" borderId="58" xfId="0" applyNumberFormat="1" applyFont="1" applyFill="1" applyBorder="1" applyAlignment="1" applyProtection="1">
      <alignment horizontal="center" vertical="center"/>
    </xf>
    <xf numFmtId="0" fontId="173" fillId="50" borderId="63" xfId="0" applyNumberFormat="1" applyFont="1" applyFill="1" applyBorder="1" applyAlignment="1" applyProtection="1">
      <alignment horizontal="center" vertical="center"/>
    </xf>
    <xf numFmtId="0" fontId="173" fillId="50" borderId="14" xfId="0" applyFont="1" applyFill="1" applyBorder="1" applyAlignment="1" applyProtection="1">
      <alignment horizontal="center" vertical="center" wrapText="1"/>
    </xf>
    <xf numFmtId="0" fontId="218" fillId="37" borderId="0" xfId="0" applyFont="1" applyFill="1" applyAlignment="1" applyProtection="1">
      <alignment horizontal="left" vertical="top"/>
    </xf>
    <xf numFmtId="0" fontId="215" fillId="34" borderId="0" xfId="0" applyFont="1" applyFill="1" applyAlignment="1" applyProtection="1">
      <alignment horizontal="left"/>
    </xf>
    <xf numFmtId="0" fontId="181" fillId="50" borderId="14" xfId="0" applyFont="1" applyFill="1" applyBorder="1" applyAlignment="1" applyProtection="1">
      <alignment vertical="center" wrapText="1"/>
    </xf>
    <xf numFmtId="0" fontId="181" fillId="50" borderId="14" xfId="0" applyFont="1" applyFill="1" applyBorder="1" applyAlignment="1" applyProtection="1">
      <alignment horizontal="center" vertical="center" wrapText="1"/>
    </xf>
    <xf numFmtId="0" fontId="218" fillId="37" borderId="43" xfId="0" applyFont="1" applyFill="1" applyBorder="1" applyAlignment="1" applyProtection="1">
      <alignment horizontal="left" vertical="top"/>
    </xf>
    <xf numFmtId="0" fontId="215" fillId="34" borderId="0" xfId="0" applyFont="1" applyFill="1" applyBorder="1" applyAlignment="1" applyProtection="1">
      <alignment horizontal="left" vertical="top"/>
    </xf>
    <xf numFmtId="0" fontId="215" fillId="34" borderId="43" xfId="0" applyFont="1" applyFill="1" applyBorder="1" applyAlignment="1" applyProtection="1">
      <alignment horizontal="left" vertical="top"/>
    </xf>
    <xf numFmtId="10" fontId="173" fillId="34" borderId="154" xfId="80" applyNumberFormat="1" applyFont="1" applyFill="1" applyBorder="1" applyAlignment="1" applyProtection="1">
      <alignment horizontal="center"/>
    </xf>
    <xf numFmtId="10" fontId="173" fillId="34" borderId="155" xfId="80" applyNumberFormat="1" applyFont="1" applyFill="1" applyBorder="1" applyAlignment="1" applyProtection="1">
      <alignment horizontal="center"/>
    </xf>
    <xf numFmtId="180" fontId="173" fillId="34" borderId="154" xfId="80" applyNumberFormat="1" applyFont="1" applyFill="1" applyBorder="1" applyAlignment="1" applyProtection="1">
      <alignment horizontal="center"/>
    </xf>
    <xf numFmtId="0" fontId="173" fillId="34" borderId="154" xfId="80" applyFont="1" applyFill="1" applyBorder="1" applyAlignment="1" applyProtection="1">
      <alignment horizontal="center"/>
    </xf>
    <xf numFmtId="180" fontId="173" fillId="34" borderId="115" xfId="80" applyNumberFormat="1" applyFont="1" applyFill="1" applyBorder="1" applyAlignment="1" applyProtection="1">
      <alignment horizontal="center"/>
    </xf>
    <xf numFmtId="180" fontId="173" fillId="34" borderId="116" xfId="80" applyNumberFormat="1" applyFont="1" applyFill="1" applyBorder="1" applyAlignment="1" applyProtection="1">
      <alignment horizontal="center"/>
    </xf>
    <xf numFmtId="0" fontId="173" fillId="50" borderId="4" xfId="80" applyFont="1" applyFill="1" applyBorder="1" applyAlignment="1" applyProtection="1">
      <alignment horizontal="center" vertical="center" wrapText="1"/>
    </xf>
    <xf numFmtId="0" fontId="173" fillId="50" borderId="63" xfId="80" applyFont="1" applyFill="1" applyBorder="1" applyAlignment="1" applyProtection="1">
      <alignment horizontal="center" vertical="center" wrapText="1"/>
    </xf>
    <xf numFmtId="10" fontId="173" fillId="34" borderId="124" xfId="90" applyNumberFormat="1" applyFont="1" applyFill="1" applyBorder="1" applyAlignment="1" applyProtection="1">
      <alignment horizontal="center"/>
    </xf>
    <xf numFmtId="10" fontId="173" fillId="34" borderId="117" xfId="90" applyNumberFormat="1" applyFont="1" applyFill="1" applyBorder="1" applyAlignment="1" applyProtection="1">
      <alignment horizontal="center"/>
    </xf>
    <xf numFmtId="189" fontId="173" fillId="34" borderId="128" xfId="90" applyNumberFormat="1" applyFont="1" applyFill="1" applyBorder="1" applyAlignment="1" applyProtection="1">
      <alignment horizontal="center"/>
    </xf>
    <xf numFmtId="189" fontId="173" fillId="34" borderId="153" xfId="90" applyNumberFormat="1" applyFont="1" applyFill="1" applyBorder="1" applyAlignment="1" applyProtection="1">
      <alignment horizontal="center"/>
    </xf>
    <xf numFmtId="0" fontId="173" fillId="50" borderId="33" xfId="80" applyFont="1" applyFill="1" applyBorder="1" applyAlignment="1" applyProtection="1">
      <alignment horizontal="right" wrapText="1"/>
    </xf>
    <xf numFmtId="0" fontId="173" fillId="50" borderId="0" xfId="80" applyFont="1" applyFill="1" applyBorder="1" applyAlignment="1" applyProtection="1">
      <alignment horizontal="right" wrapText="1"/>
    </xf>
    <xf numFmtId="0" fontId="173" fillId="50" borderId="43" xfId="80" applyFont="1" applyFill="1" applyBorder="1" applyAlignment="1" applyProtection="1">
      <alignment horizontal="right" wrapText="1"/>
    </xf>
    <xf numFmtId="0" fontId="173" fillId="50" borderId="58" xfId="80" applyFont="1" applyFill="1" applyBorder="1" applyAlignment="1" applyProtection="1">
      <alignment horizontal="center" vertical="center" wrapText="1"/>
    </xf>
    <xf numFmtId="180" fontId="173" fillId="34" borderId="123" xfId="80" applyNumberFormat="1" applyFont="1" applyFill="1" applyBorder="1" applyAlignment="1" applyProtection="1">
      <alignment horizontal="center"/>
    </xf>
    <xf numFmtId="180" fontId="173" fillId="34" borderId="124" xfId="80" applyNumberFormat="1" applyFont="1" applyFill="1" applyBorder="1" applyAlignment="1" applyProtection="1">
      <alignment horizontal="center"/>
    </xf>
    <xf numFmtId="10" fontId="173" fillId="34" borderId="156" xfId="90" applyNumberFormat="1" applyFont="1" applyFill="1" applyBorder="1" applyAlignment="1" applyProtection="1">
      <alignment horizontal="center"/>
    </xf>
    <xf numFmtId="10" fontId="173" fillId="34" borderId="157" xfId="90" applyNumberFormat="1" applyFont="1" applyFill="1" applyBorder="1" applyAlignment="1" applyProtection="1">
      <alignment horizontal="center"/>
    </xf>
    <xf numFmtId="10" fontId="173" fillId="34" borderId="128" xfId="90" applyNumberFormat="1" applyFont="1" applyFill="1" applyBorder="1" applyAlignment="1" applyProtection="1">
      <alignment horizontal="center"/>
    </xf>
    <xf numFmtId="0" fontId="173" fillId="50" borderId="54" xfId="80" applyFont="1" applyFill="1" applyBorder="1" applyAlignment="1" applyProtection="1">
      <alignment horizontal="center" vertical="center" wrapText="1"/>
    </xf>
    <xf numFmtId="0" fontId="173" fillId="50" borderId="33" xfId="80" applyFont="1" applyFill="1" applyBorder="1" applyAlignment="1" applyProtection="1">
      <alignment horizontal="center" vertical="center" wrapText="1"/>
    </xf>
    <xf numFmtId="0" fontId="173" fillId="50" borderId="68" xfId="80" applyFont="1" applyFill="1" applyBorder="1" applyAlignment="1" applyProtection="1">
      <alignment horizontal="center" vertical="center" wrapText="1"/>
    </xf>
    <xf numFmtId="0" fontId="173" fillId="50" borderId="33" xfId="80" applyFont="1" applyFill="1" applyBorder="1" applyAlignment="1" applyProtection="1">
      <alignment horizontal="center" wrapText="1"/>
    </xf>
    <xf numFmtId="0" fontId="173" fillId="50" borderId="43" xfId="80" applyFont="1" applyFill="1" applyBorder="1" applyAlignment="1" applyProtection="1">
      <alignment horizontal="center" wrapText="1"/>
    </xf>
    <xf numFmtId="189" fontId="173" fillId="34" borderId="111" xfId="90" applyNumberFormat="1" applyFont="1" applyFill="1" applyBorder="1" applyAlignment="1" applyProtection="1">
      <alignment horizontal="center"/>
    </xf>
    <xf numFmtId="189" fontId="173" fillId="34" borderId="119" xfId="90" applyNumberFormat="1" applyFont="1" applyFill="1" applyBorder="1" applyAlignment="1" applyProtection="1">
      <alignment horizontal="center"/>
    </xf>
    <xf numFmtId="10" fontId="173" fillId="34" borderId="121" xfId="90" applyNumberFormat="1" applyFont="1" applyFill="1" applyBorder="1" applyAlignment="1" applyProtection="1">
      <alignment horizontal="center"/>
    </xf>
    <xf numFmtId="10" fontId="173" fillId="34" borderId="122" xfId="90" applyNumberFormat="1" applyFont="1" applyFill="1" applyBorder="1" applyAlignment="1" applyProtection="1">
      <alignment horizontal="center"/>
    </xf>
    <xf numFmtId="10" fontId="173" fillId="34" borderId="118" xfId="90" applyNumberFormat="1" applyFont="1" applyFill="1" applyBorder="1" applyAlignment="1" applyProtection="1">
      <alignment horizontal="center"/>
    </xf>
    <xf numFmtId="10" fontId="173" fillId="34" borderId="111" xfId="90" applyNumberFormat="1" applyFont="1" applyFill="1" applyBorder="1" applyAlignment="1" applyProtection="1">
      <alignment horizontal="center"/>
    </xf>
    <xf numFmtId="10" fontId="173" fillId="34" borderId="120" xfId="90" applyNumberFormat="1" applyFont="1" applyFill="1" applyBorder="1" applyAlignment="1" applyProtection="1">
      <alignment horizontal="center"/>
    </xf>
    <xf numFmtId="0" fontId="218" fillId="51" borderId="0" xfId="0" applyFont="1" applyFill="1" applyAlignment="1" applyProtection="1">
      <alignment horizontal="left" vertical="top"/>
    </xf>
    <xf numFmtId="0" fontId="215" fillId="0" borderId="0" xfId="0" applyFont="1" applyBorder="1" applyAlignment="1" applyProtection="1">
      <alignment horizontal="left"/>
    </xf>
    <xf numFmtId="0" fontId="218" fillId="48" borderId="0" xfId="0" applyFont="1" applyFill="1" applyAlignment="1">
      <alignment horizontal="left" vertical="top"/>
    </xf>
    <xf numFmtId="0" fontId="218" fillId="48" borderId="0" xfId="0" applyFont="1" applyFill="1" applyAlignment="1" applyProtection="1">
      <alignment horizontal="left" vertical="top"/>
    </xf>
    <xf numFmtId="0" fontId="215" fillId="34" borderId="43" xfId="80" applyFont="1" applyFill="1" applyBorder="1" applyAlignment="1" applyProtection="1">
      <alignment horizontal="left"/>
    </xf>
    <xf numFmtId="0" fontId="215" fillId="34" borderId="0" xfId="80" applyFont="1" applyFill="1" applyBorder="1" applyAlignment="1" applyProtection="1">
      <alignment horizontal="left"/>
    </xf>
    <xf numFmtId="186" fontId="142" fillId="0" borderId="96" xfId="35" applyFont="1" applyFill="1" applyBorder="1" applyAlignment="1" applyProtection="1">
      <alignment horizontal="center" wrapText="1"/>
    </xf>
    <xf numFmtId="0" fontId="0" fillId="0" borderId="14" xfId="0" applyBorder="1" applyAlignment="1">
      <alignment wrapText="1"/>
    </xf>
    <xf numFmtId="0" fontId="0" fillId="0" borderId="14" xfId="0" applyBorder="1"/>
    <xf numFmtId="0" fontId="0" fillId="0" borderId="14" xfId="0" applyBorder="1" applyAlignment="1"/>
    <xf numFmtId="0" fontId="130" fillId="36" borderId="60" xfId="0" applyFont="1" applyFill="1" applyBorder="1" applyAlignment="1">
      <alignment horizontal="center"/>
    </xf>
    <xf numFmtId="0" fontId="123" fillId="36" borderId="65" xfId="0" applyFont="1" applyFill="1" applyBorder="1" applyAlignment="1">
      <alignment horizontal="center"/>
    </xf>
    <xf numFmtId="0" fontId="130" fillId="36" borderId="65" xfId="0" applyFont="1" applyFill="1" applyBorder="1" applyAlignment="1">
      <alignment horizontal="center"/>
    </xf>
    <xf numFmtId="0" fontId="130" fillId="36" borderId="46" xfId="0" applyFont="1" applyFill="1" applyBorder="1" applyAlignment="1">
      <alignment horizontal="center"/>
    </xf>
    <xf numFmtId="0" fontId="130" fillId="36" borderId="45" xfId="0" applyFont="1" applyFill="1" applyBorder="1" applyAlignment="1">
      <alignment horizontal="center"/>
    </xf>
    <xf numFmtId="0" fontId="130" fillId="36" borderId="44" xfId="0" applyFont="1" applyFill="1" applyBorder="1" applyAlignment="1">
      <alignment horizontal="center"/>
    </xf>
    <xf numFmtId="0" fontId="130" fillId="36" borderId="83" xfId="0" applyFont="1" applyFill="1" applyBorder="1" applyAlignment="1">
      <alignment horizontal="center"/>
    </xf>
    <xf numFmtId="0" fontId="123" fillId="36" borderId="45" xfId="0" applyFont="1" applyFill="1" applyBorder="1" applyAlignment="1">
      <alignment horizontal="center"/>
    </xf>
    <xf numFmtId="0" fontId="130" fillId="35" borderId="50" xfId="0" applyFont="1" applyFill="1" applyBorder="1" applyAlignment="1">
      <alignment horizontal="center" vertical="center"/>
    </xf>
    <xf numFmtId="0" fontId="130" fillId="35" borderId="25" xfId="0" applyFont="1" applyFill="1" applyBorder="1" applyAlignment="1">
      <alignment horizontal="center" vertical="center"/>
    </xf>
    <xf numFmtId="0" fontId="130" fillId="35" borderId="44" xfId="0" applyFont="1" applyFill="1" applyBorder="1" applyAlignment="1">
      <alignment horizontal="center" vertical="center" wrapText="1"/>
    </xf>
    <xf numFmtId="0" fontId="130" fillId="35" borderId="34" xfId="0" applyFont="1" applyFill="1" applyBorder="1" applyAlignment="1">
      <alignment horizontal="center" vertical="center" wrapText="1"/>
    </xf>
    <xf numFmtId="0" fontId="130" fillId="36" borderId="64" xfId="0" applyFont="1" applyFill="1" applyBorder="1" applyAlignment="1">
      <alignment horizontal="right"/>
    </xf>
    <xf numFmtId="0" fontId="130" fillId="36" borderId="65" xfId="0" applyFont="1" applyFill="1" applyBorder="1" applyAlignment="1">
      <alignment horizontal="right"/>
    </xf>
    <xf numFmtId="0" fontId="130" fillId="36" borderId="88" xfId="0" applyFont="1" applyFill="1" applyBorder="1" applyAlignment="1">
      <alignment horizontal="right"/>
    </xf>
    <xf numFmtId="0" fontId="130" fillId="36" borderId="64" xfId="0" applyFont="1" applyFill="1" applyBorder="1" applyAlignment="1">
      <alignment horizontal="center"/>
    </xf>
    <xf numFmtId="0" fontId="81" fillId="0" borderId="15" xfId="81" applyFont="1" applyBorder="1" applyAlignment="1">
      <alignment horizontal="center" vertical="center" wrapText="1"/>
    </xf>
    <xf numFmtId="0" fontId="81" fillId="0" borderId="27" xfId="81" applyFont="1" applyBorder="1" applyAlignment="1">
      <alignment horizontal="center" vertical="center" wrapText="1"/>
    </xf>
    <xf numFmtId="0" fontId="5" fillId="0" borderId="58" xfId="81" applyFont="1" applyBorder="1" applyAlignment="1">
      <alignment horizontal="center" vertical="center" wrapText="1"/>
    </xf>
    <xf numFmtId="0" fontId="5" fillId="0" borderId="4" xfId="81" applyFont="1" applyBorder="1" applyAlignment="1">
      <alignment horizontal="center" vertical="center" wrapText="1"/>
    </xf>
    <xf numFmtId="0" fontId="5" fillId="0" borderId="63" xfId="81" applyFont="1" applyBorder="1" applyAlignment="1">
      <alignment horizontal="center" vertical="center" wrapText="1"/>
    </xf>
    <xf numFmtId="0" fontId="2" fillId="0" borderId="58" xfId="81" applyFont="1" applyBorder="1" applyAlignment="1">
      <alignment horizontal="center" vertical="center" wrapText="1"/>
    </xf>
    <xf numFmtId="0" fontId="2" fillId="0" borderId="4" xfId="81" applyFont="1" applyBorder="1" applyAlignment="1">
      <alignment horizontal="center" vertical="center" wrapText="1"/>
    </xf>
    <xf numFmtId="0" fontId="2" fillId="0" borderId="63" xfId="81" applyFont="1" applyBorder="1" applyAlignment="1">
      <alignment horizontal="center" vertical="center" wrapText="1"/>
    </xf>
    <xf numFmtId="0" fontId="121" fillId="0" borderId="14" xfId="0" applyFont="1" applyBorder="1" applyAlignment="1">
      <alignment horizontal="center" vertical="center" wrapText="1"/>
    </xf>
    <xf numFmtId="0" fontId="76" fillId="0" borderId="4" xfId="0" applyFont="1" applyBorder="1" applyAlignment="1">
      <alignment horizontal="center" wrapText="1"/>
    </xf>
    <xf numFmtId="0" fontId="76" fillId="0" borderId="77" xfId="0" applyFont="1" applyBorder="1" applyAlignment="1">
      <alignment horizontal="center" wrapText="1"/>
    </xf>
    <xf numFmtId="0" fontId="76" fillId="0" borderId="72" xfId="0" applyFont="1" applyBorder="1" applyAlignment="1">
      <alignment horizontal="center" wrapText="1"/>
    </xf>
    <xf numFmtId="0" fontId="76" fillId="0" borderId="63" xfId="0" applyFont="1" applyBorder="1" applyAlignment="1">
      <alignment horizontal="center" wrapText="1"/>
    </xf>
    <xf numFmtId="0" fontId="69" fillId="0" borderId="46" xfId="0" applyFont="1" applyBorder="1" applyAlignment="1">
      <alignment horizontal="center" vertical="center"/>
    </xf>
    <xf numFmtId="0" fontId="69" fillId="0" borderId="52" xfId="0" applyFont="1" applyBorder="1" applyAlignment="1">
      <alignment horizontal="center" vertical="center"/>
    </xf>
    <xf numFmtId="0" fontId="69" fillId="0" borderId="55" xfId="0" applyFont="1" applyBorder="1" applyAlignment="1">
      <alignment horizontal="center" vertical="center"/>
    </xf>
    <xf numFmtId="0" fontId="69" fillId="0" borderId="47" xfId="0" applyFont="1" applyBorder="1" applyAlignment="1">
      <alignment horizontal="center" vertical="center"/>
    </xf>
    <xf numFmtId="0" fontId="69" fillId="34" borderId="75" xfId="0" applyFont="1" applyFill="1" applyBorder="1" applyAlignment="1">
      <alignment horizontal="center" vertical="center"/>
    </xf>
    <xf numFmtId="0" fontId="69" fillId="34" borderId="38" xfId="0" applyFont="1" applyFill="1" applyBorder="1" applyAlignment="1">
      <alignment horizontal="center" vertical="center"/>
    </xf>
    <xf numFmtId="0" fontId="69" fillId="34" borderId="40" xfId="0" applyFont="1" applyFill="1" applyBorder="1" applyAlignment="1">
      <alignment horizontal="center" vertical="center"/>
    </xf>
    <xf numFmtId="0" fontId="69" fillId="0" borderId="36" xfId="0" applyFont="1" applyBorder="1" applyAlignment="1">
      <alignment horizontal="center" vertical="center"/>
    </xf>
    <xf numFmtId="0" fontId="69" fillId="0" borderId="28" xfId="0" applyFont="1" applyBorder="1" applyAlignment="1">
      <alignment horizontal="center" vertical="center"/>
    </xf>
    <xf numFmtId="0" fontId="69" fillId="34" borderId="83" xfId="0" applyFont="1" applyFill="1" applyBorder="1" applyAlignment="1">
      <alignment horizontal="center" vertical="center"/>
    </xf>
    <xf numFmtId="0" fontId="69" fillId="34" borderId="45" xfId="0" applyFont="1" applyFill="1" applyBorder="1" applyAlignment="1">
      <alignment horizontal="center" vertical="center"/>
    </xf>
    <xf numFmtId="0" fontId="69" fillId="34" borderId="44" xfId="0" applyFont="1" applyFill="1" applyBorder="1" applyAlignment="1">
      <alignment horizontal="center" vertical="center"/>
    </xf>
    <xf numFmtId="0" fontId="69" fillId="0" borderId="42" xfId="0" applyFont="1" applyBorder="1" applyAlignment="1">
      <alignment horizontal="center" vertical="center"/>
    </xf>
    <xf numFmtId="0" fontId="69" fillId="0" borderId="57" xfId="0" applyFont="1" applyBorder="1" applyAlignment="1">
      <alignment horizontal="center" vertical="center"/>
    </xf>
    <xf numFmtId="0" fontId="108" fillId="34" borderId="83" xfId="0" applyFont="1" applyFill="1" applyBorder="1" applyAlignment="1">
      <alignment horizontal="center" vertical="center"/>
    </xf>
    <xf numFmtId="0" fontId="108" fillId="34" borderId="45" xfId="0" applyFont="1" applyFill="1" applyBorder="1" applyAlignment="1">
      <alignment horizontal="center" vertical="center"/>
    </xf>
    <xf numFmtId="0" fontId="108" fillId="34" borderId="44" xfId="0" applyFont="1" applyFill="1" applyBorder="1" applyAlignment="1">
      <alignment horizontal="center" vertical="center"/>
    </xf>
    <xf numFmtId="0" fontId="69" fillId="0" borderId="42" xfId="0" applyFont="1" applyFill="1" applyBorder="1" applyAlignment="1">
      <alignment horizontal="center" vertical="center"/>
    </xf>
    <xf numFmtId="0" fontId="69" fillId="0" borderId="28" xfId="0" applyFont="1" applyFill="1" applyBorder="1" applyAlignment="1">
      <alignment horizontal="center" vertical="center"/>
    </xf>
    <xf numFmtId="0" fontId="69" fillId="0" borderId="32" xfId="0" applyFont="1" applyFill="1" applyBorder="1" applyAlignment="1">
      <alignment horizontal="center" vertical="center"/>
    </xf>
    <xf numFmtId="0" fontId="69" fillId="0" borderId="46" xfId="0" applyFont="1" applyFill="1" applyBorder="1" applyAlignment="1">
      <alignment horizontal="center" vertical="center"/>
    </xf>
    <xf numFmtId="0" fontId="69" fillId="0" borderId="57" xfId="0" applyFont="1" applyFill="1" applyBorder="1" applyAlignment="1">
      <alignment horizontal="center" vertical="center"/>
    </xf>
    <xf numFmtId="0" fontId="69" fillId="0" borderId="36" xfId="0" applyFont="1" applyFill="1" applyBorder="1" applyAlignment="1">
      <alignment horizontal="center" vertical="center"/>
    </xf>
    <xf numFmtId="0" fontId="69" fillId="39" borderId="46" xfId="0" applyFont="1" applyFill="1" applyBorder="1" applyAlignment="1">
      <alignment horizontal="center" vertical="center"/>
    </xf>
    <xf numFmtId="0" fontId="69" fillId="39" borderId="28" xfId="0" applyFont="1" applyFill="1" applyBorder="1" applyAlignment="1">
      <alignment horizontal="center" vertical="center"/>
    </xf>
    <xf numFmtId="0" fontId="69" fillId="39" borderId="36" xfId="0" applyFont="1" applyFill="1" applyBorder="1" applyAlignment="1">
      <alignment horizontal="center" vertical="center"/>
    </xf>
    <xf numFmtId="0" fontId="69" fillId="39" borderId="83" xfId="0" applyFont="1" applyFill="1" applyBorder="1" applyAlignment="1">
      <alignment horizontal="center" vertical="center"/>
    </xf>
    <xf numFmtId="0" fontId="69" fillId="39" borderId="45" xfId="0" applyFont="1" applyFill="1" applyBorder="1" applyAlignment="1">
      <alignment horizontal="center" vertical="center"/>
    </xf>
    <xf numFmtId="0" fontId="69" fillId="39" borderId="44" xfId="0" applyFont="1" applyFill="1" applyBorder="1" applyAlignment="1">
      <alignment horizontal="center" vertical="center"/>
    </xf>
    <xf numFmtId="0" fontId="69" fillId="0" borderId="83" xfId="0" applyFont="1" applyFill="1" applyBorder="1" applyAlignment="1">
      <alignment horizontal="center" vertical="center"/>
    </xf>
    <xf numFmtId="0" fontId="69" fillId="0" borderId="45" xfId="0" applyFont="1" applyFill="1" applyBorder="1" applyAlignment="1">
      <alignment horizontal="center" vertical="center"/>
    </xf>
    <xf numFmtId="0" fontId="69" fillId="0" borderId="44" xfId="0" applyFont="1" applyFill="1" applyBorder="1" applyAlignment="1">
      <alignment horizontal="center" vertical="center"/>
    </xf>
    <xf numFmtId="0" fontId="107" fillId="0" borderId="65" xfId="0" applyFont="1" applyBorder="1" applyAlignment="1">
      <alignment horizontal="center" vertical="center"/>
    </xf>
    <xf numFmtId="0" fontId="108" fillId="0" borderId="83" xfId="0" applyFont="1" applyBorder="1" applyAlignment="1">
      <alignment horizontal="center" vertical="center" wrapText="1"/>
    </xf>
    <xf numFmtId="0" fontId="108" fillId="0" borderId="45" xfId="0" applyFont="1" applyBorder="1" applyAlignment="1">
      <alignment horizontal="center" vertical="center" wrapText="1"/>
    </xf>
    <xf numFmtId="0" fontId="108" fillId="0" borderId="44" xfId="0" applyFont="1" applyBorder="1" applyAlignment="1">
      <alignment horizontal="center" vertical="center" wrapText="1"/>
    </xf>
    <xf numFmtId="0" fontId="108" fillId="34" borderId="83" xfId="0" applyFont="1" applyFill="1" applyBorder="1" applyAlignment="1">
      <alignment horizontal="center" vertical="center" wrapText="1"/>
    </xf>
    <xf numFmtId="0" fontId="108" fillId="34" borderId="45" xfId="0" applyFont="1" applyFill="1" applyBorder="1" applyAlignment="1">
      <alignment horizontal="center" vertical="center" wrapText="1"/>
    </xf>
    <xf numFmtId="0" fontId="108" fillId="34" borderId="44" xfId="0" applyFont="1" applyFill="1" applyBorder="1" applyAlignment="1">
      <alignment horizontal="center" vertical="center" wrapText="1"/>
    </xf>
    <xf numFmtId="1" fontId="102" fillId="34" borderId="15" xfId="0" applyNumberFormat="1" applyFont="1" applyFill="1" applyBorder="1" applyAlignment="1">
      <alignment horizontal="center" vertical="center" wrapText="1"/>
    </xf>
    <xf numFmtId="1" fontId="102" fillId="34" borderId="38" xfId="0" applyNumberFormat="1" applyFont="1" applyFill="1" applyBorder="1" applyAlignment="1">
      <alignment horizontal="center" vertical="center" wrapText="1"/>
    </xf>
    <xf numFmtId="183" fontId="166" fillId="0" borderId="15" xfId="0" applyNumberFormat="1" applyFont="1" applyBorder="1" applyAlignment="1">
      <alignment horizontal="center" vertical="center" wrapText="1"/>
    </xf>
    <xf numFmtId="183" fontId="166" fillId="0" borderId="38" xfId="0" applyNumberFormat="1" applyFont="1" applyBorder="1" applyAlignment="1">
      <alignment horizontal="center" vertical="center" wrapText="1"/>
    </xf>
    <xf numFmtId="0" fontId="2" fillId="0" borderId="15" xfId="0" applyFont="1" applyBorder="1" applyAlignment="1">
      <alignment horizontal="center" vertical="center" wrapText="1"/>
    </xf>
    <xf numFmtId="0" fontId="2" fillId="0" borderId="38" xfId="0" applyFont="1" applyBorder="1" applyAlignment="1">
      <alignment horizontal="center" vertical="center" wrapText="1"/>
    </xf>
    <xf numFmtId="2" fontId="0" fillId="0" borderId="14" xfId="0" applyNumberFormat="1" applyBorder="1" applyAlignment="1">
      <alignment horizontal="center" vertical="center" wrapText="1"/>
    </xf>
    <xf numFmtId="2" fontId="0" fillId="34" borderId="15" xfId="0" applyNumberFormat="1" applyFill="1" applyBorder="1" applyAlignment="1">
      <alignment horizontal="center" vertical="center" wrapText="1"/>
    </xf>
    <xf numFmtId="2" fontId="0" fillId="34" borderId="38" xfId="0" applyNumberFormat="1" applyFill="1" applyBorder="1" applyAlignment="1">
      <alignment horizontal="center" vertical="center" wrapText="1"/>
    </xf>
    <xf numFmtId="2" fontId="0" fillId="39" borderId="15" xfId="0" applyNumberFormat="1" applyFill="1" applyBorder="1" applyAlignment="1">
      <alignment horizontal="center" vertical="center" wrapText="1"/>
    </xf>
    <xf numFmtId="2" fontId="0" fillId="39" borderId="38" xfId="0" applyNumberFormat="1" applyFill="1" applyBorder="1" applyAlignment="1">
      <alignment horizontal="center" vertical="center" wrapText="1"/>
    </xf>
    <xf numFmtId="0" fontId="165" fillId="39" borderId="14" xfId="0" applyFont="1" applyFill="1" applyBorder="1" applyAlignment="1">
      <alignment horizontal="center" vertical="center" wrapText="1"/>
    </xf>
    <xf numFmtId="2" fontId="0" fillId="39" borderId="14" xfId="0" applyNumberFormat="1" applyFill="1" applyBorder="1" applyAlignment="1">
      <alignment horizontal="center" vertical="center" wrapText="1"/>
    </xf>
    <xf numFmtId="1" fontId="166" fillId="39" borderId="14" xfId="0" applyNumberFormat="1" applyFont="1" applyFill="1" applyBorder="1" applyAlignment="1">
      <alignment horizontal="center" vertical="center" wrapText="1"/>
    </xf>
    <xf numFmtId="2" fontId="0" fillId="39" borderId="15" xfId="0" applyNumberFormat="1" applyFill="1" applyBorder="1" applyAlignment="1">
      <alignment horizontal="center" vertical="center"/>
    </xf>
    <xf numFmtId="2" fontId="0" fillId="39" borderId="38" xfId="0" applyNumberFormat="1" applyFill="1" applyBorder="1" applyAlignment="1">
      <alignment horizontal="center" vertical="center"/>
    </xf>
    <xf numFmtId="0" fontId="0" fillId="0" borderId="15" xfId="0" applyBorder="1" applyAlignment="1">
      <alignment horizontal="center" vertical="center"/>
    </xf>
    <xf numFmtId="0" fontId="0" fillId="0" borderId="38" xfId="0" applyBorder="1" applyAlignment="1">
      <alignment horizontal="center" vertical="center"/>
    </xf>
    <xf numFmtId="0" fontId="100" fillId="0" borderId="15" xfId="0" applyFont="1" applyBorder="1" applyAlignment="1">
      <alignment horizontal="center" vertical="center"/>
    </xf>
    <xf numFmtId="0" fontId="100" fillId="0" borderId="38" xfId="0" applyFont="1" applyBorder="1" applyAlignment="1">
      <alignment horizontal="center" vertical="center"/>
    </xf>
    <xf numFmtId="183" fontId="163" fillId="0" borderId="15" xfId="0" applyNumberFormat="1" applyFont="1" applyBorder="1" applyAlignment="1">
      <alignment horizontal="center" vertical="center" wrapText="1"/>
    </xf>
    <xf numFmtId="183" fontId="163" fillId="0" borderId="38" xfId="0" applyNumberFormat="1" applyFont="1" applyBorder="1" applyAlignment="1">
      <alignment horizontal="center" vertical="center" wrapText="1"/>
    </xf>
    <xf numFmtId="0" fontId="0" fillId="0" borderId="14" xfId="0" applyBorder="1" applyAlignment="1">
      <alignment horizontal="center" vertical="center" wrapText="1"/>
    </xf>
    <xf numFmtId="0" fontId="0" fillId="36" borderId="14" xfId="0" applyFill="1" applyBorder="1" applyAlignment="1">
      <alignment horizontal="center" vertical="center" wrapText="1"/>
    </xf>
    <xf numFmtId="0" fontId="100" fillId="36" borderId="14" xfId="0" applyFont="1" applyFill="1" applyBorder="1" applyAlignment="1">
      <alignment horizontal="center" vertical="center" wrapText="1"/>
    </xf>
    <xf numFmtId="2" fontId="164" fillId="39" borderId="14" xfId="0" applyNumberFormat="1" applyFont="1" applyFill="1" applyBorder="1" applyAlignment="1">
      <alignment horizontal="center" vertical="center" wrapText="1"/>
    </xf>
    <xf numFmtId="2" fontId="0" fillId="36" borderId="15" xfId="0" applyNumberFormat="1" applyFill="1" applyBorder="1" applyAlignment="1">
      <alignment horizontal="center" vertical="center" wrapText="1"/>
    </xf>
    <xf numFmtId="2" fontId="0" fillId="36" borderId="27" xfId="0" applyNumberFormat="1" applyFill="1" applyBorder="1" applyAlignment="1">
      <alignment horizontal="center" vertical="center" wrapText="1"/>
    </xf>
    <xf numFmtId="2" fontId="0" fillId="36" borderId="38" xfId="0" applyNumberFormat="1" applyFill="1" applyBorder="1" applyAlignment="1">
      <alignment horizontal="center" vertical="center" wrapText="1"/>
    </xf>
    <xf numFmtId="1" fontId="166" fillId="36" borderId="15" xfId="0" applyNumberFormat="1" applyFont="1" applyFill="1" applyBorder="1" applyAlignment="1">
      <alignment horizontal="center" vertical="center" wrapText="1"/>
    </xf>
    <xf numFmtId="1" fontId="166" fillId="36" borderId="27" xfId="0" applyNumberFormat="1" applyFont="1" applyFill="1" applyBorder="1" applyAlignment="1">
      <alignment horizontal="center" vertical="center" wrapText="1"/>
    </xf>
    <xf numFmtId="1" fontId="166" fillId="36" borderId="38" xfId="0" applyNumberFormat="1" applyFont="1" applyFill="1" applyBorder="1" applyAlignment="1">
      <alignment horizontal="center" vertical="center" wrapText="1"/>
    </xf>
    <xf numFmtId="0" fontId="0" fillId="39" borderId="14" xfId="0" applyFill="1" applyBorder="1" applyAlignment="1">
      <alignment horizontal="center" vertical="center" wrapText="1"/>
    </xf>
    <xf numFmtId="0" fontId="100" fillId="39" borderId="14" xfId="0" applyFont="1" applyFill="1" applyBorder="1" applyAlignment="1">
      <alignment horizontal="center" vertical="center" wrapText="1"/>
    </xf>
    <xf numFmtId="183" fontId="163" fillId="39" borderId="14" xfId="0" applyNumberFormat="1" applyFont="1" applyFill="1" applyBorder="1" applyAlignment="1">
      <alignment horizontal="center" vertical="center" wrapText="1"/>
    </xf>
    <xf numFmtId="183" fontId="164" fillId="39" borderId="14" xfId="0" applyNumberFormat="1" applyFont="1" applyFill="1" applyBorder="1" applyAlignment="1">
      <alignment horizontal="center" vertical="center" wrapText="1"/>
    </xf>
    <xf numFmtId="183" fontId="166" fillId="36" borderId="14" xfId="0" applyNumberFormat="1" applyFont="1" applyFill="1" applyBorder="1" applyAlignment="1">
      <alignment horizontal="center" vertical="center" wrapText="1"/>
    </xf>
    <xf numFmtId="0" fontId="165" fillId="36" borderId="14" xfId="0" applyFont="1" applyFill="1" applyBorder="1" applyAlignment="1">
      <alignment horizontal="center" vertical="center" wrapText="1"/>
    </xf>
    <xf numFmtId="2" fontId="0" fillId="36" borderId="14" xfId="0" applyNumberFormat="1" applyFill="1" applyBorder="1" applyAlignment="1">
      <alignment horizontal="center" vertical="center" wrapText="1"/>
    </xf>
    <xf numFmtId="0" fontId="164" fillId="39" borderId="14" xfId="0" applyFont="1" applyFill="1" applyBorder="1" applyAlignment="1">
      <alignment horizontal="center" vertical="center" wrapText="1"/>
    </xf>
    <xf numFmtId="183" fontId="166" fillId="39" borderId="14" xfId="0" applyNumberFormat="1" applyFont="1" applyFill="1" applyBorder="1" applyAlignment="1">
      <alignment horizontal="center" vertical="center" wrapText="1"/>
    </xf>
    <xf numFmtId="0" fontId="166" fillId="39" borderId="14" xfId="0" applyFont="1" applyFill="1" applyBorder="1" applyAlignment="1">
      <alignment horizontal="center" vertical="center" wrapText="1"/>
    </xf>
    <xf numFmtId="2" fontId="0" fillId="34" borderId="54" xfId="0" applyNumberFormat="1" applyFill="1" applyBorder="1" applyAlignment="1">
      <alignment horizontal="center" vertical="center" wrapText="1"/>
    </xf>
    <xf numFmtId="2" fontId="0" fillId="34" borderId="37" xfId="0" applyNumberFormat="1" applyFill="1" applyBorder="1" applyAlignment="1">
      <alignment horizontal="center" vertical="center" wrapText="1"/>
    </xf>
    <xf numFmtId="1" fontId="166" fillId="34" borderId="14" xfId="0" applyNumberFormat="1" applyFont="1" applyFill="1" applyBorder="1" applyAlignment="1">
      <alignment horizontal="center" vertical="center" wrapText="1"/>
    </xf>
    <xf numFmtId="0" fontId="163" fillId="36" borderId="14" xfId="0" applyFont="1" applyFill="1" applyBorder="1" applyAlignment="1">
      <alignment horizontal="center" vertical="center" wrapText="1"/>
    </xf>
    <xf numFmtId="0" fontId="100" fillId="34" borderId="14" xfId="0" applyFont="1" applyFill="1" applyBorder="1" applyAlignment="1">
      <alignment horizontal="center" vertical="center" wrapText="1"/>
    </xf>
    <xf numFmtId="0" fontId="163" fillId="0" borderId="14" xfId="0" applyFont="1" applyBorder="1" applyAlignment="1">
      <alignment horizontal="center" vertical="center" wrapText="1"/>
    </xf>
    <xf numFmtId="183" fontId="166" fillId="0" borderId="14" xfId="0" applyNumberFormat="1" applyFont="1" applyBorder="1" applyAlignment="1">
      <alignment horizontal="center" vertical="center" wrapText="1"/>
    </xf>
    <xf numFmtId="0" fontId="165" fillId="0" borderId="14" xfId="0" applyFont="1" applyBorder="1" applyAlignment="1">
      <alignment horizontal="center" vertical="center" wrapText="1"/>
    </xf>
    <xf numFmtId="1" fontId="102" fillId="34" borderId="14" xfId="0" applyNumberFormat="1" applyFont="1" applyFill="1" applyBorder="1" applyAlignment="1">
      <alignment horizontal="center" vertical="center" wrapText="1"/>
    </xf>
    <xf numFmtId="2" fontId="0" fillId="34" borderId="14" xfId="0" applyNumberFormat="1" applyFill="1" applyBorder="1" applyAlignment="1">
      <alignment horizontal="center" vertical="center" wrapText="1"/>
    </xf>
    <xf numFmtId="1" fontId="166" fillId="36" borderId="14" xfId="0" applyNumberFormat="1" applyFont="1" applyFill="1" applyBorder="1" applyAlignment="1">
      <alignment horizontal="center" vertical="center" wrapText="1"/>
    </xf>
    <xf numFmtId="1" fontId="102" fillId="36" borderId="14" xfId="0" applyNumberFormat="1" applyFont="1" applyFill="1" applyBorder="1" applyAlignment="1">
      <alignment horizontal="center" vertical="center" wrapText="1"/>
    </xf>
    <xf numFmtId="183" fontId="163" fillId="0" borderId="14" xfId="0" applyNumberFormat="1" applyFont="1" applyBorder="1" applyAlignment="1">
      <alignment horizontal="center" vertical="center" wrapText="1"/>
    </xf>
    <xf numFmtId="2" fontId="71" fillId="36" borderId="15" xfId="0" applyNumberFormat="1" applyFont="1" applyFill="1" applyBorder="1" applyAlignment="1">
      <alignment horizontal="center" vertical="center" wrapText="1"/>
    </xf>
    <xf numFmtId="0" fontId="0" fillId="36" borderId="15" xfId="0" applyFill="1" applyBorder="1" applyAlignment="1">
      <alignment horizontal="center" vertical="center" wrapText="1"/>
    </xf>
    <xf numFmtId="0" fontId="0" fillId="36" borderId="27" xfId="0" applyFill="1" applyBorder="1" applyAlignment="1">
      <alignment horizontal="center" vertical="center" wrapText="1"/>
    </xf>
    <xf numFmtId="2" fontId="101" fillId="34" borderId="14" xfId="0" applyNumberFormat="1" applyFont="1" applyFill="1" applyBorder="1" applyAlignment="1">
      <alignment horizontal="center" vertical="center" wrapText="1"/>
    </xf>
    <xf numFmtId="0" fontId="101" fillId="0" borderId="14" xfId="0" applyFont="1" applyBorder="1" applyAlignment="1">
      <alignment horizontal="center" vertical="center" wrapText="1"/>
    </xf>
    <xf numFmtId="0" fontId="71" fillId="36" borderId="15" xfId="0" applyFont="1" applyFill="1" applyBorder="1" applyAlignment="1">
      <alignment horizontal="center" vertical="center" wrapText="1"/>
    </xf>
    <xf numFmtId="0" fontId="71" fillId="36" borderId="38" xfId="0" applyFont="1" applyFill="1" applyBorder="1" applyAlignment="1">
      <alignment horizontal="center" vertical="center" wrapText="1"/>
    </xf>
    <xf numFmtId="0" fontId="213" fillId="36" borderId="14" xfId="0" applyFont="1" applyFill="1" applyBorder="1" applyAlignment="1">
      <alignment horizontal="center" vertical="center" wrapText="1"/>
    </xf>
    <xf numFmtId="183" fontId="0" fillId="0" borderId="14" xfId="0" applyNumberFormat="1" applyBorder="1" applyAlignment="1">
      <alignment horizontal="center" vertical="center" wrapText="1"/>
    </xf>
    <xf numFmtId="0" fontId="0" fillId="0" borderId="14" xfId="0" applyBorder="1" applyAlignment="1">
      <alignment horizontal="center"/>
    </xf>
    <xf numFmtId="0" fontId="96" fillId="0" borderId="58" xfId="0" applyFont="1" applyBorder="1" applyAlignment="1">
      <alignment horizontal="center" vertical="center" wrapText="1"/>
    </xf>
    <xf numFmtId="0" fontId="96" fillId="0" borderId="4" xfId="0" applyFont="1" applyBorder="1" applyAlignment="1">
      <alignment horizontal="center" vertical="center" wrapText="1"/>
    </xf>
    <xf numFmtId="0" fontId="96" fillId="0" borderId="63" xfId="0" applyFont="1" applyBorder="1" applyAlignment="1">
      <alignment horizontal="center" vertical="center" wrapText="1"/>
    </xf>
    <xf numFmtId="0" fontId="96" fillId="0" borderId="14" xfId="0" applyFont="1" applyBorder="1" applyAlignment="1">
      <alignment horizontal="center" vertical="center"/>
    </xf>
    <xf numFmtId="0" fontId="96" fillId="0" borderId="14" xfId="0" applyFont="1" applyBorder="1" applyAlignment="1">
      <alignment horizontal="center" vertical="center" wrapText="1"/>
    </xf>
    <xf numFmtId="0" fontId="97" fillId="0" borderId="14" xfId="0" applyFont="1" applyBorder="1" applyAlignment="1">
      <alignment horizontal="center" vertical="center" wrapText="1"/>
    </xf>
    <xf numFmtId="183" fontId="163" fillId="36" borderId="14" xfId="0" applyNumberFormat="1" applyFont="1" applyFill="1" applyBorder="1" applyAlignment="1">
      <alignment horizontal="center" vertical="center" wrapText="1"/>
    </xf>
    <xf numFmtId="0" fontId="97" fillId="36" borderId="14" xfId="0" applyFont="1" applyFill="1" applyBorder="1" applyAlignment="1">
      <alignment horizontal="center" vertical="center" wrapText="1"/>
    </xf>
    <xf numFmtId="0" fontId="184" fillId="36" borderId="46" xfId="79" applyFont="1" applyFill="1" applyBorder="1" applyAlignment="1">
      <alignment horizontal="center"/>
    </xf>
    <xf numFmtId="0" fontId="184" fillId="36" borderId="45" xfId="79" applyFont="1" applyFill="1" applyBorder="1" applyAlignment="1">
      <alignment horizontal="center"/>
    </xf>
    <xf numFmtId="0" fontId="184" fillId="36" borderId="44" xfId="79" applyFont="1" applyFill="1" applyBorder="1" applyAlignment="1">
      <alignment horizontal="center"/>
    </xf>
    <xf numFmtId="0" fontId="184" fillId="35" borderId="50" xfId="79" applyFont="1" applyFill="1" applyBorder="1" applyAlignment="1">
      <alignment horizontal="center" vertical="center"/>
    </xf>
    <xf numFmtId="0" fontId="184" fillId="35" borderId="25" xfId="79" applyFont="1" applyFill="1" applyBorder="1" applyAlignment="1">
      <alignment horizontal="center" vertical="center"/>
    </xf>
    <xf numFmtId="0" fontId="184" fillId="35" borderId="44" xfId="79" applyFont="1" applyFill="1" applyBorder="1" applyAlignment="1">
      <alignment horizontal="center" vertical="center" wrapText="1"/>
    </xf>
    <xf numFmtId="0" fontId="184" fillId="35" borderId="34" xfId="79" applyFont="1" applyFill="1" applyBorder="1" applyAlignment="1">
      <alignment horizontal="center" vertical="center" wrapText="1"/>
    </xf>
    <xf numFmtId="0" fontId="184" fillId="36" borderId="60" xfId="79" applyFont="1" applyFill="1" applyBorder="1" applyAlignment="1">
      <alignment horizontal="center"/>
    </xf>
    <xf numFmtId="0" fontId="184" fillId="36" borderId="65" xfId="79" applyFont="1" applyFill="1" applyBorder="1" applyAlignment="1">
      <alignment horizontal="center"/>
    </xf>
    <xf numFmtId="0" fontId="184" fillId="36" borderId="88" xfId="79" applyFont="1" applyFill="1" applyBorder="1" applyAlignment="1">
      <alignment horizontal="center"/>
    </xf>
    <xf numFmtId="0" fontId="184" fillId="36" borderId="64" xfId="79" applyFont="1" applyFill="1" applyBorder="1" applyAlignment="1">
      <alignment horizontal="center"/>
    </xf>
    <xf numFmtId="0" fontId="184" fillId="36" borderId="83" xfId="79" applyFont="1" applyFill="1" applyBorder="1" applyAlignment="1">
      <alignment horizontal="center"/>
    </xf>
    <xf numFmtId="0" fontId="186" fillId="36" borderId="45" xfId="79" applyFont="1" applyFill="1" applyBorder="1" applyAlignment="1">
      <alignment horizontal="center"/>
    </xf>
    <xf numFmtId="0" fontId="214" fillId="47" borderId="64" xfId="79" applyFont="1" applyFill="1" applyBorder="1" applyAlignment="1">
      <alignment horizontal="center"/>
    </xf>
    <xf numFmtId="0" fontId="214" fillId="47" borderId="65" xfId="79" applyFont="1" applyFill="1" applyBorder="1" applyAlignment="1">
      <alignment horizontal="center"/>
    </xf>
    <xf numFmtId="0" fontId="214" fillId="47" borderId="100" xfId="79" applyFont="1" applyFill="1" applyBorder="1" applyAlignment="1">
      <alignment horizontal="center"/>
    </xf>
    <xf numFmtId="0" fontId="214" fillId="47" borderId="101" xfId="79" applyFont="1" applyFill="1" applyBorder="1" applyAlignment="1">
      <alignment horizontal="center"/>
    </xf>
    <xf numFmtId="0" fontId="214" fillId="47" borderId="88" xfId="79" applyFont="1" applyFill="1" applyBorder="1" applyAlignment="1">
      <alignment horizontal="center"/>
    </xf>
    <xf numFmtId="0" fontId="218" fillId="55" borderId="0" xfId="0" applyFont="1" applyFill="1" applyAlignment="1">
      <alignment horizontal="left"/>
    </xf>
    <xf numFmtId="0" fontId="0" fillId="0" borderId="0" xfId="0" applyAlignment="1"/>
    <xf numFmtId="0" fontId="172" fillId="34" borderId="58" xfId="0" applyFont="1" applyFill="1" applyBorder="1" applyAlignment="1" applyProtection="1">
      <alignment horizontal="left" wrapText="1"/>
    </xf>
    <xf numFmtId="0" fontId="172" fillId="34" borderId="63" xfId="0" applyFont="1" applyFill="1" applyBorder="1" applyAlignment="1" applyProtection="1">
      <alignment horizontal="left" wrapText="1"/>
    </xf>
    <xf numFmtId="0" fontId="172" fillId="0" borderId="58" xfId="0" applyFont="1" applyBorder="1" applyAlignment="1" applyProtection="1">
      <alignment horizontal="left" wrapText="1"/>
    </xf>
    <xf numFmtId="0" fontId="172" fillId="0" borderId="63" xfId="0" applyFont="1" applyBorder="1" applyAlignment="1" applyProtection="1">
      <alignment horizontal="left" wrapText="1"/>
    </xf>
    <xf numFmtId="0" fontId="172" fillId="0" borderId="14" xfId="0" applyFont="1" applyBorder="1" applyAlignment="1">
      <alignment horizontal="left" wrapText="1"/>
    </xf>
    <xf numFmtId="0" fontId="218" fillId="52" borderId="0" xfId="0" applyFont="1" applyFill="1" applyAlignment="1" applyProtection="1">
      <alignment horizontal="left"/>
    </xf>
    <xf numFmtId="0" fontId="218" fillId="52" borderId="0" xfId="0" applyFont="1" applyFill="1" applyAlignment="1">
      <alignment horizontal="left"/>
    </xf>
    <xf numFmtId="0" fontId="215" fillId="0" borderId="0" xfId="0" applyFont="1" applyAlignment="1">
      <alignment horizontal="left"/>
    </xf>
    <xf numFmtId="0" fontId="173" fillId="50" borderId="4" xfId="0" applyFont="1" applyFill="1" applyBorder="1" applyAlignment="1">
      <alignment horizontal="center" vertical="center" wrapText="1"/>
    </xf>
    <xf numFmtId="0" fontId="173" fillId="50" borderId="63" xfId="0" applyFont="1" applyFill="1" applyBorder="1" applyAlignment="1">
      <alignment horizontal="center" vertical="center" wrapText="1"/>
    </xf>
    <xf numFmtId="0" fontId="173" fillId="50" borderId="58" xfId="0" applyFont="1" applyFill="1" applyBorder="1" applyAlignment="1">
      <alignment horizontal="center" vertical="center" wrapText="1"/>
    </xf>
    <xf numFmtId="0" fontId="176" fillId="0" borderId="0" xfId="0" applyFont="1" applyBorder="1" applyAlignment="1" applyProtection="1">
      <alignment vertical="top" wrapText="1"/>
    </xf>
    <xf numFmtId="0" fontId="172" fillId="0" borderId="0" xfId="0" applyFont="1" applyBorder="1" applyAlignment="1" applyProtection="1">
      <alignment wrapText="1"/>
    </xf>
    <xf numFmtId="0" fontId="173" fillId="39" borderId="33" xfId="0" applyFont="1" applyFill="1" applyBorder="1" applyAlignment="1" applyProtection="1">
      <alignment horizontal="center" wrapText="1"/>
    </xf>
    <xf numFmtId="0" fontId="173" fillId="50" borderId="0" xfId="0" applyFont="1" applyFill="1" applyBorder="1" applyAlignment="1" applyProtection="1">
      <alignment horizontal="center" wrapText="1"/>
    </xf>
    <xf numFmtId="0" fontId="173" fillId="50" borderId="54" xfId="0" applyFont="1" applyFill="1" applyBorder="1" applyAlignment="1" applyProtection="1">
      <alignment horizontal="center" wrapText="1"/>
    </xf>
    <xf numFmtId="0" fontId="173" fillId="50" borderId="33" xfId="0" applyFont="1" applyFill="1" applyBorder="1" applyAlignment="1" applyProtection="1">
      <alignment horizontal="center" wrapText="1"/>
    </xf>
    <xf numFmtId="0" fontId="173" fillId="50" borderId="16" xfId="0" applyFont="1" applyFill="1" applyBorder="1" applyAlignment="1" applyProtection="1">
      <alignment horizontal="center" wrapText="1"/>
    </xf>
    <xf numFmtId="0" fontId="173" fillId="50" borderId="58" xfId="0" applyFont="1" applyFill="1" applyBorder="1" applyAlignment="1" applyProtection="1">
      <alignment horizontal="left" wrapText="1"/>
    </xf>
    <xf numFmtId="0" fontId="173" fillId="50" borderId="4" xfId="0" applyFont="1" applyFill="1" applyBorder="1" applyAlignment="1" applyProtection="1">
      <alignment horizontal="left" wrapText="1"/>
    </xf>
    <xf numFmtId="0" fontId="173" fillId="50" borderId="63" xfId="0" applyFont="1" applyFill="1" applyBorder="1" applyAlignment="1" applyProtection="1">
      <alignment horizontal="left" wrapText="1"/>
    </xf>
    <xf numFmtId="0" fontId="172" fillId="49" borderId="54" xfId="0" applyFont="1" applyFill="1" applyBorder="1" applyAlignment="1" applyProtection="1">
      <alignment horizontal="left" vertical="center" wrapText="1"/>
    </xf>
    <xf numFmtId="0" fontId="172" fillId="49" borderId="37" xfId="0" applyFont="1" applyFill="1" applyBorder="1" applyAlignment="1" applyProtection="1">
      <alignment horizontal="left" vertical="center" wrapText="1"/>
    </xf>
    <xf numFmtId="0" fontId="173" fillId="0" borderId="134" xfId="0" applyFont="1" applyFill="1" applyBorder="1" applyAlignment="1" applyProtection="1">
      <alignment horizontal="center" vertical="center" wrapText="1"/>
    </xf>
    <xf numFmtId="0" fontId="173" fillId="0" borderId="135" xfId="0" applyFont="1" applyFill="1" applyBorder="1" applyAlignment="1" applyProtection="1">
      <alignment horizontal="center" vertical="center" wrapText="1"/>
    </xf>
    <xf numFmtId="3" fontId="173" fillId="0" borderId="15" xfId="0" applyNumberFormat="1" applyFont="1" applyFill="1" applyBorder="1" applyAlignment="1" applyProtection="1">
      <alignment horizontal="center" vertical="center" wrapText="1"/>
    </xf>
    <xf numFmtId="3" fontId="173" fillId="0" borderId="38" xfId="0" applyNumberFormat="1" applyFont="1" applyFill="1" applyBorder="1" applyAlignment="1" applyProtection="1">
      <alignment horizontal="center" vertical="center" wrapText="1"/>
    </xf>
    <xf numFmtId="0" fontId="172" fillId="0" borderId="15" xfId="0" applyFont="1" applyFill="1" applyBorder="1" applyAlignment="1" applyProtection="1">
      <alignment vertical="center" wrapText="1"/>
    </xf>
    <xf numFmtId="0" fontId="172" fillId="0" borderId="38" xfId="0" applyFont="1" applyFill="1" applyBorder="1" applyAlignment="1" applyProtection="1">
      <alignment vertical="center" wrapText="1"/>
    </xf>
    <xf numFmtId="0" fontId="172" fillId="0" borderId="15" xfId="0" applyFont="1" applyFill="1" applyBorder="1" applyAlignment="1" applyProtection="1">
      <alignment wrapText="1"/>
    </xf>
    <xf numFmtId="0" fontId="0" fillId="0" borderId="38" xfId="0" applyFill="1" applyBorder="1" applyAlignment="1" applyProtection="1">
      <alignment wrapText="1"/>
    </xf>
    <xf numFmtId="181" fontId="173" fillId="0" borderId="54" xfId="90" applyNumberFormat="1" applyFont="1" applyFill="1" applyBorder="1" applyAlignment="1" applyProtection="1">
      <alignment horizontal="center" vertical="center"/>
    </xf>
    <xf numFmtId="181" fontId="173" fillId="0" borderId="68" xfId="90" applyNumberFormat="1" applyFont="1" applyFill="1" applyBorder="1" applyAlignment="1" applyProtection="1">
      <alignment horizontal="center" vertical="center"/>
    </xf>
    <xf numFmtId="181" fontId="173" fillId="0" borderId="37" xfId="90" applyNumberFormat="1" applyFont="1" applyFill="1" applyBorder="1" applyAlignment="1" applyProtection="1">
      <alignment horizontal="center" vertical="center"/>
    </xf>
    <xf numFmtId="181" fontId="173" fillId="0" borderId="75" xfId="90" applyNumberFormat="1" applyFont="1" applyFill="1" applyBorder="1" applyAlignment="1" applyProtection="1">
      <alignment horizontal="center" vertical="center"/>
    </xf>
    <xf numFmtId="0" fontId="172" fillId="0" borderId="15" xfId="0" applyFont="1" applyFill="1" applyBorder="1" applyAlignment="1" applyProtection="1">
      <alignment horizontal="left" vertical="center" wrapText="1"/>
    </xf>
    <xf numFmtId="0" fontId="172" fillId="0" borderId="38" xfId="0" applyFont="1" applyFill="1" applyBorder="1" applyAlignment="1" applyProtection="1">
      <alignment horizontal="left" vertical="center" wrapText="1"/>
    </xf>
    <xf numFmtId="0" fontId="215" fillId="0" borderId="0" xfId="0" applyFont="1" applyAlignment="1" applyProtection="1">
      <alignment horizontal="left"/>
    </xf>
    <xf numFmtId="0" fontId="5" fillId="0" borderId="0" xfId="0" applyFont="1" applyAlignment="1" applyProtection="1">
      <alignment horizontal="left"/>
    </xf>
    <xf numFmtId="0" fontId="172" fillId="49" borderId="136" xfId="0" applyFont="1" applyFill="1" applyBorder="1" applyAlignment="1" applyProtection="1">
      <alignment horizontal="center" vertical="center"/>
    </xf>
    <xf numFmtId="0" fontId="172" fillId="49" borderId="137" xfId="0" applyFont="1" applyFill="1" applyBorder="1" applyAlignment="1" applyProtection="1">
      <alignment horizontal="center" vertical="center"/>
    </xf>
    <xf numFmtId="0" fontId="173" fillId="50" borderId="16" xfId="0" applyFont="1" applyFill="1" applyBorder="1" applyAlignment="1" applyProtection="1">
      <alignment horizontal="left" wrapText="1"/>
    </xf>
    <xf numFmtId="0" fontId="173" fillId="50" borderId="0" xfId="0" applyFont="1" applyFill="1" applyBorder="1" applyAlignment="1" applyProtection="1">
      <alignment horizontal="left" wrapText="1"/>
    </xf>
    <xf numFmtId="0" fontId="223" fillId="50" borderId="58" xfId="69" applyFont="1" applyFill="1" applyBorder="1" applyAlignment="1" applyProtection="1">
      <alignment horizontal="left" wrapText="1"/>
    </xf>
    <xf numFmtId="0" fontId="223" fillId="50" borderId="4" xfId="69" applyFont="1" applyFill="1" applyBorder="1" applyAlignment="1" applyProtection="1">
      <alignment horizontal="left" wrapText="1"/>
    </xf>
    <xf numFmtId="0" fontId="223" fillId="50" borderId="63" xfId="69" applyFont="1" applyFill="1" applyBorder="1" applyAlignment="1" applyProtection="1">
      <alignment horizontal="left" wrapText="1"/>
    </xf>
    <xf numFmtId="0" fontId="172" fillId="0" borderId="133" xfId="0" applyFont="1" applyFill="1" applyBorder="1" applyAlignment="1" applyProtection="1">
      <alignment wrapText="1"/>
    </xf>
    <xf numFmtId="0" fontId="172" fillId="0" borderId="14" xfId="0" applyFont="1" applyFill="1" applyBorder="1" applyAlignment="1">
      <alignment horizontal="center" wrapText="1"/>
    </xf>
    <xf numFmtId="0" fontId="173" fillId="50" borderId="4" xfId="0" applyFont="1" applyFill="1" applyBorder="1" applyAlignment="1">
      <alignment horizontal="center" wrapText="1"/>
    </xf>
    <xf numFmtId="0" fontId="173" fillId="50" borderId="63" xfId="0" applyFont="1" applyFill="1" applyBorder="1" applyAlignment="1">
      <alignment horizontal="center" wrapText="1"/>
    </xf>
    <xf numFmtId="0" fontId="173" fillId="50" borderId="58" xfId="0" applyFont="1" applyFill="1" applyBorder="1" applyAlignment="1">
      <alignment horizontal="left" vertical="center"/>
    </xf>
    <xf numFmtId="0" fontId="173" fillId="50" borderId="4" xfId="0" applyFont="1" applyFill="1" applyBorder="1" applyAlignment="1">
      <alignment horizontal="left" vertical="center"/>
    </xf>
    <xf numFmtId="0" fontId="173" fillId="50" borderId="63" xfId="0" applyFont="1" applyFill="1" applyBorder="1" applyAlignment="1">
      <alignment horizontal="left" vertical="center"/>
    </xf>
  </cellXfs>
  <cellStyles count="143">
    <cellStyle name="_pielikums veidlapai-2_v2_12082008" xfId="1"/>
    <cellStyle name="+" xfId="2"/>
    <cellStyle name="20% - Акцент1" xfId="3"/>
    <cellStyle name="20% - Акцент2" xfId="4"/>
    <cellStyle name="20% - Акцент3" xfId="5"/>
    <cellStyle name="20% - Акцент4" xfId="6"/>
    <cellStyle name="20% - Акцент5" xfId="7"/>
    <cellStyle name="20% - Акцент6" xfId="8"/>
    <cellStyle name="3" xfId="9"/>
    <cellStyle name="40% - Акцент1" xfId="10"/>
    <cellStyle name="40% - Акцент2" xfId="11"/>
    <cellStyle name="40% - Акцент3" xfId="12"/>
    <cellStyle name="40% - Акцент4" xfId="13"/>
    <cellStyle name="40% - Акцент5" xfId="14"/>
    <cellStyle name="40% - Акцент6" xfId="15"/>
    <cellStyle name="60% - Акцент1" xfId="16"/>
    <cellStyle name="60% - Акцент2" xfId="17"/>
    <cellStyle name="60% - Акцент3" xfId="18"/>
    <cellStyle name="60% - Акцент4" xfId="19"/>
    <cellStyle name="60% - Акцент5" xfId="20"/>
    <cellStyle name="60% - Акцент6" xfId="21"/>
    <cellStyle name="AFE" xfId="22"/>
    <cellStyle name="Aprēķināšana" xfId="23"/>
    <cellStyle name="Brīdinājuma teksts" xfId="24"/>
    <cellStyle name="ColumnAttributeAbovePrompt" xfId="25"/>
    <cellStyle name="ColumnAttributePrompt" xfId="26"/>
    <cellStyle name="ColumnAttributeValue" xfId="27"/>
    <cellStyle name="ColumnHeadingPrompt" xfId="28"/>
    <cellStyle name="ColumnHeadingValue" xfId="29"/>
    <cellStyle name="Comma" xfId="30" builtinId="3"/>
    <cellStyle name="DblLineDollarAcct" xfId="31"/>
    <cellStyle name="DblLinePercent" xfId="32"/>
    <cellStyle name="DollarAccounting" xfId="33"/>
    <cellStyle name="EY Narrative text" xfId="36"/>
    <cellStyle name="EY%colcalc" xfId="37"/>
    <cellStyle name="EY%input" xfId="38"/>
    <cellStyle name="EY%rowcalc" xfId="39"/>
    <cellStyle name="EY0dp" xfId="40"/>
    <cellStyle name="EY1dp" xfId="41"/>
    <cellStyle name="EY2dp" xfId="42"/>
    <cellStyle name="EY3dp" xfId="43"/>
    <cellStyle name="EYChartTitle" xfId="44"/>
    <cellStyle name="EYColumnHeading" xfId="45"/>
    <cellStyle name="EYColumnHeadingItalic" xfId="46"/>
    <cellStyle name="EYCoverDatabookName" xfId="47"/>
    <cellStyle name="EYCoverDate" xfId="48"/>
    <cellStyle name="EYCoverDraft" xfId="49"/>
    <cellStyle name="EYCoverProjectName" xfId="50"/>
    <cellStyle name="EYCurrency" xfId="51"/>
    <cellStyle name="EYHeader1" xfId="52"/>
    <cellStyle name="EYHeader2" xfId="53"/>
    <cellStyle name="EYHeading1" xfId="54"/>
    <cellStyle name="EYheading2" xfId="55"/>
    <cellStyle name="EYheading3" xfId="56"/>
    <cellStyle name="EYNotes" xfId="57"/>
    <cellStyle name="EYNotesHeading" xfId="58"/>
    <cellStyle name="EYnumber" xfId="59"/>
    <cellStyle name="EYSectionHeading" xfId="60"/>
    <cellStyle name="EYSheetHeader1" xfId="61"/>
    <cellStyle name="EYSheetHeading" xfId="62"/>
    <cellStyle name="EYsmallheading" xfId="63"/>
    <cellStyle name="EYSource" xfId="64"/>
    <cellStyle name="EYtext" xfId="65"/>
    <cellStyle name="EYtextbold" xfId="66"/>
    <cellStyle name="EYtextbolditalic" xfId="67"/>
    <cellStyle name="EYtextitalic" xfId="68"/>
    <cellStyle name="Euro" xfId="34"/>
    <cellStyle name="Excel Built-in Normal" xfId="35"/>
    <cellStyle name="Hyperlink" xfId="69" builtinId="8"/>
    <cellStyle name="Ievade" xfId="70"/>
    <cellStyle name="Izvade" xfId="71"/>
    <cellStyle name="Kopsumma" xfId="72"/>
    <cellStyle name="LineItemPrompt" xfId="73"/>
    <cellStyle name="LineItemValue" xfId="74"/>
    <cellStyle name="Neitrāls" xfId="75"/>
    <cellStyle name="Normaali_Pitäjänmäen kuparialue" xfId="76"/>
    <cellStyle name="Normal" xfId="0" builtinId="0"/>
    <cellStyle name="Normal 2" xfId="77"/>
    <cellStyle name="Normal 2 2" xfId="78"/>
    <cellStyle name="Normal 3" xfId="79"/>
    <cellStyle name="Normal_pielikums veidlapai-2_v2_12082008" xfId="80"/>
    <cellStyle name="Normal_Sheet1" xfId="81"/>
    <cellStyle name="Normal_veidlapa" xfId="82"/>
    <cellStyle name="Nosaukums" xfId="83"/>
    <cellStyle name="Note" xfId="142" builtinId="10"/>
    <cellStyle name="Note 2" xfId="84"/>
    <cellStyle name="Output Amounts" xfId="85"/>
    <cellStyle name="Output Column Headings" xfId="86"/>
    <cellStyle name="Output Line Items" xfId="87"/>
    <cellStyle name="Output Report Heading" xfId="88"/>
    <cellStyle name="Output Report Title" xfId="89"/>
    <cellStyle name="Percent" xfId="90" builtinId="5"/>
    <cellStyle name="Percent 2" xfId="91"/>
    <cellStyle name="Percent 3" xfId="92"/>
    <cellStyle name="Percent 4" xfId="93"/>
    <cellStyle name="ReportTitlePrompt" xfId="94"/>
    <cellStyle name="ReportTitleValue" xfId="95"/>
    <cellStyle name="RowAcctAbovePrompt" xfId="96"/>
    <cellStyle name="RowAcctSOBAbovePrompt" xfId="97"/>
    <cellStyle name="RowAcctSOBValue" xfId="98"/>
    <cellStyle name="RowAcctValue" xfId="99"/>
    <cellStyle name="RowAttrAbovePrompt" xfId="100"/>
    <cellStyle name="RowAttrValue" xfId="101"/>
    <cellStyle name="RowColSetAbovePrompt" xfId="102"/>
    <cellStyle name="RowColSetLeftPrompt" xfId="103"/>
    <cellStyle name="RowColSetValue" xfId="104"/>
    <cellStyle name="RowLeftPrompt" xfId="105"/>
    <cellStyle name="SampleUsingFormatMask" xfId="106"/>
    <cellStyle name="SampleWithNoFormatMask" xfId="107"/>
    <cellStyle name="SAPBEXHLevel1" xfId="108"/>
    <cellStyle name="SAPBEXstdData" xfId="109"/>
    <cellStyle name="SingleLineAcctgn" xfId="110"/>
    <cellStyle name="SingleLinePercent" xfId="111"/>
    <cellStyle name="Standard_Erfassungsblatt97_4_04" xfId="112"/>
    <cellStyle name="Strukt" xfId="113"/>
    <cellStyle name="TextNormal" xfId="114"/>
    <cellStyle name="Tusental_Investor_Report5_Srm2_030317" xfId="115"/>
    <cellStyle name="UploadThisRowValue" xfId="116"/>
    <cellStyle name="Акцент1" xfId="117"/>
    <cellStyle name="Акцент2" xfId="118"/>
    <cellStyle name="Акцент3" xfId="119"/>
    <cellStyle name="Акцент4" xfId="120"/>
    <cellStyle name="Акцент5" xfId="121"/>
    <cellStyle name="Акцент6" xfId="122"/>
    <cellStyle name="Ввод " xfId="123"/>
    <cellStyle name="Вывод" xfId="124"/>
    <cellStyle name="Вычисление" xfId="125"/>
    <cellStyle name="Заголовок 1" xfId="126"/>
    <cellStyle name="Заголовок 2" xfId="127"/>
    <cellStyle name="Заголовок 3" xfId="128"/>
    <cellStyle name="Заголовок 4" xfId="129"/>
    <cellStyle name="Итог" xfId="130"/>
    <cellStyle name="Контрольная ячейка" xfId="131"/>
    <cellStyle name="Название" xfId="132"/>
    <cellStyle name="Нейтральный" xfId="133"/>
    <cellStyle name="Обычный_597554" xfId="134"/>
    <cellStyle name="Плохой" xfId="135"/>
    <cellStyle name="Пояснение" xfId="136"/>
    <cellStyle name="Примечание" xfId="137"/>
    <cellStyle name="Связанная ячейка" xfId="138"/>
    <cellStyle name="Текст предупреждения" xfId="139"/>
    <cellStyle name="Хороший" xfId="140"/>
    <cellStyle name="一般_AR(updated on 1.5.06)" xfId="141"/>
  </cellStyles>
  <dxfs count="20">
    <dxf>
      <numFmt numFmtId="30" formatCode="@"/>
      <fill>
        <patternFill>
          <bgColor rgb="FFFF0000"/>
        </patternFill>
      </fill>
    </dxf>
    <dxf>
      <fill>
        <patternFill>
          <bgColor rgb="FFFF0000"/>
        </patternFill>
      </fill>
    </dxf>
    <dxf>
      <fill>
        <patternFill>
          <bgColor rgb="FFFF0000"/>
        </patternFill>
      </fill>
    </dxf>
    <dxf>
      <font>
        <color theme="1"/>
      </font>
      <fill>
        <patternFill>
          <bgColor rgb="FFFF0000"/>
        </patternFill>
      </fill>
    </dxf>
    <dxf>
      <fill>
        <patternFill>
          <bgColor rgb="FFFF0000"/>
        </patternFill>
      </fill>
    </dxf>
    <dxf>
      <font>
        <color theme="1"/>
      </font>
      <fill>
        <patternFill>
          <bgColor rgb="FFFF0000"/>
        </patternFill>
      </fill>
    </dxf>
    <dxf>
      <fill>
        <patternFill>
          <bgColor rgb="FFFF0000"/>
        </patternFill>
      </fill>
    </dxf>
    <dxf>
      <numFmt numFmtId="30" formatCode="@"/>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theme="1"/>
      </font>
      <fill>
        <patternFill>
          <bgColor rgb="FFFF0000"/>
        </patternFill>
      </fill>
    </dxf>
    <dxf>
      <fill>
        <patternFill>
          <bgColor rgb="FFFF0000"/>
        </patternFill>
      </fill>
    </dxf>
    <dxf>
      <font>
        <color theme="1"/>
      </font>
      <fill>
        <patternFill>
          <bgColor rgb="FFFF0000"/>
        </patternFill>
      </fill>
    </dxf>
    <dxf>
      <fill>
        <patternFill>
          <bgColor rgb="FFFF0000"/>
        </patternFill>
      </fill>
    </dxf>
    <dxf>
      <fill>
        <patternFill>
          <bgColor rgb="FFFF0000"/>
        </patternFill>
      </fill>
    </dxf>
    <dxf>
      <font>
        <color theme="1"/>
      </font>
      <fill>
        <patternFill>
          <bgColor rgb="FFFF0000"/>
        </patternFill>
      </fill>
    </dxf>
    <dxf>
      <font>
        <b/>
        <i val="0"/>
        <color rgb="FFFF0000"/>
      </font>
    </dxf>
    <dxf>
      <font>
        <b/>
        <i val="0"/>
        <color rgb="FFFF0000"/>
      </font>
    </dxf>
  </dxfs>
  <tableStyles count="0" defaultTableStyle="TableStyleMedium9" defaultPivotStyle="PivotStyleLight16"/>
  <colors>
    <mruColors>
      <color rgb="FFFFCC00"/>
      <color rgb="FF8C8C8C"/>
      <color rgb="FFDADA1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externalLink" Target="externalLinks/externalLink6.xml"/><Relationship Id="rId47"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externalLink" Target="externalLinks/externalLink1.xml"/><Relationship Id="rId40" Type="http://schemas.openxmlformats.org/officeDocument/2006/relationships/externalLink" Target="externalLinks/externalLink4.xml"/><Relationship Id="rId45" Type="http://schemas.openxmlformats.org/officeDocument/2006/relationships/externalLink" Target="externalLinks/externalLink9.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externalLink" Target="externalLinks/externalLink8.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externalLink" Target="externalLinks/externalLink7.xml"/><Relationship Id="rId48"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2.xml"/><Relationship Id="rId46" Type="http://schemas.openxmlformats.org/officeDocument/2006/relationships/theme" Target="theme/theme1.xml"/><Relationship Id="rId20" Type="http://schemas.openxmlformats.org/officeDocument/2006/relationships/worksheet" Target="worksheets/sheet20.xml"/><Relationship Id="rId41" Type="http://schemas.openxmlformats.org/officeDocument/2006/relationships/externalLink" Target="externalLinks/externalLink5.xml"/><Relationship Id="rId1" Type="http://schemas.openxmlformats.org/officeDocument/2006/relationships/worksheet" Target="worksheets/sheet1.xml"/><Relationship Id="rId6" Type="http://schemas.openxmlformats.org/officeDocument/2006/relationships/worksheet" Target="worksheets/sheet6.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Times New Roman"/>
                <a:ea typeface="Times New Roman"/>
                <a:cs typeface="Times New Roman"/>
              </a:defRPr>
            </a:pPr>
            <a:r>
              <a:rPr lang="lv-LV"/>
              <a:t>Tautsaimniecībai nodarīto zaudējumu novērtējums (miljonos Ls)</a:t>
            </a:r>
          </a:p>
        </c:rich>
      </c:tx>
      <c:layout>
        <c:manualLayout>
          <c:xMode val="edge"/>
          <c:yMode val="edge"/>
          <c:x val="9.0573022777747245E-2"/>
          <c:y val="1.9607843137254902E-2"/>
        </c:manualLayout>
      </c:layout>
      <c:overlay val="0"/>
      <c:spPr>
        <a:noFill/>
        <a:ln w="25400">
          <a:noFill/>
        </a:ln>
      </c:spPr>
    </c:title>
    <c:autoTitleDeleted val="0"/>
    <c:plotArea>
      <c:layout>
        <c:manualLayout>
          <c:layoutTarget val="inner"/>
          <c:xMode val="edge"/>
          <c:yMode val="edge"/>
          <c:x val="2.6106491933263587E-2"/>
          <c:y val="0.12745166658089321"/>
          <c:w val="0.94801644549675956"/>
          <c:h val="0.72876022850084965"/>
        </c:manualLayout>
      </c:layout>
      <c:barChart>
        <c:barDir val="col"/>
        <c:grouping val="clustered"/>
        <c:varyColors val="0"/>
        <c:ser>
          <c:idx val="0"/>
          <c:order val="0"/>
          <c:tx>
            <c:v>kop. zaud. (Ls)</c:v>
          </c:tx>
          <c:spPr>
            <a:solidFill>
              <a:srgbClr val="008000"/>
            </a:solidFill>
            <a:ln w="12700">
              <a:solidFill>
                <a:srgbClr val="000000"/>
              </a:solidFill>
              <a:prstDash val="solid"/>
            </a:ln>
          </c:spPr>
          <c:invertIfNegative val="0"/>
          <c:dLbls>
            <c:spPr>
              <a:noFill/>
              <a:ln w="25400">
                <a:noFill/>
              </a:ln>
            </c:spPr>
            <c:txPr>
              <a:bodyPr rot="-5400000" vert="horz"/>
              <a:lstStyle/>
              <a:p>
                <a:pPr algn="ctr">
                  <a:defRPr sz="800" b="1" i="0" u="none" strike="noStrike" baseline="0">
                    <a:solidFill>
                      <a:srgbClr val="000000"/>
                    </a:solidFill>
                    <a:latin typeface="Times New Roman"/>
                    <a:ea typeface="Times New Roman"/>
                    <a:cs typeface="Times New Roman"/>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19"/>
              <c:pt idx="0">
                <c:v>1993</c:v>
              </c:pt>
              <c:pt idx="1">
                <c:v>1994</c:v>
              </c:pt>
              <c:pt idx="2">
                <c:v>1995</c:v>
              </c:pt>
              <c:pt idx="3">
                <c:v>1996</c:v>
              </c:pt>
              <c:pt idx="4">
                <c:v>1997</c:v>
              </c:pt>
              <c:pt idx="5">
                <c:v>1998</c:v>
              </c:pt>
              <c:pt idx="6">
                <c:v>1999</c:v>
              </c:pt>
              <c:pt idx="7">
                <c:v>2000</c:v>
              </c:pt>
              <c:pt idx="8">
                <c:v>2001</c:v>
              </c:pt>
              <c:pt idx="9">
                <c:v>2002</c:v>
              </c:pt>
              <c:pt idx="10">
                <c:v>2003</c:v>
              </c:pt>
              <c:pt idx="11">
                <c:v>2004</c:v>
              </c:pt>
              <c:pt idx="12">
                <c:v>2005</c:v>
              </c:pt>
              <c:pt idx="13">
                <c:v>2006</c:v>
              </c:pt>
              <c:pt idx="14">
                <c:v>2007</c:v>
              </c:pt>
              <c:pt idx="15">
                <c:v>2008</c:v>
              </c:pt>
              <c:pt idx="16">
                <c:v>2009</c:v>
              </c:pt>
              <c:pt idx="17">
                <c:v>2010</c:v>
              </c:pt>
              <c:pt idx="18">
                <c:v>2011</c:v>
              </c:pt>
            </c:numLit>
          </c:cat>
          <c:val>
            <c:numLit>
              <c:formatCode>General</c:formatCode>
              <c:ptCount val="19"/>
              <c:pt idx="0">
                <c:v>44.846114</c:v>
              </c:pt>
              <c:pt idx="1">
                <c:v>65.997541999999996</c:v>
              </c:pt>
              <c:pt idx="2">
                <c:v>73.262726000000001</c:v>
              </c:pt>
              <c:pt idx="3">
                <c:v>79.771125000000026</c:v>
              </c:pt>
              <c:pt idx="4">
                <c:v>94.436290999999997</c:v>
              </c:pt>
              <c:pt idx="5">
                <c:v>136.71492499999908</c:v>
              </c:pt>
              <c:pt idx="6">
                <c:v>152.4</c:v>
              </c:pt>
              <c:pt idx="7">
                <c:v>157.9</c:v>
              </c:pt>
              <c:pt idx="8">
                <c:v>190.6</c:v>
              </c:pt>
              <c:pt idx="9">
                <c:v>207</c:v>
              </c:pt>
              <c:pt idx="10">
                <c:v>211.3</c:v>
              </c:pt>
              <c:pt idx="11">
                <c:v>220.8</c:v>
              </c:pt>
              <c:pt idx="12">
                <c:v>210.4</c:v>
              </c:pt>
              <c:pt idx="13">
                <c:v>217.1</c:v>
              </c:pt>
              <c:pt idx="14">
                <c:v>263.60000000000002</c:v>
              </c:pt>
              <c:pt idx="15">
                <c:v>256.35804211854202</c:v>
              </c:pt>
              <c:pt idx="16">
                <c:v>175.74396094668498</c:v>
              </c:pt>
              <c:pt idx="17">
                <c:v>175.35919051249135</c:v>
              </c:pt>
              <c:pt idx="18">
                <c:v>165.27409078791098</c:v>
              </c:pt>
            </c:numLit>
          </c:val>
        </c:ser>
        <c:dLbls>
          <c:showLegendKey val="0"/>
          <c:showVal val="0"/>
          <c:showCatName val="0"/>
          <c:showSerName val="0"/>
          <c:showPercent val="0"/>
          <c:showBubbleSize val="0"/>
        </c:dLbls>
        <c:gapWidth val="150"/>
        <c:axId val="-649575888"/>
        <c:axId val="-649573168"/>
      </c:barChart>
      <c:catAx>
        <c:axId val="-649575888"/>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1000" b="1" i="0" u="none" strike="noStrike" baseline="0">
                <a:solidFill>
                  <a:srgbClr val="000000"/>
                </a:solidFill>
                <a:latin typeface="Times New Roman"/>
                <a:ea typeface="Times New Roman"/>
                <a:cs typeface="Times New Roman"/>
              </a:defRPr>
            </a:pPr>
            <a:endParaRPr lang="en-US"/>
          </a:p>
        </c:txPr>
        <c:crossAx val="-649573168"/>
        <c:crosses val="autoZero"/>
        <c:auto val="1"/>
        <c:lblAlgn val="ctr"/>
        <c:lblOffset val="100"/>
        <c:tickLblSkip val="1"/>
        <c:tickMarkSkip val="1"/>
        <c:noMultiLvlLbl val="0"/>
      </c:catAx>
      <c:valAx>
        <c:axId val="-649573168"/>
        <c:scaling>
          <c:orientation val="minMax"/>
        </c:scaling>
        <c:delete val="1"/>
        <c:axPos val="l"/>
        <c:numFmt formatCode="General" sourceLinked="1"/>
        <c:majorTickMark val="out"/>
        <c:minorTickMark val="none"/>
        <c:tickLblPos val="none"/>
        <c:crossAx val="-649575888"/>
        <c:crosses val="autoZero"/>
        <c:crossBetween val="between"/>
      </c:valAx>
      <c:spPr>
        <a:noFill/>
        <a:ln w="25400">
          <a:noFill/>
        </a:ln>
      </c:spPr>
    </c:plotArea>
    <c:plotVisOnly val="1"/>
    <c:dispBlanksAs val="gap"/>
    <c:showDLblsOverMax val="0"/>
  </c:chart>
  <c:spPr>
    <a:gradFill rotWithShape="0">
      <a:gsLst>
        <a:gs pos="0">
          <a:srgbClr val="1A0000"/>
        </a:gs>
        <a:gs pos="100000">
          <a:srgbClr val="1A0000">
            <a:gamma/>
            <a:tint val="0"/>
            <a:invGamma/>
          </a:srgbClr>
        </a:gs>
      </a:gsLst>
      <a:lin ang="5400000" scaled="1"/>
    </a:gradFill>
    <a:ln w="3175">
      <a:solidFill>
        <a:srgbClr val="000000"/>
      </a:solidFill>
      <a:prstDash val="solid"/>
    </a:ln>
  </c:spPr>
  <c:txPr>
    <a:bodyPr/>
    <a:lstStyle/>
    <a:p>
      <a:pPr>
        <a:defRPr sz="1200"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0411" r="0.75000000000000411"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6318907293224995E-2"/>
          <c:y val="0.11906597369379818"/>
          <c:w val="0.88929001203370028"/>
          <c:h val="0.70129870129870164"/>
        </c:manualLayout>
      </c:layout>
      <c:barChart>
        <c:barDir val="col"/>
        <c:grouping val="clustered"/>
        <c:varyColors val="0"/>
        <c:ser>
          <c:idx val="0"/>
          <c:order val="0"/>
          <c:invertIfNegative val="0"/>
          <c:cat>
            <c:strLit>
              <c:ptCount val="33"/>
              <c:pt idx="0">
                <c:v>Rīga Pasažieru koriģētais</c:v>
              </c:pt>
              <c:pt idx="2">
                <c:v>Torņakalns koriģētais</c:v>
              </c:pt>
              <c:pt idx="4">
                <c:v>Atgāzene</c:v>
              </c:pt>
              <c:pt idx="6">
                <c:v>BA  Turība</c:v>
              </c:pt>
              <c:pt idx="8">
                <c:v>Tīraine</c:v>
              </c:pt>
              <c:pt idx="10">
                <c:v>Baloži</c:v>
              </c:pt>
              <c:pt idx="12">
                <c:v>Jaunolaine</c:v>
              </c:pt>
              <c:pt idx="14">
                <c:v>Olaine</c:v>
              </c:pt>
              <c:pt idx="16">
                <c:v>Dalbe</c:v>
              </c:pt>
              <c:pt idx="18">
                <c:v>Cena</c:v>
              </c:pt>
              <c:pt idx="20">
                <c:v>Ozolnieki</c:v>
              </c:pt>
              <c:pt idx="22">
                <c:v>Cukurfabrika</c:v>
              </c:pt>
              <c:pt idx="24">
                <c:v>Jelgava</c:v>
              </c:pt>
              <c:pt idx="26">
                <c:v>Dobele</c:v>
              </c:pt>
              <c:pt idx="28">
                <c:v>Saldus</c:v>
              </c:pt>
              <c:pt idx="30">
                <c:v>Skrunda</c:v>
              </c:pt>
              <c:pt idx="32">
                <c:v>Liepāja Pasažieru</c:v>
              </c:pt>
            </c:strLit>
          </c:cat>
          <c:val>
            <c:numLit>
              <c:formatCode>General</c:formatCode>
              <c:ptCount val="33"/>
              <c:pt idx="1">
                <c:v>890592.96820048545</c:v>
              </c:pt>
              <c:pt idx="3">
                <c:v>860840.73903698148</c:v>
              </c:pt>
              <c:pt idx="5">
                <c:v>840308.10878601403</c:v>
              </c:pt>
              <c:pt idx="7">
                <c:v>790702.46527175768</c:v>
              </c:pt>
              <c:pt idx="9">
                <c:v>749801.95286589954</c:v>
              </c:pt>
              <c:pt idx="11">
                <c:v>726582.65522971051</c:v>
              </c:pt>
              <c:pt idx="13">
                <c:v>683804.14458100928</c:v>
              </c:pt>
              <c:pt idx="15">
                <c:v>490275.82405286236</c:v>
              </c:pt>
              <c:pt idx="17">
                <c:v>471279.55408845562</c:v>
              </c:pt>
              <c:pt idx="19">
                <c:v>461726.64248396538</c:v>
              </c:pt>
              <c:pt idx="21">
                <c:v>413253.59948396747</c:v>
              </c:pt>
              <c:pt idx="23">
                <c:v>309290.54287692014</c:v>
              </c:pt>
              <c:pt idx="25">
                <c:v>2963.5589136211656</c:v>
              </c:pt>
              <c:pt idx="27">
                <c:v>2484.4849810096334</c:v>
              </c:pt>
              <c:pt idx="29">
                <c:v>2315.7684302352004</c:v>
              </c:pt>
              <c:pt idx="31">
                <c:v>2085.4677432388062</c:v>
              </c:pt>
            </c:numLit>
          </c:val>
        </c:ser>
        <c:dLbls>
          <c:showLegendKey val="0"/>
          <c:showVal val="0"/>
          <c:showCatName val="0"/>
          <c:showSerName val="0"/>
          <c:showPercent val="0"/>
          <c:showBubbleSize val="0"/>
        </c:dLbls>
        <c:gapWidth val="0"/>
        <c:axId val="-649563920"/>
        <c:axId val="-649576432"/>
      </c:barChart>
      <c:catAx>
        <c:axId val="-649563920"/>
        <c:scaling>
          <c:orientation val="minMax"/>
        </c:scaling>
        <c:delete val="0"/>
        <c:axPos val="b"/>
        <c:title>
          <c:tx>
            <c:rich>
              <a:bodyPr/>
              <a:lstStyle/>
              <a:p>
                <a:pPr>
                  <a:defRPr sz="1200" b="1" i="0" u="none" strike="noStrike" baseline="0">
                    <a:solidFill>
                      <a:srgbClr val="000000"/>
                    </a:solidFill>
                    <a:latin typeface="Calibri"/>
                    <a:ea typeface="Calibri"/>
                    <a:cs typeface="Calibri"/>
                  </a:defRPr>
                </a:pPr>
                <a:r>
                  <a:rPr lang="lv-LV"/>
                  <a:t>Stacijas</a:t>
                </a:r>
              </a:p>
            </c:rich>
          </c:tx>
          <c:overlay val="0"/>
        </c:title>
        <c:numFmt formatCode="General" sourceLinked="1"/>
        <c:majorTickMark val="in"/>
        <c:minorTickMark val="none"/>
        <c:tickLblPos val="nextTo"/>
        <c:txPr>
          <a:bodyPr rot="-2700000" vert="horz"/>
          <a:lstStyle/>
          <a:p>
            <a:pPr>
              <a:defRPr sz="1000" b="0" i="0" u="none" strike="noStrike" baseline="0">
                <a:solidFill>
                  <a:srgbClr val="000000"/>
                </a:solidFill>
                <a:latin typeface="Calibri"/>
                <a:ea typeface="Calibri"/>
                <a:cs typeface="Calibri"/>
              </a:defRPr>
            </a:pPr>
            <a:endParaRPr lang="en-US"/>
          </a:p>
        </c:txPr>
        <c:crossAx val="-649576432"/>
        <c:crosses val="autoZero"/>
        <c:auto val="1"/>
        <c:lblAlgn val="ctr"/>
        <c:lblOffset val="100"/>
        <c:noMultiLvlLbl val="0"/>
      </c:catAx>
      <c:valAx>
        <c:axId val="-649576432"/>
        <c:scaling>
          <c:orientation val="minMax"/>
        </c:scaling>
        <c:delete val="0"/>
        <c:axPos val="l"/>
        <c:majorGridlines/>
        <c:title>
          <c:tx>
            <c:rich>
              <a:bodyPr/>
              <a:lstStyle/>
              <a:p>
                <a:pPr>
                  <a:defRPr sz="1200" b="1" i="0" u="none" strike="noStrike" baseline="0">
                    <a:solidFill>
                      <a:srgbClr val="000000"/>
                    </a:solidFill>
                    <a:latin typeface="Calibri"/>
                    <a:ea typeface="Calibri"/>
                    <a:cs typeface="Calibri"/>
                  </a:defRPr>
                </a:pPr>
                <a:r>
                  <a:rPr lang="lv-LV"/>
                  <a:t>Pasažieru plūsma (skaits)  gadā</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649563920"/>
        <c:crosses val="autoZero"/>
        <c:crossBetween val="midCat"/>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444" l="0.70000000000000062" r="0.70000000000000062" t="0.75000000000000444"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6318907293224995E-2"/>
          <c:y val="0.11906597369379818"/>
          <c:w val="0.88929001203370051"/>
          <c:h val="0.70129870129870164"/>
        </c:manualLayout>
      </c:layout>
      <c:barChart>
        <c:barDir val="col"/>
        <c:grouping val="stacked"/>
        <c:varyColors val="0"/>
        <c:ser>
          <c:idx val="0"/>
          <c:order val="0"/>
          <c:invertIfNegative val="0"/>
          <c:cat>
            <c:strLit>
              <c:ptCount val="33"/>
              <c:pt idx="0">
                <c:v>Rīga Pasažieru koriģētais</c:v>
              </c:pt>
              <c:pt idx="2">
                <c:v>Torņakalns koriģētais</c:v>
              </c:pt>
              <c:pt idx="4">
                <c:v>Atgāzene</c:v>
              </c:pt>
              <c:pt idx="6">
                <c:v>BA  Turība</c:v>
              </c:pt>
              <c:pt idx="8">
                <c:v>Tīraine</c:v>
              </c:pt>
              <c:pt idx="10">
                <c:v>Baloži</c:v>
              </c:pt>
              <c:pt idx="12">
                <c:v>Jaunolaine</c:v>
              </c:pt>
              <c:pt idx="14">
                <c:v>Olaine</c:v>
              </c:pt>
              <c:pt idx="16">
                <c:v>Dalbe</c:v>
              </c:pt>
              <c:pt idx="18">
                <c:v>Cena</c:v>
              </c:pt>
              <c:pt idx="20">
                <c:v>Ozolnieki</c:v>
              </c:pt>
              <c:pt idx="22">
                <c:v>Cukurfabrika</c:v>
              </c:pt>
              <c:pt idx="24">
                <c:v>Jelgava</c:v>
              </c:pt>
              <c:pt idx="26">
                <c:v>Dobele</c:v>
              </c:pt>
              <c:pt idx="28">
                <c:v>Saldus</c:v>
              </c:pt>
              <c:pt idx="30">
                <c:v>Skrunda</c:v>
              </c:pt>
              <c:pt idx="32">
                <c:v>Liepāja Pasažieru</c:v>
              </c:pt>
            </c:strLit>
          </c:cat>
          <c:val>
            <c:numLit>
              <c:formatCode>General</c:formatCode>
              <c:ptCount val="33"/>
              <c:pt idx="1">
                <c:v>890592.96820048545</c:v>
              </c:pt>
              <c:pt idx="3">
                <c:v>860840.73903698148</c:v>
              </c:pt>
              <c:pt idx="5">
                <c:v>840308.10878601403</c:v>
              </c:pt>
              <c:pt idx="7">
                <c:v>790702.46527175768</c:v>
              </c:pt>
              <c:pt idx="9">
                <c:v>749801.95286589954</c:v>
              </c:pt>
              <c:pt idx="11">
                <c:v>726582.65522971051</c:v>
              </c:pt>
              <c:pt idx="13">
                <c:v>683804.14458100928</c:v>
              </c:pt>
              <c:pt idx="15">
                <c:v>490275.82405286236</c:v>
              </c:pt>
              <c:pt idx="17">
                <c:v>471279.55408845562</c:v>
              </c:pt>
              <c:pt idx="19">
                <c:v>461726.64248396538</c:v>
              </c:pt>
              <c:pt idx="21">
                <c:v>413253.59948396747</c:v>
              </c:pt>
              <c:pt idx="23">
                <c:v>309290.54287692014</c:v>
              </c:pt>
              <c:pt idx="25">
                <c:v>2963.5589136211656</c:v>
              </c:pt>
              <c:pt idx="27">
                <c:v>2484.4849810096334</c:v>
              </c:pt>
              <c:pt idx="29">
                <c:v>2315.7684302352004</c:v>
              </c:pt>
              <c:pt idx="31">
                <c:v>2085.4677432388062</c:v>
              </c:pt>
            </c:numLit>
          </c:val>
        </c:ser>
        <c:ser>
          <c:idx val="1"/>
          <c:order val="1"/>
          <c:invertIfNegative val="0"/>
          <c:cat>
            <c:strLit>
              <c:ptCount val="33"/>
              <c:pt idx="0">
                <c:v>Rīga Pasažieru koriģētais</c:v>
              </c:pt>
              <c:pt idx="2">
                <c:v>Torņakalns koriģētais</c:v>
              </c:pt>
              <c:pt idx="4">
                <c:v>Atgāzene</c:v>
              </c:pt>
              <c:pt idx="6">
                <c:v>BA  Turība</c:v>
              </c:pt>
              <c:pt idx="8">
                <c:v>Tīraine</c:v>
              </c:pt>
              <c:pt idx="10">
                <c:v>Baloži</c:v>
              </c:pt>
              <c:pt idx="12">
                <c:v>Jaunolaine</c:v>
              </c:pt>
              <c:pt idx="14">
                <c:v>Olaine</c:v>
              </c:pt>
              <c:pt idx="16">
                <c:v>Dalbe</c:v>
              </c:pt>
              <c:pt idx="18">
                <c:v>Cena</c:v>
              </c:pt>
              <c:pt idx="20">
                <c:v>Ozolnieki</c:v>
              </c:pt>
              <c:pt idx="22">
                <c:v>Cukurfabrika</c:v>
              </c:pt>
              <c:pt idx="24">
                <c:v>Jelgava</c:v>
              </c:pt>
              <c:pt idx="26">
                <c:v>Dobele</c:v>
              </c:pt>
              <c:pt idx="28">
                <c:v>Saldus</c:v>
              </c:pt>
              <c:pt idx="30">
                <c:v>Skrunda</c:v>
              </c:pt>
              <c:pt idx="32">
                <c:v>Liepāja Pasažieru</c:v>
              </c:pt>
            </c:strLit>
          </c:cat>
          <c:val>
            <c:numLit>
              <c:formatCode>General</c:formatCode>
              <c:ptCount val="33"/>
              <c:pt idx="3">
                <c:v>20532.630250967548</c:v>
              </c:pt>
              <c:pt idx="5">
                <c:v>49605.643514256211</c:v>
              </c:pt>
              <c:pt idx="7">
                <c:v>40900.512405858193</c:v>
              </c:pt>
              <c:pt idx="9">
                <c:v>23219.297636188956</c:v>
              </c:pt>
              <c:pt idx="11">
                <c:v>42778.510648700889</c:v>
              </c:pt>
              <c:pt idx="13">
                <c:v>193528.32052814722</c:v>
              </c:pt>
              <c:pt idx="15">
                <c:v>18996.269964406893</c:v>
              </c:pt>
              <c:pt idx="17">
                <c:v>9552.911604489982</c:v>
              </c:pt>
              <c:pt idx="19">
                <c:v>48473.043000002377</c:v>
              </c:pt>
              <c:pt idx="21">
                <c:v>103963.05660704237</c:v>
              </c:pt>
              <c:pt idx="23">
                <c:v>306326.98396329896</c:v>
              </c:pt>
              <c:pt idx="25">
                <c:v>479.07393261151395</c:v>
              </c:pt>
              <c:pt idx="27">
                <c:v>168.71655077444902</c:v>
              </c:pt>
              <c:pt idx="29">
                <c:v>230.30068699639745</c:v>
              </c:pt>
              <c:pt idx="31">
                <c:v>2085.4677432388062</c:v>
              </c:pt>
            </c:numLit>
          </c:val>
        </c:ser>
        <c:dLbls>
          <c:showLegendKey val="0"/>
          <c:showVal val="0"/>
          <c:showCatName val="0"/>
          <c:showSerName val="0"/>
          <c:showPercent val="0"/>
          <c:showBubbleSize val="0"/>
        </c:dLbls>
        <c:gapWidth val="0"/>
        <c:overlap val="100"/>
        <c:axId val="-569179584"/>
        <c:axId val="-569181216"/>
      </c:barChart>
      <c:catAx>
        <c:axId val="-569179584"/>
        <c:scaling>
          <c:orientation val="minMax"/>
        </c:scaling>
        <c:delete val="0"/>
        <c:axPos val="b"/>
        <c:title>
          <c:tx>
            <c:rich>
              <a:bodyPr/>
              <a:lstStyle/>
              <a:p>
                <a:pPr>
                  <a:defRPr sz="1200" b="1" i="0" u="none" strike="noStrike" baseline="0">
                    <a:solidFill>
                      <a:srgbClr val="000000"/>
                    </a:solidFill>
                    <a:latin typeface="Calibri"/>
                    <a:ea typeface="Calibri"/>
                    <a:cs typeface="Calibri"/>
                  </a:defRPr>
                </a:pPr>
                <a:r>
                  <a:rPr lang="lv-LV"/>
                  <a:t>Stacijas</a:t>
                </a:r>
              </a:p>
            </c:rich>
          </c:tx>
          <c:overlay val="0"/>
        </c:title>
        <c:numFmt formatCode="General" sourceLinked="1"/>
        <c:majorTickMark val="in"/>
        <c:minorTickMark val="none"/>
        <c:tickLblPos val="nextTo"/>
        <c:txPr>
          <a:bodyPr rot="-2700000" vert="horz"/>
          <a:lstStyle/>
          <a:p>
            <a:pPr>
              <a:defRPr sz="1000" b="0" i="0" u="none" strike="noStrike" baseline="0">
                <a:solidFill>
                  <a:srgbClr val="000000"/>
                </a:solidFill>
                <a:latin typeface="Calibri"/>
                <a:ea typeface="Calibri"/>
                <a:cs typeface="Calibri"/>
              </a:defRPr>
            </a:pPr>
            <a:endParaRPr lang="en-US"/>
          </a:p>
        </c:txPr>
        <c:crossAx val="-569181216"/>
        <c:crosses val="autoZero"/>
        <c:auto val="1"/>
        <c:lblAlgn val="ctr"/>
        <c:lblOffset val="100"/>
        <c:noMultiLvlLbl val="0"/>
      </c:catAx>
      <c:valAx>
        <c:axId val="-569181216"/>
        <c:scaling>
          <c:orientation val="minMax"/>
        </c:scaling>
        <c:delete val="0"/>
        <c:axPos val="l"/>
        <c:majorGridlines/>
        <c:title>
          <c:tx>
            <c:rich>
              <a:bodyPr/>
              <a:lstStyle/>
              <a:p>
                <a:pPr>
                  <a:defRPr sz="1200" b="1" i="0" u="none" strike="noStrike" baseline="0">
                    <a:solidFill>
                      <a:srgbClr val="000000"/>
                    </a:solidFill>
                    <a:latin typeface="Calibri"/>
                    <a:ea typeface="Calibri"/>
                    <a:cs typeface="Calibri"/>
                  </a:defRPr>
                </a:pPr>
                <a:r>
                  <a:rPr lang="lv-LV"/>
                  <a:t>Pasažieru plūsma (skaits)  gadā</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569179584"/>
        <c:crosses val="autoZero"/>
        <c:crossBetween val="midCat"/>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455" l="0.70000000000000062" r="0.70000000000000062" t="0.75000000000000455"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6318907293224995E-2"/>
          <c:y val="0.11906597369379818"/>
          <c:w val="0.88929001203370073"/>
          <c:h val="0.70129870129870164"/>
        </c:manualLayout>
      </c:layout>
      <c:barChart>
        <c:barDir val="col"/>
        <c:grouping val="stacked"/>
        <c:varyColors val="0"/>
        <c:ser>
          <c:idx val="0"/>
          <c:order val="0"/>
          <c:invertIfNegative val="0"/>
          <c:cat>
            <c:strLit>
              <c:ptCount val="33"/>
              <c:pt idx="0">
                <c:v>Rīga Pasažieru koriģētais</c:v>
              </c:pt>
              <c:pt idx="2">
                <c:v>Torņakalns koriģētais</c:v>
              </c:pt>
              <c:pt idx="4">
                <c:v>Atgāzene</c:v>
              </c:pt>
              <c:pt idx="6">
                <c:v>BA  Turība</c:v>
              </c:pt>
              <c:pt idx="8">
                <c:v>Tīraine</c:v>
              </c:pt>
              <c:pt idx="10">
                <c:v>Baloži</c:v>
              </c:pt>
              <c:pt idx="12">
                <c:v>Jaunolaine</c:v>
              </c:pt>
              <c:pt idx="14">
                <c:v>Olaine</c:v>
              </c:pt>
              <c:pt idx="16">
                <c:v>Dalbe</c:v>
              </c:pt>
              <c:pt idx="18">
                <c:v>Cena</c:v>
              </c:pt>
              <c:pt idx="20">
                <c:v>Ozolnieki</c:v>
              </c:pt>
              <c:pt idx="22">
                <c:v>Cukurfabrika</c:v>
              </c:pt>
              <c:pt idx="24">
                <c:v>Jelgava</c:v>
              </c:pt>
              <c:pt idx="26">
                <c:v>Dobele</c:v>
              </c:pt>
              <c:pt idx="28">
                <c:v>Saldus</c:v>
              </c:pt>
              <c:pt idx="30">
                <c:v>Skrunda</c:v>
              </c:pt>
              <c:pt idx="32">
                <c:v>Liepāja Pasažieru</c:v>
              </c:pt>
            </c:strLit>
          </c:cat>
          <c:val>
            <c:numLit>
              <c:formatCode>General</c:formatCode>
              <c:ptCount val="33"/>
              <c:pt idx="1">
                <c:v>890592.96820048545</c:v>
              </c:pt>
              <c:pt idx="3">
                <c:v>860840.73903698148</c:v>
              </c:pt>
              <c:pt idx="5">
                <c:v>840308.10878601403</c:v>
              </c:pt>
              <c:pt idx="7">
                <c:v>790702.46527175768</c:v>
              </c:pt>
              <c:pt idx="9">
                <c:v>749801.95286589954</c:v>
              </c:pt>
              <c:pt idx="11">
                <c:v>726582.65522971051</c:v>
              </c:pt>
              <c:pt idx="13">
                <c:v>683804.14458100928</c:v>
              </c:pt>
              <c:pt idx="15">
                <c:v>490275.82405286236</c:v>
              </c:pt>
              <c:pt idx="17">
                <c:v>471279.55408845562</c:v>
              </c:pt>
              <c:pt idx="19">
                <c:v>461726.64248396538</c:v>
              </c:pt>
              <c:pt idx="21">
                <c:v>413253.59948396747</c:v>
              </c:pt>
              <c:pt idx="23">
                <c:v>309290.54287692014</c:v>
              </c:pt>
              <c:pt idx="25">
                <c:v>2963.5589136211656</c:v>
              </c:pt>
              <c:pt idx="27">
                <c:v>2484.4849810096334</c:v>
              </c:pt>
              <c:pt idx="29">
                <c:v>2315.7684302352004</c:v>
              </c:pt>
              <c:pt idx="31">
                <c:v>2085.4677432388062</c:v>
              </c:pt>
            </c:numLit>
          </c:val>
        </c:ser>
        <c:ser>
          <c:idx val="1"/>
          <c:order val="1"/>
          <c:invertIfNegative val="0"/>
          <c:cat>
            <c:strLit>
              <c:ptCount val="33"/>
              <c:pt idx="0">
                <c:v>Rīga Pasažieru koriģētais</c:v>
              </c:pt>
              <c:pt idx="2">
                <c:v>Torņakalns koriģētais</c:v>
              </c:pt>
              <c:pt idx="4">
                <c:v>Atgāzene</c:v>
              </c:pt>
              <c:pt idx="6">
                <c:v>BA  Turība</c:v>
              </c:pt>
              <c:pt idx="8">
                <c:v>Tīraine</c:v>
              </c:pt>
              <c:pt idx="10">
                <c:v>Baloži</c:v>
              </c:pt>
              <c:pt idx="12">
                <c:v>Jaunolaine</c:v>
              </c:pt>
              <c:pt idx="14">
                <c:v>Olaine</c:v>
              </c:pt>
              <c:pt idx="16">
                <c:v>Dalbe</c:v>
              </c:pt>
              <c:pt idx="18">
                <c:v>Cena</c:v>
              </c:pt>
              <c:pt idx="20">
                <c:v>Ozolnieki</c:v>
              </c:pt>
              <c:pt idx="22">
                <c:v>Cukurfabrika</c:v>
              </c:pt>
              <c:pt idx="24">
                <c:v>Jelgava</c:v>
              </c:pt>
              <c:pt idx="26">
                <c:v>Dobele</c:v>
              </c:pt>
              <c:pt idx="28">
                <c:v>Saldus</c:v>
              </c:pt>
              <c:pt idx="30">
                <c:v>Skrunda</c:v>
              </c:pt>
              <c:pt idx="32">
                <c:v>Liepāja Pasažieru</c:v>
              </c:pt>
            </c:strLit>
          </c:cat>
          <c:val>
            <c:numLit>
              <c:formatCode>General</c:formatCode>
              <c:ptCount val="33"/>
              <c:pt idx="3">
                <c:v>114528.52587486328</c:v>
              </c:pt>
              <c:pt idx="5">
                <c:v>114528.52587486328</c:v>
              </c:pt>
              <c:pt idx="7">
                <c:v>114528.52587486328</c:v>
              </c:pt>
              <c:pt idx="9">
                <c:v>114528.52587486328</c:v>
              </c:pt>
              <c:pt idx="11">
                <c:v>114528.52587486328</c:v>
              </c:pt>
              <c:pt idx="13">
                <c:v>114528.52587486328</c:v>
              </c:pt>
              <c:pt idx="15">
                <c:v>114528.52587486328</c:v>
              </c:pt>
              <c:pt idx="17">
                <c:v>114528.52587486328</c:v>
              </c:pt>
              <c:pt idx="19">
                <c:v>114528.52587486328</c:v>
              </c:pt>
              <c:pt idx="21">
                <c:v>114528.52587486328</c:v>
              </c:pt>
              <c:pt idx="23">
                <c:v>114528.52587486328</c:v>
              </c:pt>
              <c:pt idx="25">
                <c:v>678.78708689397627</c:v>
              </c:pt>
              <c:pt idx="27">
                <c:v>237.72873909145159</c:v>
              </c:pt>
              <c:pt idx="29">
                <c:v>326.5293601198893</c:v>
              </c:pt>
              <c:pt idx="31">
                <c:v>2928.54296386944</c:v>
              </c:pt>
            </c:numLit>
          </c:val>
        </c:ser>
        <c:dLbls>
          <c:showLegendKey val="0"/>
          <c:showVal val="0"/>
          <c:showCatName val="0"/>
          <c:showSerName val="0"/>
          <c:showPercent val="0"/>
          <c:showBubbleSize val="0"/>
        </c:dLbls>
        <c:gapWidth val="0"/>
        <c:overlap val="100"/>
        <c:axId val="-569182848"/>
        <c:axId val="-569182304"/>
      </c:barChart>
      <c:catAx>
        <c:axId val="-569182848"/>
        <c:scaling>
          <c:orientation val="minMax"/>
        </c:scaling>
        <c:delete val="0"/>
        <c:axPos val="b"/>
        <c:title>
          <c:tx>
            <c:rich>
              <a:bodyPr/>
              <a:lstStyle/>
              <a:p>
                <a:pPr>
                  <a:defRPr sz="1200" b="1" i="0" u="none" strike="noStrike" baseline="0">
                    <a:solidFill>
                      <a:srgbClr val="000000"/>
                    </a:solidFill>
                    <a:latin typeface="Calibri"/>
                    <a:ea typeface="Calibri"/>
                    <a:cs typeface="Calibri"/>
                  </a:defRPr>
                </a:pPr>
                <a:r>
                  <a:rPr lang="lv-LV"/>
                  <a:t>Stacijas</a:t>
                </a:r>
              </a:p>
            </c:rich>
          </c:tx>
          <c:overlay val="0"/>
        </c:title>
        <c:numFmt formatCode="General" sourceLinked="1"/>
        <c:majorTickMark val="in"/>
        <c:minorTickMark val="none"/>
        <c:tickLblPos val="nextTo"/>
        <c:txPr>
          <a:bodyPr rot="-2700000" vert="horz"/>
          <a:lstStyle/>
          <a:p>
            <a:pPr>
              <a:defRPr sz="1000" b="0" i="0" u="none" strike="noStrike" baseline="0">
                <a:solidFill>
                  <a:srgbClr val="000000"/>
                </a:solidFill>
                <a:latin typeface="Calibri"/>
                <a:ea typeface="Calibri"/>
                <a:cs typeface="Calibri"/>
              </a:defRPr>
            </a:pPr>
            <a:endParaRPr lang="en-US"/>
          </a:p>
        </c:txPr>
        <c:crossAx val="-569182304"/>
        <c:crosses val="autoZero"/>
        <c:auto val="1"/>
        <c:lblAlgn val="ctr"/>
        <c:lblOffset val="100"/>
        <c:noMultiLvlLbl val="0"/>
      </c:catAx>
      <c:valAx>
        <c:axId val="-569182304"/>
        <c:scaling>
          <c:orientation val="minMax"/>
        </c:scaling>
        <c:delete val="0"/>
        <c:axPos val="l"/>
        <c:majorGridlines/>
        <c:title>
          <c:tx>
            <c:rich>
              <a:bodyPr/>
              <a:lstStyle/>
              <a:p>
                <a:pPr>
                  <a:defRPr sz="1200" b="1" i="0" u="none" strike="noStrike" baseline="0">
                    <a:solidFill>
                      <a:srgbClr val="000000"/>
                    </a:solidFill>
                    <a:latin typeface="Calibri"/>
                    <a:ea typeface="Calibri"/>
                    <a:cs typeface="Calibri"/>
                  </a:defRPr>
                </a:pPr>
                <a:r>
                  <a:rPr lang="lv-LV"/>
                  <a:t>Pasažieru plūsma (skaits)  gadā</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569182848"/>
        <c:crosses val="autoZero"/>
        <c:crossBetween val="midCat"/>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466" l="0.70000000000000062" r="0.70000000000000062" t="0.750000000000004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1"/>
          <c:order val="0"/>
          <c:invertIfNegative val="0"/>
          <c:cat>
            <c:numLit>
              <c:formatCode>General</c:formatCode>
              <c:ptCount val="19"/>
              <c:pt idx="0">
                <c:v>2012</c:v>
              </c:pt>
              <c:pt idx="1">
                <c:v>2013</c:v>
              </c:pt>
              <c:pt idx="2">
                <c:v>2014</c:v>
              </c:pt>
              <c:pt idx="3">
                <c:v>2015</c:v>
              </c:pt>
              <c:pt idx="4">
                <c:v>2016</c:v>
              </c:pt>
              <c:pt idx="5">
                <c:v>2017</c:v>
              </c:pt>
              <c:pt idx="6">
                <c:v>2018</c:v>
              </c:pt>
              <c:pt idx="7">
                <c:v>2019</c:v>
              </c:pt>
              <c:pt idx="8">
                <c:v>2020</c:v>
              </c:pt>
              <c:pt idx="9">
                <c:v>2021</c:v>
              </c:pt>
              <c:pt idx="10">
                <c:v>2022</c:v>
              </c:pt>
              <c:pt idx="11">
                <c:v>2023</c:v>
              </c:pt>
              <c:pt idx="12">
                <c:v>2024</c:v>
              </c:pt>
              <c:pt idx="13">
                <c:v>2025</c:v>
              </c:pt>
              <c:pt idx="14">
                <c:v>2026</c:v>
              </c:pt>
              <c:pt idx="15">
                <c:v>2027</c:v>
              </c:pt>
              <c:pt idx="16">
                <c:v>2028</c:v>
              </c:pt>
              <c:pt idx="17">
                <c:v>2029</c:v>
              </c:pt>
              <c:pt idx="18">
                <c:v>2030</c:v>
              </c:pt>
            </c:numLit>
          </c:cat>
          <c:val>
            <c:numLit>
              <c:formatCode>General</c:formatCode>
              <c:ptCount val="19"/>
              <c:pt idx="0">
                <c:v>53.236312998687723</c:v>
              </c:pt>
              <c:pt idx="1">
                <c:v>56.034147428333178</c:v>
              </c:pt>
              <c:pt idx="2">
                <c:v>59.441023591975998</c:v>
              </c:pt>
              <c:pt idx="3">
                <c:v>63.240493819975313</c:v>
              </c:pt>
              <c:pt idx="4">
                <c:v>65.795346529808398</c:v>
              </c:pt>
              <c:pt idx="5">
                <c:v>68.453412734266109</c:v>
              </c:pt>
              <c:pt idx="6">
                <c:v>71.218862155317723</c:v>
              </c:pt>
              <c:pt idx="7">
                <c:v>74.096032967530348</c:v>
              </c:pt>
              <c:pt idx="8">
                <c:v>77.089438603385588</c:v>
              </c:pt>
              <c:pt idx="9">
                <c:v>80.2037748335228</c:v>
              </c:pt>
              <c:pt idx="10">
                <c:v>83.443927133023308</c:v>
              </c:pt>
              <c:pt idx="11">
                <c:v>86.814978345270333</c:v>
              </c:pt>
              <c:pt idx="12">
                <c:v>90.322216655440883</c:v>
              </c:pt>
              <c:pt idx="13">
                <c:v>93.971143886104016</c:v>
              </c:pt>
              <c:pt idx="14">
                <c:v>97.76748412795871</c:v>
              </c:pt>
              <c:pt idx="15">
                <c:v>101.71719271924412</c:v>
              </c:pt>
              <c:pt idx="16">
                <c:v>105.82646558790883</c:v>
              </c:pt>
              <c:pt idx="17">
                <c:v>110.10174897119424</c:v>
              </c:pt>
              <c:pt idx="18">
                <c:v>114.54974952788201</c:v>
              </c:pt>
            </c:numLit>
          </c:val>
        </c:ser>
        <c:dLbls>
          <c:showLegendKey val="0"/>
          <c:showVal val="0"/>
          <c:showCatName val="0"/>
          <c:showSerName val="0"/>
          <c:showPercent val="0"/>
          <c:showBubbleSize val="0"/>
        </c:dLbls>
        <c:gapWidth val="150"/>
        <c:axId val="-569179040"/>
        <c:axId val="-569187744"/>
      </c:barChart>
      <c:catAx>
        <c:axId val="-569179040"/>
        <c:scaling>
          <c:orientation val="minMax"/>
        </c:scaling>
        <c:delete val="0"/>
        <c:axPos val="b"/>
        <c:title>
          <c:tx>
            <c:rich>
              <a:bodyPr/>
              <a:lstStyle/>
              <a:p>
                <a:pPr>
                  <a:defRPr sz="1000" b="1" i="0" u="none" strike="noStrike" baseline="0">
                    <a:solidFill>
                      <a:srgbClr val="000000"/>
                    </a:solidFill>
                    <a:latin typeface="Calibri"/>
                    <a:ea typeface="Calibri"/>
                    <a:cs typeface="Calibri"/>
                  </a:defRPr>
                </a:pPr>
                <a:r>
                  <a:rPr lang="lv-LV"/>
                  <a:t>Gadi
</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569187744"/>
        <c:crosses val="autoZero"/>
        <c:auto val="1"/>
        <c:lblAlgn val="ctr"/>
        <c:lblOffset val="100"/>
        <c:noMultiLvlLbl val="0"/>
      </c:catAx>
      <c:valAx>
        <c:axId val="-569187744"/>
        <c:scaling>
          <c:orientation val="minMax"/>
        </c:scaling>
        <c:delete val="0"/>
        <c:axPos val="l"/>
        <c:majorGridlines/>
        <c:title>
          <c:tx>
            <c:rich>
              <a:bodyPr/>
              <a:lstStyle/>
              <a:p>
                <a:pPr>
                  <a:defRPr sz="1000" b="1" i="0" u="none" strike="noStrike" baseline="0">
                    <a:solidFill>
                      <a:srgbClr val="000000"/>
                    </a:solidFill>
                    <a:latin typeface="Calibri"/>
                    <a:ea typeface="Calibri"/>
                    <a:cs typeface="Calibri"/>
                  </a:defRPr>
                </a:pPr>
                <a:r>
                  <a:rPr lang="lv-LV"/>
                  <a:t>Vidējais  cilvēku skaits diennaktī vilcienā</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56917904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411" l="0.70000000000000062" r="0.70000000000000062" t="0.750000000000004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6318907293224995E-2"/>
          <c:y val="0.11906597369379818"/>
          <c:w val="0.88929001203370051"/>
          <c:h val="0.70129870129870164"/>
        </c:manualLayout>
      </c:layout>
      <c:barChart>
        <c:barDir val="col"/>
        <c:grouping val="clustered"/>
        <c:varyColors val="0"/>
        <c:ser>
          <c:idx val="0"/>
          <c:order val="0"/>
          <c:invertIfNegative val="0"/>
          <c:cat>
            <c:strLit>
              <c:ptCount val="33"/>
              <c:pt idx="0">
                <c:v>Rīga Pasažieru koriģētais</c:v>
              </c:pt>
              <c:pt idx="2">
                <c:v>Torņakalns koriģētais</c:v>
              </c:pt>
              <c:pt idx="4">
                <c:v>Atgāzene</c:v>
              </c:pt>
              <c:pt idx="6">
                <c:v>BA  Turība</c:v>
              </c:pt>
              <c:pt idx="8">
                <c:v>Tīraine</c:v>
              </c:pt>
              <c:pt idx="10">
                <c:v>Baloži</c:v>
              </c:pt>
              <c:pt idx="12">
                <c:v>Jaunolaine</c:v>
              </c:pt>
              <c:pt idx="14">
                <c:v>Olaine</c:v>
              </c:pt>
              <c:pt idx="16">
                <c:v>Dalbe</c:v>
              </c:pt>
              <c:pt idx="18">
                <c:v>Cena</c:v>
              </c:pt>
              <c:pt idx="20">
                <c:v>Ozolnieki</c:v>
              </c:pt>
              <c:pt idx="22">
                <c:v>Cukurfabrika</c:v>
              </c:pt>
              <c:pt idx="24">
                <c:v>Jelgava</c:v>
              </c:pt>
              <c:pt idx="26">
                <c:v>Dobele</c:v>
              </c:pt>
              <c:pt idx="28">
                <c:v>Saldus</c:v>
              </c:pt>
              <c:pt idx="30">
                <c:v>Skrunda</c:v>
              </c:pt>
              <c:pt idx="32">
                <c:v>Liepāja Pasažieru</c:v>
              </c:pt>
            </c:strLit>
          </c:cat>
          <c:val>
            <c:numLit>
              <c:formatCode>General</c:formatCode>
              <c:ptCount val="33"/>
              <c:pt idx="1">
                <c:v>50.832931974913528</c:v>
              </c:pt>
              <c:pt idx="3">
                <c:v>55.671761695881344</c:v>
              </c:pt>
              <c:pt idx="5">
                <c:v>54.499807914433596</c:v>
              </c:pt>
              <c:pt idx="7">
                <c:v>51.66843556772951</c:v>
              </c:pt>
              <c:pt idx="9">
                <c:v>49.333931434975113</c:v>
              </c:pt>
              <c:pt idx="11">
                <c:v>48.008629058480224</c:v>
              </c:pt>
              <c:pt idx="13">
                <c:v>45.566933245198413</c:v>
              </c:pt>
              <c:pt idx="15">
                <c:v>34.520796228751685</c:v>
              </c:pt>
              <c:pt idx="17">
                <c:v>33.436534244481663</c:v>
              </c:pt>
              <c:pt idx="19">
                <c:v>32.891276732809963</c:v>
              </c:pt>
              <c:pt idx="21">
                <c:v>30.12455053417958</c:v>
              </c:pt>
              <c:pt idx="23">
                <c:v>24.190586115969289</c:v>
              </c:pt>
              <c:pt idx="25">
                <c:v>4.3778197121576223</c:v>
              </c:pt>
              <c:pt idx="27">
                <c:v>3.2718914905061336</c:v>
              </c:pt>
              <c:pt idx="29">
                <c:v>3.1758386903306364</c:v>
              </c:pt>
              <c:pt idx="31">
                <c:v>6.0264551768127745</c:v>
              </c:pt>
            </c:numLit>
          </c:val>
        </c:ser>
        <c:dLbls>
          <c:showLegendKey val="0"/>
          <c:showVal val="0"/>
          <c:showCatName val="0"/>
          <c:showSerName val="0"/>
          <c:showPercent val="0"/>
          <c:showBubbleSize val="0"/>
        </c:dLbls>
        <c:gapWidth val="0"/>
        <c:axId val="-569174688"/>
        <c:axId val="-569187200"/>
      </c:barChart>
      <c:catAx>
        <c:axId val="-569174688"/>
        <c:scaling>
          <c:orientation val="minMax"/>
        </c:scaling>
        <c:delete val="0"/>
        <c:axPos val="b"/>
        <c:title>
          <c:tx>
            <c:rich>
              <a:bodyPr/>
              <a:lstStyle/>
              <a:p>
                <a:pPr>
                  <a:defRPr sz="1200" b="1" i="0" u="none" strike="noStrike" baseline="0">
                    <a:solidFill>
                      <a:srgbClr val="000000"/>
                    </a:solidFill>
                    <a:latin typeface="Calibri"/>
                    <a:ea typeface="Calibri"/>
                    <a:cs typeface="Calibri"/>
                  </a:defRPr>
                </a:pPr>
                <a:r>
                  <a:rPr lang="lv-LV"/>
                  <a:t>Stacijas</a:t>
                </a:r>
              </a:p>
            </c:rich>
          </c:tx>
          <c:overlay val="0"/>
        </c:title>
        <c:numFmt formatCode="General" sourceLinked="1"/>
        <c:majorTickMark val="in"/>
        <c:minorTickMark val="none"/>
        <c:tickLblPos val="nextTo"/>
        <c:txPr>
          <a:bodyPr rot="-2700000" vert="horz"/>
          <a:lstStyle/>
          <a:p>
            <a:pPr>
              <a:defRPr sz="1000" b="0" i="0" u="none" strike="noStrike" baseline="0">
                <a:solidFill>
                  <a:srgbClr val="000000"/>
                </a:solidFill>
                <a:latin typeface="Calibri"/>
                <a:ea typeface="Calibri"/>
                <a:cs typeface="Calibri"/>
              </a:defRPr>
            </a:pPr>
            <a:endParaRPr lang="en-US"/>
          </a:p>
        </c:txPr>
        <c:crossAx val="-569187200"/>
        <c:crosses val="autoZero"/>
        <c:auto val="1"/>
        <c:lblAlgn val="ctr"/>
        <c:lblOffset val="100"/>
        <c:noMultiLvlLbl val="0"/>
      </c:catAx>
      <c:valAx>
        <c:axId val="-569187200"/>
        <c:scaling>
          <c:orientation val="minMax"/>
        </c:scaling>
        <c:delete val="0"/>
        <c:axPos val="l"/>
        <c:majorGridlines/>
        <c:title>
          <c:tx>
            <c:rich>
              <a:bodyPr/>
              <a:lstStyle/>
              <a:p>
                <a:pPr>
                  <a:defRPr sz="1200" b="1" i="0" u="none" strike="noStrike" baseline="0">
                    <a:solidFill>
                      <a:srgbClr val="000000"/>
                    </a:solidFill>
                    <a:latin typeface="Calibri"/>
                    <a:ea typeface="Calibri"/>
                    <a:cs typeface="Calibri"/>
                  </a:defRPr>
                </a:pPr>
                <a:r>
                  <a:rPr lang="lv-LV"/>
                  <a:t>Vidējais  cilvēku skaits  vilcienā</a:t>
                </a:r>
              </a:p>
            </c:rich>
          </c:tx>
          <c:layout>
            <c:manualLayout>
              <c:xMode val="edge"/>
              <c:yMode val="edge"/>
              <c:x val="3.1206343109550578E-2"/>
              <c:y val="0.27842170311073888"/>
            </c:manualLayout>
          </c:layout>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569174688"/>
        <c:crosses val="autoZero"/>
        <c:crossBetween val="midCat"/>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455" l="0.70000000000000062" r="0.70000000000000062" t="0.75000000000000455" header="0.30000000000000032" footer="0.30000000000000032"/>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image" Target="../media/image1.jpeg"/><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2</xdr:col>
      <xdr:colOff>419100</xdr:colOff>
      <xdr:row>15</xdr:row>
      <xdr:rowOff>66675</xdr:rowOff>
    </xdr:from>
    <xdr:to>
      <xdr:col>14</xdr:col>
      <xdr:colOff>266700</xdr:colOff>
      <xdr:row>33</xdr:row>
      <xdr:rowOff>66675</xdr:rowOff>
    </xdr:to>
    <xdr:graphicFrame macro="">
      <xdr:nvGraphicFramePr>
        <xdr:cNvPr id="602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304800</xdr:colOff>
      <xdr:row>44</xdr:row>
      <xdr:rowOff>38100</xdr:rowOff>
    </xdr:from>
    <xdr:to>
      <xdr:col>1</xdr:col>
      <xdr:colOff>1438275</xdr:colOff>
      <xdr:row>57</xdr:row>
      <xdr:rowOff>19050</xdr:rowOff>
    </xdr:to>
    <xdr:pic>
      <xdr:nvPicPr>
        <xdr:cNvPr id="10056298" name="Picture 2" descr="PV_marsrutu sheema_Jelgavas_lin.JPG"/>
        <xdr:cNvPicPr>
          <a:picLocks noChangeAspect="1"/>
        </xdr:cNvPicPr>
      </xdr:nvPicPr>
      <xdr:blipFill>
        <a:blip xmlns:r="http://schemas.openxmlformats.org/officeDocument/2006/relationships" r:embed="rId1" cstate="print"/>
        <a:srcRect/>
        <a:stretch>
          <a:fillRect/>
        </a:stretch>
      </xdr:blipFill>
      <xdr:spPr bwMode="auto">
        <a:xfrm>
          <a:off x="914400" y="9391650"/>
          <a:ext cx="1133475" cy="2085975"/>
        </a:xfrm>
        <a:prstGeom prst="rect">
          <a:avLst/>
        </a:prstGeom>
        <a:noFill/>
        <a:ln w="9525">
          <a:noFill/>
          <a:miter lim="800000"/>
          <a:headEnd/>
          <a:tailEnd/>
        </a:ln>
      </xdr:spPr>
    </xdr:pic>
    <xdr:clientData/>
  </xdr:twoCellAnchor>
  <xdr:twoCellAnchor>
    <xdr:from>
      <xdr:col>6</xdr:col>
      <xdr:colOff>38100</xdr:colOff>
      <xdr:row>40</xdr:row>
      <xdr:rowOff>28575</xdr:rowOff>
    </xdr:from>
    <xdr:to>
      <xdr:col>16</xdr:col>
      <xdr:colOff>923925</xdr:colOff>
      <xdr:row>75</xdr:row>
      <xdr:rowOff>85725</xdr:rowOff>
    </xdr:to>
    <xdr:graphicFrame macro="">
      <xdr:nvGraphicFramePr>
        <xdr:cNvPr id="10056299"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809625</xdr:colOff>
      <xdr:row>78</xdr:row>
      <xdr:rowOff>38100</xdr:rowOff>
    </xdr:from>
    <xdr:to>
      <xdr:col>16</xdr:col>
      <xdr:colOff>952500</xdr:colOff>
      <xdr:row>113</xdr:row>
      <xdr:rowOff>95250</xdr:rowOff>
    </xdr:to>
    <xdr:graphicFrame macro="">
      <xdr:nvGraphicFramePr>
        <xdr:cNvPr id="10056300"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47625</xdr:colOff>
      <xdr:row>116</xdr:row>
      <xdr:rowOff>28575</xdr:rowOff>
    </xdr:from>
    <xdr:to>
      <xdr:col>16</xdr:col>
      <xdr:colOff>1057275</xdr:colOff>
      <xdr:row>151</xdr:row>
      <xdr:rowOff>85725</xdr:rowOff>
    </xdr:to>
    <xdr:graphicFrame macro="">
      <xdr:nvGraphicFramePr>
        <xdr:cNvPr id="10056301"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24</xdr:col>
      <xdr:colOff>409575</xdr:colOff>
      <xdr:row>38</xdr:row>
      <xdr:rowOff>180975</xdr:rowOff>
    </xdr:from>
    <xdr:to>
      <xdr:col>42</xdr:col>
      <xdr:colOff>371475</xdr:colOff>
      <xdr:row>66</xdr:row>
      <xdr:rowOff>28575</xdr:rowOff>
    </xdr:to>
    <xdr:graphicFrame macro="">
      <xdr:nvGraphicFramePr>
        <xdr:cNvPr id="10056302"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21</xdr:col>
      <xdr:colOff>9525</xdr:colOff>
      <xdr:row>68</xdr:row>
      <xdr:rowOff>104775</xdr:rowOff>
    </xdr:from>
    <xdr:to>
      <xdr:col>38</xdr:col>
      <xdr:colOff>200025</xdr:colOff>
      <xdr:row>103</xdr:row>
      <xdr:rowOff>161925</xdr:rowOff>
    </xdr:to>
    <xdr:graphicFrame macro="">
      <xdr:nvGraphicFramePr>
        <xdr:cNvPr id="10056303"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Spread%20Eagle/Insurance/Policies/1-10015-00%20203062/Arrears%20Qtr2-02/MORTINT200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Lvrigameyfp02\data\Clients\_TS\Almira\3.DD%20working%20papers\BL%20-%20Bilyky\Beliki_Databook_07.03.07_v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thnt01\9150\C1.%20Kunder\N&#228;ringsdepartementet\2.%20P&#229;g&#229;ende\ALT\4.%20Modeller\V&#228;rdering%20av%20ALT\DCF-ALT%2005-12-04-%20EFTER%20BUDGET%20UPPDATERING.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Lvrigameyfp02\data\Program%20Files\EY%20TAS%20Databook\Lib\Databook%20library%20RoW.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Lvrigameyfp02\data\Lysenko\GAAP\1.FinStatements\1.&#1048;&#1089;&#1090;&#1080;&#1083;%20(&#1059;&#1082;&#1088;&#1072;&#1080;&#1085;&#1072;)\10-&#1054;&#1082;&#1090;&#1103;&#1073;&#1088;&#1100;%202004\Lysenko\GAAP\6.Sales%202004\09-&#1057;&#1077;&#1085;&#1090;&#1103;&#1073;&#1088;&#1100;-Sales%202004\&#1050;&#1091;&#1088;&#1089;&#1086;&#1074;&#1099;&#1077;%20&#1088;&#1072;&#1079;&#1085;&#1080;&#1094;&#1099;%20-%20&#1056;&#1072;&#1089;&#1095;&#1077;&#1090;%20&#1088;&#1077;&#1072;&#1083;&#1080;&#1079;&#1072;&#1094;&#1080;&#1080;%20(&#1089;&#1077;&#1085;&#1090;&#1103;&#1073;&#1088;&#1100;%2004%20&#1075;.).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Sthnt01\9150\B3.%20Valuation\4.%20V&#228;rderingsmodeller\1.%20E&amp;Ys%20v&#228;rderingsmodell\PPA%20o%20immateriella%20tillg&#229;ngar\EY%20Sweden%20PPA%20model%20template.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Sthnt01\9150\WINDOWS\TEMP\notesE1EF34\Valuation%20Model_2006-10-30v4.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Z:\Documents%20and%20Settings\prilutskaya\Local%20Settings\Temporary%20Internet%20Files\OLKB3\&#1088;&#1077;&#1077;&#1089;&#1090;&#1088;%20&#1072;&#1082;&#1090;&#1086;&#1074;%20&#1087;&#1088;&#1086;&#1074;&#1077;&#1088;&#1086;&#1082;.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Z:\Documents%20and%20Settings\kozlova\Local%20Settings\Temporary%20Internet%20Files\OLK86\&#1056;&#1077;&#1077;&#1089;&#1090;&#1088;%20&#1072;&#1082;&#1090;&#1086;&#1074;%20&#1087;&#1088;&#1086;&#1074;&#1077;&#1088;&#1086;&#108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riangulations"/>
      <sheetName val="1989"/>
      <sheetName val="1990"/>
      <sheetName val="1991"/>
      <sheetName val="1992"/>
      <sheetName val="1993"/>
      <sheetName val="1994"/>
      <sheetName val="1995"/>
      <sheetName val="1996"/>
      <sheetName val="1997"/>
      <sheetName val="1998"/>
      <sheetName val="1999"/>
      <sheetName val="2000"/>
      <sheetName val="2001"/>
      <sheetName val="2002"/>
      <sheetName val="Premium summary"/>
    </sheetNames>
    <sheetDataSet>
      <sheetData sheetId="0"/>
      <sheetData sheetId="1"/>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Trans_Letter"/>
      <sheetName val="Index"/>
      <sheetName val="Abbreviations"/>
      <sheetName val="Lead_Index"/>
      <sheetName val="Lead PL"/>
      <sheetName val="Lead BS"/>
      <sheetName val="Recon_Index"/>
      <sheetName val="R1"/>
      <sheetName val="R2"/>
      <sheetName val="R3"/>
      <sheetName val="R4"/>
      <sheetName val="R5"/>
      <sheetName val="PL_Index"/>
      <sheetName val="PL1"/>
      <sheetName val="PL2"/>
      <sheetName val="PL3"/>
      <sheetName val="PL4"/>
      <sheetName val="PL5"/>
      <sheetName val="PL6"/>
      <sheetName val="PL7"/>
      <sheetName val="PL8"/>
      <sheetName val="PL9"/>
      <sheetName val="PL10"/>
      <sheetName val="PL11-a"/>
      <sheetName val="PL12"/>
      <sheetName val="PL13"/>
      <sheetName val="PL14"/>
      <sheetName val="PL15"/>
      <sheetName val="BS_Index"/>
      <sheetName val="BS1"/>
      <sheetName val="BS2"/>
      <sheetName val="BS3"/>
      <sheetName val="BS4"/>
      <sheetName val="BS5"/>
      <sheetName val="BS6"/>
      <sheetName val="BS7"/>
      <sheetName val="BS8"/>
      <sheetName val="BS9"/>
      <sheetName val="BS10"/>
      <sheetName val="BS11"/>
      <sheetName val="BS12"/>
      <sheetName val="BS13"/>
      <sheetName val="BS14"/>
      <sheetName val="BS15"/>
      <sheetName val="BS16"/>
      <sheetName val="BS17"/>
      <sheetName val="BS18"/>
      <sheetName val="WC_Index"/>
      <sheetName val="WC1"/>
      <sheetName val="WC2"/>
      <sheetName val="Sheet8S"/>
      <sheetName val="Sheet4S"/>
      <sheetName val="Sheet01S"/>
      <sheetName val="Sheet12S"/>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7">
          <cell r="E7">
            <v>5.05</v>
          </cell>
        </row>
      </sheetData>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pec"/>
      <sheetName val="Assumptions"/>
      <sheetName val="H-IS"/>
      <sheetName val="H-BS"/>
      <sheetName val="Bloomberg"/>
      <sheetName val="Tabeller och diagram"/>
      <sheetName val="CF-base"/>
      <sheetName val="Rev's &amp; Costs"/>
      <sheetName val="WC"/>
      <sheetName val="PPE"/>
      <sheetName val="FF"/>
      <sheetName val="Taxes"/>
      <sheetName val="IS"/>
      <sheetName val="BS"/>
      <sheetName val="IS-base"/>
      <sheetName val="BS-base"/>
      <sheetName val="CF"/>
      <sheetName val="Valuation"/>
      <sheetName val="Skattesköld-kontroll"/>
      <sheetName val="Summary"/>
      <sheetName val="Blad1"/>
      <sheetName val="Diagram"/>
    </sheetNames>
    <sheetDataSet>
      <sheetData sheetId="0" refreshError="1"/>
      <sheetData sheetId="1"/>
      <sheetData sheetId="2">
        <row r="4">
          <cell r="D4">
            <v>2001</v>
          </cell>
          <cell r="E4">
            <v>2002</v>
          </cell>
          <cell r="F4">
            <v>2003</v>
          </cell>
          <cell r="G4">
            <v>2004</v>
          </cell>
          <cell r="H4">
            <v>2005</v>
          </cell>
        </row>
        <row r="6">
          <cell r="F6">
            <v>202.155</v>
          </cell>
          <cell r="G6">
            <v>201.56399999999999</v>
          </cell>
          <cell r="H6">
            <v>192.68299999999999</v>
          </cell>
        </row>
      </sheetData>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 sheetId="17"/>
      <sheetData sheetId="18" refreshError="1"/>
      <sheetData sheetId="19" refreshError="1"/>
      <sheetData sheetId="20" refreshError="1"/>
      <sheetData sheetId="2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 do not import"/>
      <sheetName val="Q of E cover - do not import"/>
      <sheetName val="Earnings summary"/>
      <sheetName val="KPIs"/>
      <sheetName val="Adjusted EBITDA"/>
      <sheetName val="EBITDA Bridge"/>
      <sheetName val="Pro forma EBITDA"/>
      <sheetName val="Quarterly P&amp;L"/>
      <sheetName val="Monthly P&amp;L - continuous"/>
      <sheetName val="Monthly P&amp;L - seasonality"/>
      <sheetName val="Revenue by product &amp; customer"/>
      <sheetName val="Annual growth by segment"/>
      <sheetName val="Growth drivers"/>
      <sheetName val="Gross to net sales"/>
      <sheetName val="Analysis of CoS"/>
      <sheetName val="Operating expenses"/>
      <sheetName val="Employee benefits"/>
      <sheetName val="EBITDA % improv. vs prior year "/>
      <sheetName val="Current trading"/>
      <sheetName val="LTM"/>
      <sheetName val="Full year outturn"/>
      <sheetName val="Standalone costs"/>
      <sheetName val="FX exposure"/>
      <sheetName val="Sensitivity analysis"/>
      <sheetName val="Key customers"/>
      <sheetName val="Key suppliers"/>
      <sheetName val="Booked and pipeline analysis"/>
      <sheetName val="Q of CF cover - do not import"/>
      <sheetName val="Lead cash flow"/>
      <sheetName val="EBITDA to CF conversion"/>
      <sheetName val="Capex breakdown"/>
      <sheetName val="Q of NA cover - do not import"/>
      <sheetName val="Lead BS - IAS"/>
      <sheetName val="Lead BS - NA"/>
      <sheetName val="Pro forma BS"/>
      <sheetName val="Inventory breakdown"/>
      <sheetName val="Inventory reserve"/>
      <sheetName val="Accounts receivable ageing"/>
      <sheetName val="Rollforward of AR"/>
      <sheetName val="Accounts payable"/>
      <sheetName val="Accounts payable ageing"/>
      <sheetName val="PPE"/>
      <sheetName val="Fixed assets"/>
      <sheetName val="Prepaid &amp; other current assets"/>
      <sheetName val="Intangible assets"/>
      <sheetName val="Other assets"/>
      <sheetName val="Accrued expenses"/>
      <sheetName val="Other current liabilities"/>
      <sheetName val="Debt"/>
      <sheetName val="Equity rollforward"/>
      <sheetName val="Unfunded obligations"/>
      <sheetName val="Cash waterfall analysis"/>
      <sheetName val="Adjustments to enterprise value"/>
      <sheetName val="WC cover - do not import"/>
      <sheetName val="WC - monthly - year on year"/>
      <sheetName val="WC - monthly -continuous"/>
      <sheetName val="Adjusted working capital"/>
      <sheetName val="Net WC (+ data pages)"/>
      <sheetName val="WC (high-low) (+data pages)"/>
      <sheetName val="WC analytics (+data pages)"/>
      <sheetName val="WC indicators (+data pages)"/>
      <sheetName val="WC sales seas.(+further pages)"/>
      <sheetName val="WC sales seas.2(+data pages)"/>
      <sheetName val="FY04 WC detail (data page)"/>
      <sheetName val="FY05 WC detail (data page)"/>
      <sheetName val="FY06 WC detail (data page)"/>
      <sheetName val="TF subsect cover-do not import"/>
      <sheetName val="Mngt to stat rec"/>
      <sheetName val="Hist accuracy of budget"/>
      <sheetName val="Price vol cover - do not import"/>
      <sheetName val="Price volume profit variance"/>
      <sheetName val="Price volume sales variance"/>
      <sheetName val="Price-vol summary (+data pages)"/>
      <sheetName val="Price-vol (data page 1)"/>
      <sheetName val="Price-vol (data page 2)"/>
      <sheetName val="Price-vol (data page 3)"/>
      <sheetName val="Price-vol (data page 4)"/>
      <sheetName val="Price-vol (data page 5)"/>
      <sheetName val="Chart pages cover-do not import"/>
      <sheetName val="Line chart"/>
      <sheetName val="Stacked column chart"/>
      <sheetName val="Bar chart"/>
      <sheetName val="Clustered column"/>
      <sheetName val="Column-line on 2 axis chart"/>
      <sheetName val="Bubble chart"/>
      <sheetName val="Blocked area chart"/>
      <sheetName val="Sheet8S"/>
      <sheetName val="Sheet4S"/>
      <sheetName val="Sheet01S"/>
      <sheetName val="Sheet12S"/>
      <sheetName val="FY0 WC detail (data page)"/>
    </sheetNames>
    <sheetDataSet>
      <sheetData sheetId="0" refreshError="1"/>
      <sheetData sheetId="1" refreshError="1"/>
      <sheetData sheetId="2" refreshError="1"/>
      <sheetData sheetId="3" refreshError="1"/>
      <sheetData sheetId="4" refreshError="1"/>
      <sheetData sheetId="5" refreshError="1">
        <row r="6">
          <cell r="A6" t="str">
            <v>Currency:</v>
          </cell>
          <cell r="F6" t="str">
            <v>end points</v>
          </cell>
          <cell r="G6" t="str">
            <v>blank neg</v>
          </cell>
          <cell r="H6" t="str">
            <v>red neg</v>
          </cell>
          <cell r="I6" t="str">
            <v>grn neg</v>
          </cell>
          <cell r="J6" t="str">
            <v>blank pos</v>
          </cell>
          <cell r="K6" t="str">
            <v>red pos</v>
          </cell>
          <cell r="L6" t="str">
            <v>grn pos</v>
          </cell>
        </row>
        <row r="7">
          <cell r="A7" t="str">
            <v>FY[xx] EBITDA</v>
          </cell>
          <cell r="F7">
            <v>0</v>
          </cell>
        </row>
        <row r="8">
          <cell r="A8" t="str">
            <v xml:space="preserve"> FYxxA A</v>
          </cell>
          <cell r="G8">
            <v>0</v>
          </cell>
          <cell r="H8">
            <v>0</v>
          </cell>
          <cell r="I8">
            <v>0</v>
          </cell>
          <cell r="J8">
            <v>0</v>
          </cell>
          <cell r="K8">
            <v>0</v>
          </cell>
          <cell r="L8">
            <v>0</v>
          </cell>
        </row>
        <row r="9">
          <cell r="A9" t="str">
            <v>FYxxA B</v>
          </cell>
          <cell r="G9">
            <v>0</v>
          </cell>
          <cell r="H9">
            <v>0</v>
          </cell>
          <cell r="I9">
            <v>0</v>
          </cell>
          <cell r="J9">
            <v>0</v>
          </cell>
          <cell r="K9">
            <v>0</v>
          </cell>
          <cell r="L9">
            <v>0</v>
          </cell>
        </row>
        <row r="10">
          <cell r="A10" t="str">
            <v>FYxxA C</v>
          </cell>
          <cell r="G10">
            <v>0</v>
          </cell>
          <cell r="H10">
            <v>0</v>
          </cell>
          <cell r="I10">
            <v>0</v>
          </cell>
          <cell r="J10">
            <v>0</v>
          </cell>
          <cell r="K10">
            <v>0</v>
          </cell>
          <cell r="L10">
            <v>0</v>
          </cell>
        </row>
        <row r="11">
          <cell r="A11" t="str">
            <v>FYxxA D</v>
          </cell>
          <cell r="G11">
            <v>0</v>
          </cell>
          <cell r="H11">
            <v>0</v>
          </cell>
          <cell r="I11">
            <v>0</v>
          </cell>
          <cell r="J11">
            <v>0</v>
          </cell>
          <cell r="K11">
            <v>0</v>
          </cell>
          <cell r="L11">
            <v>0</v>
          </cell>
        </row>
        <row r="12">
          <cell r="A12" t="str">
            <v>FYxxA E</v>
          </cell>
          <cell r="G12">
            <v>0</v>
          </cell>
          <cell r="H12">
            <v>0</v>
          </cell>
          <cell r="I12">
            <v>0</v>
          </cell>
          <cell r="J12">
            <v>0</v>
          </cell>
          <cell r="K12">
            <v>0</v>
          </cell>
          <cell r="L12">
            <v>0</v>
          </cell>
        </row>
        <row r="13">
          <cell r="A13" t="str">
            <v>FYxxA F</v>
          </cell>
          <cell r="G13">
            <v>0</v>
          </cell>
          <cell r="H13">
            <v>0</v>
          </cell>
          <cell r="I13">
            <v>0</v>
          </cell>
          <cell r="J13">
            <v>0</v>
          </cell>
          <cell r="K13">
            <v>0</v>
          </cell>
          <cell r="L13">
            <v>0</v>
          </cell>
        </row>
        <row r="14">
          <cell r="A14" t="str">
            <v>FYxxA G</v>
          </cell>
          <cell r="G14">
            <v>0</v>
          </cell>
          <cell r="H14">
            <v>0</v>
          </cell>
          <cell r="I14">
            <v>0</v>
          </cell>
          <cell r="J14">
            <v>0</v>
          </cell>
          <cell r="K14">
            <v>0</v>
          </cell>
          <cell r="L14">
            <v>0</v>
          </cell>
        </row>
        <row r="15">
          <cell r="A15" t="str">
            <v>FYxxA H</v>
          </cell>
          <cell r="G15">
            <v>0</v>
          </cell>
          <cell r="H15">
            <v>0</v>
          </cell>
          <cell r="I15">
            <v>0</v>
          </cell>
          <cell r="J15">
            <v>0</v>
          </cell>
          <cell r="K15">
            <v>0</v>
          </cell>
          <cell r="L15">
            <v>0</v>
          </cell>
        </row>
        <row r="16">
          <cell r="A16" t="str">
            <v>FYxxA I</v>
          </cell>
          <cell r="G16">
            <v>0</v>
          </cell>
          <cell r="H16">
            <v>0</v>
          </cell>
          <cell r="I16">
            <v>0</v>
          </cell>
          <cell r="J16">
            <v>0</v>
          </cell>
          <cell r="K16">
            <v>0</v>
          </cell>
          <cell r="L16">
            <v>0</v>
          </cell>
        </row>
        <row r="17">
          <cell r="A17" t="str">
            <v>FYxxA J</v>
          </cell>
          <cell r="G17">
            <v>0</v>
          </cell>
          <cell r="H17">
            <v>0</v>
          </cell>
          <cell r="I17">
            <v>0</v>
          </cell>
          <cell r="J17">
            <v>0</v>
          </cell>
          <cell r="K17">
            <v>0</v>
          </cell>
          <cell r="L17">
            <v>0</v>
          </cell>
        </row>
        <row r="18">
          <cell r="A18" t="str">
            <v>FYxxA K</v>
          </cell>
          <cell r="G18">
            <v>0</v>
          </cell>
          <cell r="H18">
            <v>0</v>
          </cell>
          <cell r="I18">
            <v>0</v>
          </cell>
          <cell r="J18">
            <v>0</v>
          </cell>
          <cell r="K18">
            <v>0</v>
          </cell>
          <cell r="L18">
            <v>0</v>
          </cell>
        </row>
        <row r="19">
          <cell r="A19" t="str">
            <v>FYxxA L</v>
          </cell>
          <cell r="G19">
            <v>0</v>
          </cell>
          <cell r="H19">
            <v>0</v>
          </cell>
          <cell r="I19">
            <v>0</v>
          </cell>
          <cell r="J19">
            <v>0</v>
          </cell>
          <cell r="K19">
            <v>0</v>
          </cell>
          <cell r="L19">
            <v>0</v>
          </cell>
        </row>
        <row r="20">
          <cell r="A20" t="str">
            <v>FYxxA M</v>
          </cell>
          <cell r="G20">
            <v>0</v>
          </cell>
          <cell r="H20">
            <v>0</v>
          </cell>
          <cell r="I20">
            <v>0</v>
          </cell>
          <cell r="J20">
            <v>0</v>
          </cell>
          <cell r="K20">
            <v>0</v>
          </cell>
          <cell r="L20">
            <v>0</v>
          </cell>
        </row>
        <row r="21">
          <cell r="A21" t="str">
            <v>FYxxA N</v>
          </cell>
          <cell r="G21">
            <v>0</v>
          </cell>
          <cell r="H21">
            <v>0</v>
          </cell>
          <cell r="I21">
            <v>0</v>
          </cell>
          <cell r="J21">
            <v>0</v>
          </cell>
          <cell r="K21">
            <v>0</v>
          </cell>
          <cell r="L21">
            <v>0</v>
          </cell>
        </row>
        <row r="22">
          <cell r="A22" t="str">
            <v>FYxxA O</v>
          </cell>
          <cell r="G22">
            <v>0</v>
          </cell>
          <cell r="H22">
            <v>0</v>
          </cell>
          <cell r="I22">
            <v>0</v>
          </cell>
          <cell r="J22">
            <v>0</v>
          </cell>
          <cell r="K22">
            <v>0</v>
          </cell>
          <cell r="L22">
            <v>0</v>
          </cell>
        </row>
        <row r="23">
          <cell r="A23" t="str">
            <v>FY[xx] EBITDA</v>
          </cell>
          <cell r="F23">
            <v>0</v>
          </cell>
          <cell r="G23">
            <v>0</v>
          </cell>
          <cell r="H23">
            <v>0</v>
          </cell>
          <cell r="I23">
            <v>0</v>
          </cell>
          <cell r="J23">
            <v>0</v>
          </cell>
          <cell r="K23">
            <v>0</v>
          </cell>
          <cell r="L23">
            <v>0</v>
          </cell>
        </row>
        <row r="24">
          <cell r="A24" t="str">
            <v>FYxxA A</v>
          </cell>
          <cell r="G24">
            <v>0</v>
          </cell>
          <cell r="H24">
            <v>0</v>
          </cell>
          <cell r="I24">
            <v>0</v>
          </cell>
          <cell r="J24">
            <v>0</v>
          </cell>
          <cell r="K24">
            <v>0</v>
          </cell>
          <cell r="L24">
            <v>0</v>
          </cell>
        </row>
        <row r="25">
          <cell r="A25" t="str">
            <v>FYxxA B</v>
          </cell>
          <cell r="G25">
            <v>0</v>
          </cell>
          <cell r="H25">
            <v>0</v>
          </cell>
          <cell r="I25">
            <v>0</v>
          </cell>
          <cell r="J25">
            <v>0</v>
          </cell>
          <cell r="K25">
            <v>0</v>
          </cell>
          <cell r="L25">
            <v>0</v>
          </cell>
        </row>
        <row r="26">
          <cell r="A26" t="str">
            <v>FYxxA C</v>
          </cell>
          <cell r="G26">
            <v>0</v>
          </cell>
          <cell r="H26">
            <v>0</v>
          </cell>
          <cell r="I26">
            <v>0</v>
          </cell>
          <cell r="J26">
            <v>0</v>
          </cell>
          <cell r="K26">
            <v>0</v>
          </cell>
          <cell r="L26">
            <v>0</v>
          </cell>
        </row>
        <row r="27">
          <cell r="A27" t="str">
            <v>FYxxA D</v>
          </cell>
          <cell r="G27">
            <v>0</v>
          </cell>
          <cell r="H27">
            <v>0</v>
          </cell>
          <cell r="I27">
            <v>0</v>
          </cell>
          <cell r="J27">
            <v>0</v>
          </cell>
          <cell r="K27">
            <v>0</v>
          </cell>
          <cell r="L27">
            <v>0</v>
          </cell>
        </row>
        <row r="28">
          <cell r="A28" t="str">
            <v>FYxxA E</v>
          </cell>
          <cell r="G28">
            <v>0</v>
          </cell>
          <cell r="H28">
            <v>0</v>
          </cell>
          <cell r="I28">
            <v>0</v>
          </cell>
          <cell r="J28">
            <v>0</v>
          </cell>
          <cell r="K28">
            <v>0</v>
          </cell>
          <cell r="L28">
            <v>0</v>
          </cell>
        </row>
        <row r="29">
          <cell r="A29" t="str">
            <v>FYxxA F</v>
          </cell>
          <cell r="G29">
            <v>0</v>
          </cell>
          <cell r="H29">
            <v>0</v>
          </cell>
          <cell r="I29">
            <v>0</v>
          </cell>
          <cell r="J29">
            <v>0</v>
          </cell>
          <cell r="K29">
            <v>0</v>
          </cell>
          <cell r="L29">
            <v>0</v>
          </cell>
        </row>
        <row r="30">
          <cell r="A30" t="str">
            <v>FYxxA G</v>
          </cell>
          <cell r="G30">
            <v>0</v>
          </cell>
          <cell r="H30">
            <v>0</v>
          </cell>
          <cell r="I30">
            <v>0</v>
          </cell>
          <cell r="J30">
            <v>0</v>
          </cell>
          <cell r="K30">
            <v>0</v>
          </cell>
          <cell r="L30">
            <v>0</v>
          </cell>
        </row>
        <row r="31">
          <cell r="A31" t="str">
            <v>FYxxA H</v>
          </cell>
          <cell r="G31">
            <v>0</v>
          </cell>
          <cell r="H31">
            <v>0</v>
          </cell>
          <cell r="I31">
            <v>0</v>
          </cell>
          <cell r="J31">
            <v>0</v>
          </cell>
          <cell r="K31">
            <v>0</v>
          </cell>
          <cell r="L31">
            <v>0</v>
          </cell>
        </row>
        <row r="32">
          <cell r="A32" t="str">
            <v>FYxxA I</v>
          </cell>
          <cell r="G32">
            <v>0</v>
          </cell>
          <cell r="H32">
            <v>0</v>
          </cell>
          <cell r="I32">
            <v>0</v>
          </cell>
          <cell r="J32">
            <v>0</v>
          </cell>
          <cell r="K32">
            <v>0</v>
          </cell>
          <cell r="L32">
            <v>0</v>
          </cell>
        </row>
        <row r="33">
          <cell r="A33" t="str">
            <v>FYxxA J</v>
          </cell>
          <cell r="G33">
            <v>0</v>
          </cell>
          <cell r="H33">
            <v>0</v>
          </cell>
          <cell r="I33">
            <v>0</v>
          </cell>
          <cell r="J33">
            <v>0</v>
          </cell>
          <cell r="K33">
            <v>0</v>
          </cell>
          <cell r="L33">
            <v>0</v>
          </cell>
        </row>
        <row r="34">
          <cell r="A34" t="str">
            <v>FYxxA K</v>
          </cell>
          <cell r="G34">
            <v>0</v>
          </cell>
          <cell r="H34">
            <v>0</v>
          </cell>
          <cell r="I34">
            <v>0</v>
          </cell>
          <cell r="J34">
            <v>0</v>
          </cell>
          <cell r="K34">
            <v>0</v>
          </cell>
          <cell r="L34">
            <v>0</v>
          </cell>
        </row>
        <row r="35">
          <cell r="A35" t="str">
            <v>FYxxA L</v>
          </cell>
          <cell r="G35">
            <v>0</v>
          </cell>
          <cell r="H35">
            <v>0</v>
          </cell>
          <cell r="I35">
            <v>0</v>
          </cell>
          <cell r="J35">
            <v>0</v>
          </cell>
          <cell r="K35">
            <v>0</v>
          </cell>
          <cell r="L35">
            <v>0</v>
          </cell>
        </row>
        <row r="36">
          <cell r="A36" t="str">
            <v>FYxxA M</v>
          </cell>
          <cell r="G36">
            <v>0</v>
          </cell>
          <cell r="H36">
            <v>0</v>
          </cell>
          <cell r="I36">
            <v>0</v>
          </cell>
          <cell r="J36">
            <v>0</v>
          </cell>
          <cell r="K36">
            <v>0</v>
          </cell>
          <cell r="L36">
            <v>0</v>
          </cell>
        </row>
        <row r="37">
          <cell r="A37" t="str">
            <v>FYxxA N</v>
          </cell>
          <cell r="G37">
            <v>0</v>
          </cell>
          <cell r="H37">
            <v>0</v>
          </cell>
          <cell r="I37">
            <v>0</v>
          </cell>
          <cell r="J37">
            <v>0</v>
          </cell>
          <cell r="K37">
            <v>0</v>
          </cell>
          <cell r="L37">
            <v>0</v>
          </cell>
        </row>
        <row r="38">
          <cell r="A38" t="str">
            <v>FYxxA O</v>
          </cell>
          <cell r="G38">
            <v>0</v>
          </cell>
          <cell r="H38">
            <v>0</v>
          </cell>
          <cell r="I38">
            <v>0</v>
          </cell>
          <cell r="J38">
            <v>0</v>
          </cell>
          <cell r="K38">
            <v>0</v>
          </cell>
          <cell r="L38">
            <v>0</v>
          </cell>
        </row>
        <row r="39">
          <cell r="A39" t="str">
            <v>FY[xx] EBITDA</v>
          </cell>
          <cell r="F39">
            <v>0</v>
          </cell>
          <cell r="G39">
            <v>0</v>
          </cell>
          <cell r="H39">
            <v>0</v>
          </cell>
          <cell r="I39">
            <v>0</v>
          </cell>
          <cell r="J39">
            <v>0</v>
          </cell>
          <cell r="K39">
            <v>0</v>
          </cell>
          <cell r="L39">
            <v>0</v>
          </cell>
        </row>
        <row r="40">
          <cell r="A40" t="str">
            <v xml:space="preserve">FYxxB A </v>
          </cell>
          <cell r="G40">
            <v>0</v>
          </cell>
          <cell r="H40">
            <v>0</v>
          </cell>
          <cell r="I40">
            <v>0</v>
          </cell>
          <cell r="J40">
            <v>0</v>
          </cell>
          <cell r="K40">
            <v>0</v>
          </cell>
          <cell r="L40">
            <v>0</v>
          </cell>
        </row>
        <row r="41">
          <cell r="A41" t="str">
            <v>FYxxB B</v>
          </cell>
          <cell r="G41">
            <v>0</v>
          </cell>
          <cell r="H41">
            <v>0</v>
          </cell>
          <cell r="I41">
            <v>0</v>
          </cell>
          <cell r="J41">
            <v>0</v>
          </cell>
          <cell r="K41">
            <v>0</v>
          </cell>
          <cell r="L41">
            <v>0</v>
          </cell>
        </row>
        <row r="42">
          <cell r="A42" t="str">
            <v>FYxxB C</v>
          </cell>
          <cell r="G42">
            <v>0</v>
          </cell>
          <cell r="H42">
            <v>0</v>
          </cell>
          <cell r="I42">
            <v>0</v>
          </cell>
          <cell r="J42">
            <v>0</v>
          </cell>
          <cell r="K42">
            <v>0</v>
          </cell>
          <cell r="L42">
            <v>0</v>
          </cell>
        </row>
        <row r="43">
          <cell r="A43" t="str">
            <v>FYxxB D</v>
          </cell>
          <cell r="G43">
            <v>0</v>
          </cell>
          <cell r="H43">
            <v>0</v>
          </cell>
          <cell r="I43">
            <v>0</v>
          </cell>
          <cell r="J43">
            <v>0</v>
          </cell>
          <cell r="K43">
            <v>0</v>
          </cell>
          <cell r="L43">
            <v>0</v>
          </cell>
        </row>
        <row r="44">
          <cell r="A44" t="str">
            <v>FYxxB E</v>
          </cell>
          <cell r="G44">
            <v>0</v>
          </cell>
          <cell r="H44">
            <v>0</v>
          </cell>
          <cell r="I44">
            <v>0</v>
          </cell>
          <cell r="J44">
            <v>0</v>
          </cell>
          <cell r="K44">
            <v>0</v>
          </cell>
          <cell r="L44">
            <v>0</v>
          </cell>
        </row>
        <row r="45">
          <cell r="A45" t="str">
            <v>FYxxB F</v>
          </cell>
          <cell r="G45">
            <v>0</v>
          </cell>
          <cell r="H45">
            <v>0</v>
          </cell>
          <cell r="I45">
            <v>0</v>
          </cell>
          <cell r="J45">
            <v>0</v>
          </cell>
          <cell r="K45">
            <v>0</v>
          </cell>
          <cell r="L45">
            <v>0</v>
          </cell>
        </row>
        <row r="46">
          <cell r="A46" t="str">
            <v>FYxxB G</v>
          </cell>
          <cell r="G46">
            <v>0</v>
          </cell>
          <cell r="H46">
            <v>0</v>
          </cell>
          <cell r="I46">
            <v>0</v>
          </cell>
          <cell r="J46">
            <v>0</v>
          </cell>
          <cell r="K46">
            <v>0</v>
          </cell>
          <cell r="L46">
            <v>0</v>
          </cell>
        </row>
        <row r="47">
          <cell r="A47" t="str">
            <v>FYxxB H</v>
          </cell>
          <cell r="G47">
            <v>0</v>
          </cell>
          <cell r="H47">
            <v>0</v>
          </cell>
          <cell r="I47">
            <v>0</v>
          </cell>
          <cell r="J47">
            <v>0</v>
          </cell>
          <cell r="K47">
            <v>0</v>
          </cell>
          <cell r="L47">
            <v>0</v>
          </cell>
        </row>
        <row r="48">
          <cell r="A48" t="str">
            <v>FYxxB I</v>
          </cell>
          <cell r="G48">
            <v>0</v>
          </cell>
          <cell r="H48">
            <v>0</v>
          </cell>
          <cell r="I48">
            <v>0</v>
          </cell>
          <cell r="J48">
            <v>0</v>
          </cell>
          <cell r="K48">
            <v>0</v>
          </cell>
          <cell r="L48">
            <v>0</v>
          </cell>
        </row>
        <row r="49">
          <cell r="A49" t="str">
            <v>FYxxB J</v>
          </cell>
          <cell r="G49">
            <v>0</v>
          </cell>
          <cell r="H49">
            <v>0</v>
          </cell>
          <cell r="I49">
            <v>0</v>
          </cell>
          <cell r="J49">
            <v>0</v>
          </cell>
          <cell r="K49">
            <v>0</v>
          </cell>
          <cell r="L49">
            <v>0</v>
          </cell>
        </row>
        <row r="50">
          <cell r="A50" t="str">
            <v>FYxxB K</v>
          </cell>
          <cell r="G50">
            <v>0</v>
          </cell>
          <cell r="H50">
            <v>0</v>
          </cell>
          <cell r="I50">
            <v>0</v>
          </cell>
          <cell r="J50">
            <v>0</v>
          </cell>
          <cell r="K50">
            <v>0</v>
          </cell>
          <cell r="L50">
            <v>0</v>
          </cell>
        </row>
        <row r="51">
          <cell r="A51" t="str">
            <v>FYxxB L</v>
          </cell>
          <cell r="G51">
            <v>0</v>
          </cell>
          <cell r="H51">
            <v>0</v>
          </cell>
          <cell r="I51">
            <v>0</v>
          </cell>
          <cell r="J51">
            <v>0</v>
          </cell>
          <cell r="K51">
            <v>0</v>
          </cell>
          <cell r="L51">
            <v>0</v>
          </cell>
        </row>
        <row r="52">
          <cell r="A52" t="str">
            <v>FYxxB M</v>
          </cell>
          <cell r="G52">
            <v>0</v>
          </cell>
          <cell r="H52">
            <v>0</v>
          </cell>
          <cell r="I52">
            <v>0</v>
          </cell>
          <cell r="J52">
            <v>0</v>
          </cell>
          <cell r="K52">
            <v>0</v>
          </cell>
          <cell r="L52">
            <v>0</v>
          </cell>
        </row>
        <row r="53">
          <cell r="A53" t="str">
            <v>FYxxB N</v>
          </cell>
          <cell r="G53">
            <v>0</v>
          </cell>
          <cell r="H53">
            <v>0</v>
          </cell>
          <cell r="I53">
            <v>0</v>
          </cell>
          <cell r="J53">
            <v>0</v>
          </cell>
          <cell r="K53">
            <v>0</v>
          </cell>
          <cell r="L53">
            <v>0</v>
          </cell>
        </row>
        <row r="54">
          <cell r="A54" t="str">
            <v>FYxxB O</v>
          </cell>
          <cell r="G54">
            <v>0</v>
          </cell>
          <cell r="H54">
            <v>0</v>
          </cell>
          <cell r="I54">
            <v>0</v>
          </cell>
          <cell r="J54">
            <v>0</v>
          </cell>
          <cell r="K54">
            <v>0</v>
          </cell>
          <cell r="L54">
            <v>0</v>
          </cell>
        </row>
        <row r="55">
          <cell r="A55" t="str">
            <v>FY[xx] EBITDA</v>
          </cell>
          <cell r="F55">
            <v>0</v>
          </cell>
          <cell r="G55">
            <v>0</v>
          </cell>
          <cell r="H55">
            <v>0</v>
          </cell>
          <cell r="I55">
            <v>0</v>
          </cell>
          <cell r="J55">
            <v>0</v>
          </cell>
          <cell r="K55">
            <v>0</v>
          </cell>
          <cell r="L55">
            <v>0</v>
          </cell>
        </row>
        <row r="56">
          <cell r="A56" t="str">
            <v xml:space="preserve">FYxxB A </v>
          </cell>
          <cell r="G56">
            <v>0</v>
          </cell>
          <cell r="H56">
            <v>0</v>
          </cell>
          <cell r="I56">
            <v>0</v>
          </cell>
          <cell r="J56">
            <v>0</v>
          </cell>
          <cell r="K56">
            <v>0</v>
          </cell>
          <cell r="L56">
            <v>0</v>
          </cell>
        </row>
        <row r="57">
          <cell r="A57" t="str">
            <v>FYxxB B</v>
          </cell>
          <cell r="G57">
            <v>0</v>
          </cell>
          <cell r="H57">
            <v>0</v>
          </cell>
          <cell r="I57">
            <v>0</v>
          </cell>
          <cell r="J57">
            <v>0</v>
          </cell>
          <cell r="K57">
            <v>0</v>
          </cell>
          <cell r="L57">
            <v>0</v>
          </cell>
        </row>
        <row r="58">
          <cell r="A58" t="str">
            <v>FYxxB C</v>
          </cell>
          <cell r="G58">
            <v>0</v>
          </cell>
          <cell r="H58">
            <v>0</v>
          </cell>
          <cell r="I58">
            <v>0</v>
          </cell>
          <cell r="J58">
            <v>0</v>
          </cell>
          <cell r="K58">
            <v>0</v>
          </cell>
          <cell r="L58">
            <v>0</v>
          </cell>
        </row>
        <row r="59">
          <cell r="A59" t="str">
            <v>FYxxB D</v>
          </cell>
          <cell r="G59">
            <v>0</v>
          </cell>
          <cell r="H59">
            <v>0</v>
          </cell>
          <cell r="I59">
            <v>0</v>
          </cell>
          <cell r="J59">
            <v>0</v>
          </cell>
          <cell r="K59">
            <v>0</v>
          </cell>
          <cell r="L59">
            <v>0</v>
          </cell>
        </row>
        <row r="60">
          <cell r="A60" t="str">
            <v>FYxxB E</v>
          </cell>
          <cell r="G60">
            <v>0</v>
          </cell>
          <cell r="H60">
            <v>0</v>
          </cell>
          <cell r="I60">
            <v>0</v>
          </cell>
          <cell r="J60">
            <v>0</v>
          </cell>
          <cell r="K60">
            <v>0</v>
          </cell>
          <cell r="L60">
            <v>0</v>
          </cell>
        </row>
        <row r="61">
          <cell r="A61" t="str">
            <v>FYxxB F</v>
          </cell>
          <cell r="G61">
            <v>0</v>
          </cell>
          <cell r="H61">
            <v>0</v>
          </cell>
          <cell r="I61">
            <v>0</v>
          </cell>
          <cell r="J61">
            <v>0</v>
          </cell>
          <cell r="K61">
            <v>0</v>
          </cell>
          <cell r="L61">
            <v>0</v>
          </cell>
        </row>
        <row r="62">
          <cell r="A62" t="str">
            <v>FYxxB G</v>
          </cell>
          <cell r="G62">
            <v>0</v>
          </cell>
          <cell r="H62">
            <v>0</v>
          </cell>
          <cell r="I62">
            <v>0</v>
          </cell>
          <cell r="J62">
            <v>0</v>
          </cell>
          <cell r="K62">
            <v>0</v>
          </cell>
          <cell r="L62">
            <v>0</v>
          </cell>
        </row>
        <row r="63">
          <cell r="A63" t="str">
            <v>FYxxB H</v>
          </cell>
          <cell r="G63">
            <v>0</v>
          </cell>
          <cell r="H63">
            <v>0</v>
          </cell>
          <cell r="I63">
            <v>0</v>
          </cell>
          <cell r="J63">
            <v>0</v>
          </cell>
          <cell r="K63">
            <v>0</v>
          </cell>
          <cell r="L63">
            <v>0</v>
          </cell>
        </row>
        <row r="64">
          <cell r="A64" t="str">
            <v>FYxxB I</v>
          </cell>
          <cell r="G64">
            <v>0</v>
          </cell>
          <cell r="H64">
            <v>0</v>
          </cell>
          <cell r="I64">
            <v>0</v>
          </cell>
          <cell r="J64">
            <v>0</v>
          </cell>
          <cell r="K64">
            <v>0</v>
          </cell>
          <cell r="L64">
            <v>0</v>
          </cell>
        </row>
        <row r="65">
          <cell r="A65" t="str">
            <v>FYxxB J</v>
          </cell>
          <cell r="G65">
            <v>0</v>
          </cell>
          <cell r="H65">
            <v>0</v>
          </cell>
          <cell r="I65">
            <v>0</v>
          </cell>
          <cell r="J65">
            <v>0</v>
          </cell>
          <cell r="K65">
            <v>0</v>
          </cell>
          <cell r="L65">
            <v>0</v>
          </cell>
        </row>
        <row r="66">
          <cell r="A66" t="str">
            <v>FYxxB K</v>
          </cell>
          <cell r="G66">
            <v>0</v>
          </cell>
          <cell r="H66">
            <v>0</v>
          </cell>
          <cell r="I66">
            <v>0</v>
          </cell>
          <cell r="J66">
            <v>0</v>
          </cell>
          <cell r="K66">
            <v>0</v>
          </cell>
          <cell r="L66">
            <v>0</v>
          </cell>
        </row>
        <row r="67">
          <cell r="A67" t="str">
            <v>FYxxB L</v>
          </cell>
          <cell r="G67">
            <v>0</v>
          </cell>
          <cell r="H67">
            <v>0</v>
          </cell>
          <cell r="I67">
            <v>0</v>
          </cell>
          <cell r="J67">
            <v>0</v>
          </cell>
          <cell r="K67">
            <v>0</v>
          </cell>
          <cell r="L67">
            <v>0</v>
          </cell>
        </row>
        <row r="68">
          <cell r="A68" t="str">
            <v>FYxxB M</v>
          </cell>
          <cell r="G68">
            <v>0</v>
          </cell>
          <cell r="H68">
            <v>0</v>
          </cell>
          <cell r="I68">
            <v>0</v>
          </cell>
          <cell r="J68">
            <v>0</v>
          </cell>
          <cell r="K68">
            <v>0</v>
          </cell>
          <cell r="L68">
            <v>0</v>
          </cell>
        </row>
        <row r="69">
          <cell r="A69" t="str">
            <v>FYxxB N</v>
          </cell>
          <cell r="G69">
            <v>0</v>
          </cell>
          <cell r="H69">
            <v>0</v>
          </cell>
          <cell r="I69">
            <v>0</v>
          </cell>
          <cell r="J69">
            <v>0</v>
          </cell>
          <cell r="K69">
            <v>0</v>
          </cell>
          <cell r="L69">
            <v>0</v>
          </cell>
        </row>
        <row r="70">
          <cell r="A70" t="str">
            <v>FYxxB O</v>
          </cell>
          <cell r="G70">
            <v>0</v>
          </cell>
          <cell r="H70">
            <v>0</v>
          </cell>
          <cell r="I70">
            <v>0</v>
          </cell>
          <cell r="J70">
            <v>0</v>
          </cell>
          <cell r="K70">
            <v>0</v>
          </cell>
          <cell r="L70">
            <v>0</v>
          </cell>
        </row>
        <row r="71">
          <cell r="A71" t="str">
            <v>FY[xx] EBITDA</v>
          </cell>
          <cell r="F71">
            <v>0</v>
          </cell>
          <cell r="G71">
            <v>0</v>
          </cell>
          <cell r="H71">
            <v>0</v>
          </cell>
          <cell r="I71">
            <v>0</v>
          </cell>
          <cell r="J71">
            <v>0</v>
          </cell>
          <cell r="K71">
            <v>0</v>
          </cell>
          <cell r="L71">
            <v>0</v>
          </cell>
        </row>
        <row r="72">
          <cell r="A72" t="str">
            <v xml:space="preserve">FYxxB A </v>
          </cell>
          <cell r="G72">
            <v>0</v>
          </cell>
          <cell r="H72">
            <v>0</v>
          </cell>
          <cell r="I72">
            <v>0</v>
          </cell>
          <cell r="J72">
            <v>0</v>
          </cell>
          <cell r="K72">
            <v>0</v>
          </cell>
          <cell r="L72">
            <v>0</v>
          </cell>
        </row>
        <row r="73">
          <cell r="A73" t="str">
            <v>FYxxB B</v>
          </cell>
          <cell r="G73">
            <v>0</v>
          </cell>
          <cell r="H73">
            <v>0</v>
          </cell>
          <cell r="I73">
            <v>0</v>
          </cell>
          <cell r="J73">
            <v>0</v>
          </cell>
          <cell r="K73">
            <v>0</v>
          </cell>
          <cell r="L73">
            <v>0</v>
          </cell>
        </row>
        <row r="74">
          <cell r="A74" t="str">
            <v>FYxxB C</v>
          </cell>
          <cell r="G74">
            <v>0</v>
          </cell>
          <cell r="H74">
            <v>0</v>
          </cell>
          <cell r="I74">
            <v>0</v>
          </cell>
          <cell r="J74">
            <v>0</v>
          </cell>
          <cell r="K74">
            <v>0</v>
          </cell>
          <cell r="L74">
            <v>0</v>
          </cell>
        </row>
        <row r="75">
          <cell r="A75" t="str">
            <v>FYxxB D</v>
          </cell>
          <cell r="G75">
            <v>0</v>
          </cell>
          <cell r="H75">
            <v>0</v>
          </cell>
          <cell r="I75">
            <v>0</v>
          </cell>
          <cell r="J75">
            <v>0</v>
          </cell>
          <cell r="K75">
            <v>0</v>
          </cell>
          <cell r="L75">
            <v>0</v>
          </cell>
        </row>
        <row r="76">
          <cell r="A76" t="str">
            <v>FYxxB E</v>
          </cell>
          <cell r="G76">
            <v>0</v>
          </cell>
          <cell r="H76">
            <v>0</v>
          </cell>
          <cell r="I76">
            <v>0</v>
          </cell>
          <cell r="J76">
            <v>0</v>
          </cell>
          <cell r="K76">
            <v>0</v>
          </cell>
          <cell r="L76">
            <v>0</v>
          </cell>
        </row>
        <row r="77">
          <cell r="A77" t="str">
            <v>FYxxB F</v>
          </cell>
          <cell r="G77">
            <v>0</v>
          </cell>
          <cell r="H77">
            <v>0</v>
          </cell>
          <cell r="I77">
            <v>0</v>
          </cell>
          <cell r="J77">
            <v>0</v>
          </cell>
          <cell r="K77">
            <v>0</v>
          </cell>
          <cell r="L77">
            <v>0</v>
          </cell>
        </row>
        <row r="78">
          <cell r="A78" t="str">
            <v>FYxxB G</v>
          </cell>
          <cell r="G78">
            <v>0</v>
          </cell>
          <cell r="H78">
            <v>0</v>
          </cell>
          <cell r="I78">
            <v>0</v>
          </cell>
          <cell r="J78">
            <v>0</v>
          </cell>
          <cell r="K78">
            <v>0</v>
          </cell>
          <cell r="L78">
            <v>0</v>
          </cell>
        </row>
        <row r="79">
          <cell r="A79" t="str">
            <v>FYxxB H</v>
          </cell>
          <cell r="G79">
            <v>0</v>
          </cell>
          <cell r="H79">
            <v>0</v>
          </cell>
          <cell r="I79">
            <v>0</v>
          </cell>
          <cell r="J79">
            <v>0</v>
          </cell>
          <cell r="K79">
            <v>0</v>
          </cell>
          <cell r="L79">
            <v>0</v>
          </cell>
        </row>
        <row r="80">
          <cell r="A80" t="str">
            <v>FYxxB I</v>
          </cell>
          <cell r="G80">
            <v>0</v>
          </cell>
          <cell r="H80">
            <v>0</v>
          </cell>
          <cell r="I80">
            <v>0</v>
          </cell>
          <cell r="J80">
            <v>0</v>
          </cell>
          <cell r="K80">
            <v>0</v>
          </cell>
          <cell r="L80">
            <v>0</v>
          </cell>
        </row>
        <row r="81">
          <cell r="A81" t="str">
            <v>FYxxB J</v>
          </cell>
          <cell r="G81">
            <v>0</v>
          </cell>
          <cell r="H81">
            <v>0</v>
          </cell>
          <cell r="I81">
            <v>0</v>
          </cell>
          <cell r="J81">
            <v>0</v>
          </cell>
          <cell r="K81">
            <v>0</v>
          </cell>
          <cell r="L81">
            <v>0</v>
          </cell>
        </row>
        <row r="82">
          <cell r="A82" t="str">
            <v>FYxxB K</v>
          </cell>
          <cell r="G82">
            <v>0</v>
          </cell>
          <cell r="H82">
            <v>0</v>
          </cell>
          <cell r="I82">
            <v>0</v>
          </cell>
          <cell r="J82">
            <v>0</v>
          </cell>
          <cell r="K82">
            <v>0</v>
          </cell>
          <cell r="L82">
            <v>0</v>
          </cell>
        </row>
        <row r="83">
          <cell r="A83" t="str">
            <v>FYxxB L</v>
          </cell>
          <cell r="G83">
            <v>0</v>
          </cell>
          <cell r="H83">
            <v>0</v>
          </cell>
          <cell r="I83">
            <v>0</v>
          </cell>
          <cell r="J83">
            <v>0</v>
          </cell>
          <cell r="K83">
            <v>0</v>
          </cell>
          <cell r="L83">
            <v>0</v>
          </cell>
        </row>
        <row r="84">
          <cell r="A84" t="str">
            <v>FYxxB M</v>
          </cell>
          <cell r="G84">
            <v>0</v>
          </cell>
          <cell r="H84">
            <v>0</v>
          </cell>
          <cell r="I84">
            <v>0</v>
          </cell>
          <cell r="J84">
            <v>0</v>
          </cell>
          <cell r="K84">
            <v>0</v>
          </cell>
          <cell r="L84">
            <v>0</v>
          </cell>
        </row>
        <row r="85">
          <cell r="A85" t="str">
            <v>FYxxB N</v>
          </cell>
          <cell r="G85">
            <v>0</v>
          </cell>
          <cell r="H85">
            <v>0</v>
          </cell>
          <cell r="I85">
            <v>0</v>
          </cell>
          <cell r="J85">
            <v>0</v>
          </cell>
          <cell r="K85">
            <v>0</v>
          </cell>
          <cell r="L85">
            <v>0</v>
          </cell>
        </row>
        <row r="86">
          <cell r="A86" t="str">
            <v>FYxxB O</v>
          </cell>
          <cell r="G86">
            <v>0</v>
          </cell>
          <cell r="H86">
            <v>0</v>
          </cell>
          <cell r="I86">
            <v>0</v>
          </cell>
          <cell r="J86">
            <v>0</v>
          </cell>
          <cell r="K86">
            <v>0</v>
          </cell>
          <cell r="L86">
            <v>0</v>
          </cell>
        </row>
        <row r="87">
          <cell r="A87" t="str">
            <v>FY[xx] EBITDA</v>
          </cell>
          <cell r="F87">
            <v>0</v>
          </cell>
          <cell r="G87">
            <v>0</v>
          </cell>
          <cell r="H87">
            <v>0</v>
          </cell>
          <cell r="I87">
            <v>0</v>
          </cell>
          <cell r="J87">
            <v>0</v>
          </cell>
          <cell r="K87">
            <v>0</v>
          </cell>
          <cell r="L87">
            <v>0</v>
          </cell>
        </row>
        <row r="88">
          <cell r="A88" t="str">
            <v xml:space="preserve">FYxxB A </v>
          </cell>
          <cell r="G88">
            <v>0</v>
          </cell>
          <cell r="H88">
            <v>0</v>
          </cell>
          <cell r="I88">
            <v>0</v>
          </cell>
          <cell r="J88">
            <v>0</v>
          </cell>
          <cell r="K88">
            <v>0</v>
          </cell>
          <cell r="L88">
            <v>0</v>
          </cell>
        </row>
        <row r="89">
          <cell r="A89" t="str">
            <v>FYxxB B</v>
          </cell>
          <cell r="G89">
            <v>0</v>
          </cell>
          <cell r="H89">
            <v>0</v>
          </cell>
          <cell r="I89">
            <v>0</v>
          </cell>
          <cell r="J89">
            <v>0</v>
          </cell>
          <cell r="K89">
            <v>0</v>
          </cell>
          <cell r="L89">
            <v>0</v>
          </cell>
        </row>
        <row r="90">
          <cell r="A90" t="str">
            <v>FYxxB C</v>
          </cell>
          <cell r="G90">
            <v>0</v>
          </cell>
          <cell r="H90">
            <v>0</v>
          </cell>
          <cell r="I90">
            <v>0</v>
          </cell>
          <cell r="J90">
            <v>0</v>
          </cell>
          <cell r="K90">
            <v>0</v>
          </cell>
          <cell r="L90">
            <v>0</v>
          </cell>
        </row>
        <row r="91">
          <cell r="A91" t="str">
            <v>FYxxB D</v>
          </cell>
          <cell r="G91">
            <v>0</v>
          </cell>
          <cell r="H91">
            <v>0</v>
          </cell>
          <cell r="I91">
            <v>0</v>
          </cell>
          <cell r="J91">
            <v>0</v>
          </cell>
          <cell r="K91">
            <v>0</v>
          </cell>
          <cell r="L91">
            <v>0</v>
          </cell>
        </row>
        <row r="92">
          <cell r="A92" t="str">
            <v>FYxxB E</v>
          </cell>
          <cell r="G92">
            <v>0</v>
          </cell>
          <cell r="H92">
            <v>0</v>
          </cell>
          <cell r="I92">
            <v>0</v>
          </cell>
          <cell r="J92">
            <v>0</v>
          </cell>
          <cell r="K92">
            <v>0</v>
          </cell>
          <cell r="L92">
            <v>0</v>
          </cell>
        </row>
        <row r="93">
          <cell r="A93" t="str">
            <v>FYxxB F</v>
          </cell>
          <cell r="G93">
            <v>0</v>
          </cell>
          <cell r="H93">
            <v>0</v>
          </cell>
          <cell r="I93">
            <v>0</v>
          </cell>
          <cell r="J93">
            <v>0</v>
          </cell>
          <cell r="K93">
            <v>0</v>
          </cell>
          <cell r="L93">
            <v>0</v>
          </cell>
        </row>
        <row r="94">
          <cell r="A94" t="str">
            <v>FYxxB G</v>
          </cell>
          <cell r="G94">
            <v>0</v>
          </cell>
          <cell r="H94">
            <v>0</v>
          </cell>
          <cell r="I94">
            <v>0</v>
          </cell>
          <cell r="J94">
            <v>0</v>
          </cell>
          <cell r="K94">
            <v>0</v>
          </cell>
          <cell r="L94">
            <v>0</v>
          </cell>
        </row>
        <row r="95">
          <cell r="A95" t="str">
            <v>FYxxB H</v>
          </cell>
          <cell r="G95">
            <v>0</v>
          </cell>
          <cell r="H95">
            <v>0</v>
          </cell>
          <cell r="I95">
            <v>0</v>
          </cell>
          <cell r="J95">
            <v>0</v>
          </cell>
          <cell r="K95">
            <v>0</v>
          </cell>
          <cell r="L95">
            <v>0</v>
          </cell>
        </row>
        <row r="96">
          <cell r="A96" t="str">
            <v>FYxxB I</v>
          </cell>
          <cell r="G96">
            <v>0</v>
          </cell>
          <cell r="H96">
            <v>0</v>
          </cell>
          <cell r="I96">
            <v>0</v>
          </cell>
          <cell r="J96">
            <v>0</v>
          </cell>
          <cell r="K96">
            <v>0</v>
          </cell>
          <cell r="L96">
            <v>0</v>
          </cell>
        </row>
        <row r="97">
          <cell r="A97" t="str">
            <v>FYxxB J</v>
          </cell>
          <cell r="G97">
            <v>0</v>
          </cell>
          <cell r="H97">
            <v>0</v>
          </cell>
          <cell r="I97">
            <v>0</v>
          </cell>
          <cell r="J97">
            <v>0</v>
          </cell>
          <cell r="K97">
            <v>0</v>
          </cell>
          <cell r="L97">
            <v>0</v>
          </cell>
        </row>
        <row r="98">
          <cell r="A98" t="str">
            <v>FYxxB K</v>
          </cell>
          <cell r="G98">
            <v>0</v>
          </cell>
          <cell r="H98">
            <v>0</v>
          </cell>
          <cell r="I98">
            <v>0</v>
          </cell>
          <cell r="J98">
            <v>0</v>
          </cell>
          <cell r="K98">
            <v>0</v>
          </cell>
          <cell r="L98">
            <v>0</v>
          </cell>
        </row>
        <row r="99">
          <cell r="A99" t="str">
            <v>FYxxB L</v>
          </cell>
          <cell r="G99">
            <v>0</v>
          </cell>
          <cell r="H99">
            <v>0</v>
          </cell>
          <cell r="I99">
            <v>0</v>
          </cell>
          <cell r="J99">
            <v>0</v>
          </cell>
          <cell r="K99">
            <v>0</v>
          </cell>
          <cell r="L99">
            <v>0</v>
          </cell>
        </row>
        <row r="100">
          <cell r="A100" t="str">
            <v>FYxxB M</v>
          </cell>
          <cell r="G100">
            <v>0</v>
          </cell>
          <cell r="H100">
            <v>0</v>
          </cell>
          <cell r="I100">
            <v>0</v>
          </cell>
          <cell r="J100">
            <v>0</v>
          </cell>
          <cell r="K100">
            <v>0</v>
          </cell>
          <cell r="L100">
            <v>0</v>
          </cell>
        </row>
        <row r="101">
          <cell r="A101" t="str">
            <v>FYxxB N</v>
          </cell>
          <cell r="G101">
            <v>0</v>
          </cell>
          <cell r="H101">
            <v>0</v>
          </cell>
          <cell r="I101">
            <v>0</v>
          </cell>
          <cell r="J101">
            <v>0</v>
          </cell>
          <cell r="K101">
            <v>0</v>
          </cell>
          <cell r="L101">
            <v>0</v>
          </cell>
        </row>
        <row r="102">
          <cell r="A102" t="str">
            <v>FYxxB O</v>
          </cell>
          <cell r="G102">
            <v>0</v>
          </cell>
          <cell r="H102">
            <v>0</v>
          </cell>
          <cell r="I102">
            <v>0</v>
          </cell>
          <cell r="J102">
            <v>0</v>
          </cell>
          <cell r="K102">
            <v>0</v>
          </cell>
          <cell r="L102">
            <v>0</v>
          </cell>
        </row>
        <row r="103">
          <cell r="A103" t="str">
            <v>FY[xx] EBITDA</v>
          </cell>
          <cell r="F103">
            <v>0</v>
          </cell>
          <cell r="G103">
            <v>0</v>
          </cell>
          <cell r="H103">
            <v>0</v>
          </cell>
          <cell r="I103">
            <v>0</v>
          </cell>
          <cell r="J103">
            <v>0</v>
          </cell>
          <cell r="K103">
            <v>0</v>
          </cell>
          <cell r="L103">
            <v>0</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редопл"/>
    </sheetNames>
    <sheetDataSet>
      <sheetData sheetId="0"/>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tt göra"/>
      <sheetName val="Input"/>
      <sheetName val="Balance sheet"/>
      <sheetName val="Sum of Val"/>
      <sheetName val="WARA"/>
      <sheetName val="BEV"/>
      <sheetName val="BEV to pres."/>
      <sheetName val="Cover"/>
      <sheetName val="Revenue detail"/>
      <sheetName val="Technology RFR"/>
      <sheetName val="Brand RFR"/>
      <sheetName val="Customers MEEM"/>
      <sheetName val="CAC"/>
      <sheetName val="Workforce"/>
      <sheetName val="Template"/>
    </sheetNames>
    <sheetDataSet>
      <sheetData sheetId="0"/>
      <sheetData sheetId="1">
        <row r="20">
          <cell r="B20">
            <v>0.02</v>
          </cell>
        </row>
        <row r="22">
          <cell r="B22">
            <v>12</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lad1"/>
      <sheetName val="__FDSCACHE__"/>
      <sheetName val="Blad1 (2)"/>
      <sheetName val="Blad2"/>
      <sheetName val="Blad3"/>
    </sheetNames>
    <sheetDataSet>
      <sheetData sheetId="0" refreshError="1">
        <row r="5">
          <cell r="C5" t="str">
            <v>10/30/2006</v>
          </cell>
        </row>
      </sheetData>
      <sheetData sheetId="1" refreshError="1"/>
      <sheetData sheetId="2" refreshError="1"/>
      <sheetData sheetId="3" refreshError="1"/>
      <sheetData sheetId="4"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списки"/>
      <sheetName val="проверки"/>
    </sheetNames>
    <sheetDataSet>
      <sheetData sheetId="0">
        <row r="1">
          <cell r="C1" t="str">
            <v>"Николаевстандартметрология", инженеры Щербинин В.В, Цегельник Т.Г.</v>
          </cell>
          <cell r="G1" t="str">
            <v xml:space="preserve">Акт обследования от </v>
          </cell>
          <cell r="I1" t="str">
            <v>Завод № 1</v>
          </cell>
        </row>
        <row r="2">
          <cell r="C2" t="str">
            <v>Гл. метролог ООО "Сандора" Мазуров Д.П.</v>
          </cell>
          <cell r="G2" t="str">
            <v>Акт от</v>
          </cell>
          <cell r="I2" t="str">
            <v>Лаборатория, Завод № 1</v>
          </cell>
        </row>
        <row r="3">
          <cell r="C3" t="str">
            <v>Жовтневая СЭС, зав. Баклабораторией Односумова Т.Д.</v>
          </cell>
        </row>
        <row r="4">
          <cell r="C4" t="str">
            <v>Жовтневая СЭС, санитарный врач по гигиене питания Солощенко  И.А.</v>
          </cell>
        </row>
      </sheetData>
      <sheetData sheetId="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списки"/>
      <sheetName val="проверки"/>
    </sheetNames>
    <sheetDataSet>
      <sheetData sheetId="0">
        <row r="1">
          <cell r="C1" t="str">
            <v>"Николаевстандартметрология", инженеры Щербинин В.В, Цегельник Т.Г.</v>
          </cell>
          <cell r="E1" t="str">
            <v>Контроль соблюдения условий проведение измерений производственной измерительной лабораторией ООО "Сандора"</v>
          </cell>
          <cell r="G1" t="str">
            <v xml:space="preserve">Акт обследования от </v>
          </cell>
          <cell r="I1" t="str">
            <v>Завод № 1</v>
          </cell>
        </row>
        <row r="2">
          <cell r="C2" t="str">
            <v>Гл. метролог ООО "Сандора" Мазуров Д.П.</v>
          </cell>
          <cell r="E2" t="str">
            <v>Обследование микробиологической лаборатории ООО "Сандора"</v>
          </cell>
          <cell r="G2" t="str">
            <v>Акт от</v>
          </cell>
          <cell r="I2" t="str">
            <v>Лаборатория, Завод № 1</v>
          </cell>
        </row>
        <row r="3">
          <cell r="C3" t="str">
            <v>Жовтневая СЭС, зав. Баклабораторией Односумова Т.Д.</v>
          </cell>
          <cell r="E3" t="str">
            <v>Плановая проверка завода</v>
          </cell>
        </row>
        <row r="4">
          <cell r="C4" t="str">
            <v>Жовтневая СЭС, санитарный врач по гигиене питания Солощенко  И.А.</v>
          </cell>
          <cell r="E4" t="str">
            <v>Прверка перечня СИТ в производственной лаборатории ПК №1</v>
          </cell>
        </row>
      </sheetData>
      <sheetData sheetId="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5.xml.rels><?xml version="1.0" encoding="UTF-8" standalone="yes"?>
<Relationships xmlns="http://schemas.openxmlformats.org/package/2006/relationships"><Relationship Id="rId3" Type="http://schemas.openxmlformats.org/officeDocument/2006/relationships/printerSettings" Target="../printerSettings/printerSettings27.bin"/><Relationship Id="rId2" Type="http://schemas.openxmlformats.org/officeDocument/2006/relationships/hyperlink" Target="http://eur-lex.europa.eu/eli/reg/2013/1303?locale=LV" TargetMode="External"/><Relationship Id="rId1" Type="http://schemas.openxmlformats.org/officeDocument/2006/relationships/hyperlink" Target="http://eur-lex.europa.eu/eli/reg/2014/480?locale=LV" TargetMode="External"/></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D121"/>
  <sheetViews>
    <sheetView workbookViewId="0">
      <selection activeCell="B2" sqref="B2"/>
    </sheetView>
  </sheetViews>
  <sheetFormatPr defaultRowHeight="12.75"/>
  <cols>
    <col min="1" max="1" width="14.42578125" style="1758" customWidth="1"/>
    <col min="2" max="2" width="27.140625" style="1758" customWidth="1"/>
    <col min="3" max="16384" width="9.140625" style="1758"/>
  </cols>
  <sheetData>
    <row r="1" spans="1:4" ht="34.5" customHeight="1">
      <c r="A1" s="1755" t="s">
        <v>1037</v>
      </c>
      <c r="B1" s="1756" t="s">
        <v>1045</v>
      </c>
      <c r="C1" s="1757" t="s">
        <v>1118</v>
      </c>
      <c r="D1" s="1758" t="s">
        <v>1129</v>
      </c>
    </row>
    <row r="2" spans="1:4" ht="42.75" customHeight="1">
      <c r="A2" s="1759">
        <v>0.2359</v>
      </c>
      <c r="B2" s="1760">
        <f>IF(Titullapa!C6="IEŅĒMUMUS NEGŪSTOŠS PROJEKTS",1,2)</f>
        <v>2</v>
      </c>
      <c r="C2" s="1757" t="s">
        <v>90</v>
      </c>
      <c r="D2" s="1761">
        <v>0.2</v>
      </c>
    </row>
    <row r="3" spans="1:4" ht="27.75" customHeight="1">
      <c r="C3" s="1757" t="s">
        <v>89</v>
      </c>
    </row>
    <row r="4" spans="1:4" ht="15" customHeight="1"/>
    <row r="5" spans="1:4" ht="15" customHeight="1"/>
    <row r="6" spans="1:4" ht="15" customHeight="1"/>
    <row r="7" spans="1:4" ht="15" customHeight="1"/>
    <row r="8" spans="1:4" ht="15" customHeight="1"/>
    <row r="9" spans="1:4" ht="15" customHeight="1"/>
    <row r="10" spans="1:4" ht="15" customHeight="1"/>
    <row r="11" spans="1:4" ht="15" customHeight="1"/>
    <row r="12" spans="1:4" ht="15" customHeight="1"/>
    <row r="13" spans="1:4" ht="15" customHeight="1"/>
    <row r="14" spans="1:4" ht="15" customHeight="1"/>
    <row r="15" spans="1:4" ht="15" customHeight="1"/>
    <row r="16" spans="1:4"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sheetData>
  <sheetProtection algorithmName="SHA-512" hashValue="FEghdQyS9d1AYKsyC8OqTHeD878wCcKzm5ZEtD7oPq6Yh7ss+YT6cSWgihU17faotYEgHbKGUtooJR+VT1G9JQ==" saltValue="ddUow1h1O+ftL2VqB5xF8A==" spinCount="100000" sheet="1" objects="1" scenarios="1"/>
  <pageMargins left="0.7" right="0.7" top="0.75" bottom="0.75" header="0.3" footer="0.3"/>
  <pageSetup paperSize="9" orientation="portrait" vertic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theme="7"/>
    <pageSetUpPr fitToPage="1"/>
  </sheetPr>
  <dimension ref="A1:BH400"/>
  <sheetViews>
    <sheetView zoomScale="85" zoomScaleNormal="85" workbookViewId="0">
      <selection activeCell="J16" sqref="J16"/>
    </sheetView>
  </sheetViews>
  <sheetFormatPr defaultRowHeight="12.75"/>
  <cols>
    <col min="1" max="1" width="5.42578125" style="777" customWidth="1"/>
    <col min="2" max="2" width="59.42578125" style="777" customWidth="1"/>
    <col min="3" max="3" width="12.5703125" style="777" customWidth="1"/>
    <col min="4" max="4" width="11.28515625" style="777" customWidth="1"/>
    <col min="5" max="5" width="12.140625" style="777" customWidth="1"/>
    <col min="6" max="6" width="12.28515625" style="777" customWidth="1"/>
    <col min="7" max="7" width="12.140625" style="777" customWidth="1"/>
    <col min="8" max="8" width="13.28515625" style="777" customWidth="1"/>
    <col min="9" max="9" width="12.42578125" style="777" customWidth="1"/>
    <col min="10" max="10" width="13.42578125" style="777" customWidth="1"/>
    <col min="11" max="17" width="11.28515625" style="777" customWidth="1"/>
    <col min="18" max="60" width="9.140625" style="808"/>
    <col min="61" max="16384" width="9.140625" style="777"/>
  </cols>
  <sheetData>
    <row r="1" spans="1:60" s="1766" customFormat="1" ht="27" customHeight="1">
      <c r="A1" s="2218" t="s">
        <v>1059</v>
      </c>
      <c r="B1" s="2218"/>
      <c r="C1" s="1765"/>
      <c r="D1" s="1765"/>
      <c r="E1" s="1765"/>
      <c r="F1" s="1847"/>
      <c r="G1" s="1765"/>
      <c r="H1" s="1765"/>
      <c r="I1" s="1765"/>
      <c r="J1" s="1765"/>
      <c r="K1" s="1765"/>
      <c r="L1" s="1765"/>
      <c r="M1" s="1765"/>
      <c r="N1" s="1765"/>
      <c r="O1" s="1765"/>
      <c r="P1" s="1765"/>
      <c r="Q1" s="1765"/>
      <c r="R1" s="1765"/>
      <c r="S1" s="1765"/>
      <c r="T1" s="1765"/>
      <c r="U1" s="1765"/>
      <c r="V1" s="1765"/>
      <c r="W1" s="1765"/>
      <c r="X1" s="1765"/>
      <c r="Y1" s="1765"/>
      <c r="Z1" s="1765"/>
      <c r="AA1" s="1765"/>
      <c r="AB1" s="1765"/>
      <c r="AC1" s="1765"/>
      <c r="AD1" s="1765"/>
      <c r="AE1" s="1765"/>
      <c r="AF1" s="1765"/>
      <c r="AG1" s="1765"/>
      <c r="AH1" s="1765"/>
      <c r="AI1" s="1765"/>
      <c r="AJ1" s="1765"/>
      <c r="AK1" s="1765"/>
      <c r="AL1" s="1765"/>
      <c r="AM1" s="1765"/>
      <c r="AN1" s="1765"/>
      <c r="AO1" s="1765"/>
      <c r="AP1" s="1765"/>
      <c r="AQ1" s="1765"/>
      <c r="AR1" s="1765"/>
      <c r="AS1" s="1765"/>
      <c r="AT1" s="1765"/>
      <c r="AU1" s="1765"/>
      <c r="AV1" s="1765"/>
      <c r="AW1" s="1765"/>
      <c r="AX1" s="1765"/>
      <c r="AY1" s="1765"/>
      <c r="AZ1" s="1765"/>
      <c r="BA1" s="1765"/>
      <c r="BB1" s="1765"/>
      <c r="BC1" s="1765"/>
      <c r="BD1" s="1765"/>
      <c r="BE1" s="1765"/>
      <c r="BF1" s="1765"/>
      <c r="BG1" s="1765"/>
      <c r="BH1" s="1765"/>
    </row>
    <row r="2" spans="1:60" ht="24.95" customHeight="1">
      <c r="A2" s="2179" t="s">
        <v>1065</v>
      </c>
      <c r="B2" s="2179"/>
      <c r="C2" s="2179"/>
      <c r="D2" s="2179"/>
      <c r="E2" s="808"/>
      <c r="F2" s="808"/>
      <c r="G2" s="808"/>
      <c r="H2" s="808"/>
      <c r="I2" s="808"/>
      <c r="J2" s="808"/>
      <c r="K2" s="808"/>
      <c r="L2" s="808"/>
      <c r="M2" s="808"/>
      <c r="N2" s="808"/>
      <c r="O2" s="808"/>
      <c r="P2" s="808"/>
      <c r="Q2" s="808"/>
    </row>
    <row r="3" spans="1:60" ht="23.25" customHeight="1">
      <c r="A3" s="2180" t="s">
        <v>255</v>
      </c>
      <c r="B3" s="2181" t="s">
        <v>881</v>
      </c>
      <c r="C3" s="2177" t="s">
        <v>1097</v>
      </c>
      <c r="D3" s="2173" t="s">
        <v>882</v>
      </c>
      <c r="E3" s="2173"/>
      <c r="F3" s="2173" t="s">
        <v>899</v>
      </c>
      <c r="G3" s="2173"/>
      <c r="H3" s="1848"/>
      <c r="I3" s="2177" t="str">
        <f>'1. DL budžets'!I3:J3</f>
        <v>LĪDZ PROJEKTA IESNIEGŠANAI, bet ne agrāk kā no 01.01.2016.</v>
      </c>
      <c r="J3" s="2177"/>
      <c r="K3" s="2173">
        <f>Titullapa!E8</f>
        <v>2017</v>
      </c>
      <c r="L3" s="2173"/>
      <c r="M3" s="2173">
        <f>K3+1</f>
        <v>2018</v>
      </c>
      <c r="N3" s="2173"/>
      <c r="O3" s="2173">
        <f t="shared" ref="O3" si="0">M3+1</f>
        <v>2019</v>
      </c>
      <c r="P3" s="2173"/>
      <c r="Q3" s="808"/>
      <c r="V3" s="1849"/>
      <c r="W3" s="1849"/>
      <c r="X3" s="1849"/>
      <c r="Y3" s="1849"/>
      <c r="Z3" s="1849"/>
      <c r="AA3" s="1849"/>
      <c r="AB3" s="1849"/>
      <c r="AC3" s="1849"/>
      <c r="AD3" s="1849"/>
      <c r="AE3" s="1849"/>
      <c r="AF3" s="1849"/>
      <c r="AG3" s="1849"/>
      <c r="AH3" s="1849"/>
      <c r="AI3" s="1849"/>
      <c r="AJ3" s="1849"/>
      <c r="AK3" s="1849"/>
      <c r="AM3" s="1850">
        <v>0.55000000000000004</v>
      </c>
      <c r="BH3" s="777"/>
    </row>
    <row r="4" spans="1:60" ht="38.25">
      <c r="A4" s="2180"/>
      <c r="B4" s="2181" t="s">
        <v>885</v>
      </c>
      <c r="C4" s="2177"/>
      <c r="D4" s="1851" t="s">
        <v>873</v>
      </c>
      <c r="E4" s="1851" t="s">
        <v>15</v>
      </c>
      <c r="F4" s="1851" t="s">
        <v>883</v>
      </c>
      <c r="G4" s="1851" t="s">
        <v>884</v>
      </c>
      <c r="H4" s="1848" t="s">
        <v>902</v>
      </c>
      <c r="I4" s="1852" t="s">
        <v>900</v>
      </c>
      <c r="J4" s="1852" t="s">
        <v>901</v>
      </c>
      <c r="K4" s="1852" t="s">
        <v>900</v>
      </c>
      <c r="L4" s="1852" t="s">
        <v>901</v>
      </c>
      <c r="M4" s="1852" t="s">
        <v>900</v>
      </c>
      <c r="N4" s="1852" t="s">
        <v>901</v>
      </c>
      <c r="O4" s="1852" t="s">
        <v>900</v>
      </c>
      <c r="P4" s="1852" t="s">
        <v>901</v>
      </c>
      <c r="Q4" s="808"/>
      <c r="V4" s="1849"/>
      <c r="W4" s="1849"/>
      <c r="X4" s="1849"/>
      <c r="Y4" s="1849"/>
      <c r="Z4" s="1849"/>
      <c r="AA4" s="1849"/>
      <c r="AB4" s="1849"/>
      <c r="AC4" s="1849"/>
      <c r="AD4" s="1849"/>
      <c r="AE4" s="1849"/>
      <c r="AF4" s="1849"/>
      <c r="AG4" s="1849"/>
      <c r="AH4" s="1849"/>
      <c r="AI4" s="1849"/>
      <c r="AJ4" s="1849"/>
      <c r="AK4" s="1849"/>
      <c r="AM4" s="1850">
        <v>0.45</v>
      </c>
      <c r="BH4" s="777"/>
    </row>
    <row r="5" spans="1:60" s="772" customFormat="1">
      <c r="A5" s="1853">
        <v>1</v>
      </c>
      <c r="B5" s="1854" t="str">
        <f>'1. DL budžets'!B5</f>
        <v>Projekta izmaksas saskaņā ar vienoto izmaksu likmi (netiešās izmaksas)</v>
      </c>
      <c r="C5" s="1988">
        <f>IF(F5&gt;0, H5/F5/'17.PIV 4. pielikums finanšu an.'!$C$22, 0%)</f>
        <v>0.84999999999999987</v>
      </c>
      <c r="D5" s="1856">
        <f>F5+G5</f>
        <v>1500</v>
      </c>
      <c r="E5" s="1989">
        <f>D5/$D$16</f>
        <v>2.051562606852219E-2</v>
      </c>
      <c r="F5" s="1858">
        <f>ROUND(I5+K5+M5+O5,2)</f>
        <v>1500</v>
      </c>
      <c r="G5" s="1856">
        <f>ROUND(J5+L5+N5+P5,2)</f>
        <v>0</v>
      </c>
      <c r="H5" s="1856">
        <f>'1. DL budžets'!H5</f>
        <v>1272.5329333150337</v>
      </c>
      <c r="I5" s="1856">
        <f>'1. DL budžets'!I5</f>
        <v>0</v>
      </c>
      <c r="J5" s="1856">
        <f>'1. DL budžets'!J5</f>
        <v>0</v>
      </c>
      <c r="K5" s="1856">
        <f>'1. DL budžets'!K5</f>
        <v>750</v>
      </c>
      <c r="L5" s="1856">
        <f>'1. DL budžets'!L5</f>
        <v>0</v>
      </c>
      <c r="M5" s="1856">
        <f>'1. DL budžets'!M5</f>
        <v>750</v>
      </c>
      <c r="N5" s="1856">
        <f>'1. DL budžets'!N5</f>
        <v>0</v>
      </c>
      <c r="O5" s="1856">
        <f>'1. DL budžets'!O5</f>
        <v>0</v>
      </c>
      <c r="P5" s="1856">
        <f>'1. DL budžets'!P5</f>
        <v>0</v>
      </c>
      <c r="Q5" s="808"/>
      <c r="R5" s="808"/>
      <c r="S5" s="808"/>
      <c r="T5" s="808"/>
      <c r="U5" s="808"/>
      <c r="V5" s="1849"/>
      <c r="W5" s="1849"/>
      <c r="X5" s="1849"/>
      <c r="Y5" s="1849"/>
      <c r="Z5" s="1849"/>
      <c r="AA5" s="1849"/>
      <c r="AB5" s="1849"/>
      <c r="AC5" s="1849"/>
      <c r="AD5" s="1849"/>
      <c r="AE5" s="1849"/>
      <c r="AF5" s="1849"/>
      <c r="AG5" s="1849"/>
      <c r="AH5" s="1849"/>
      <c r="AI5" s="1849"/>
      <c r="AJ5" s="1849"/>
      <c r="AK5" s="1849"/>
      <c r="AL5" s="808"/>
      <c r="AM5" s="1850">
        <v>0.35</v>
      </c>
      <c r="AN5" s="808"/>
      <c r="AO5" s="808"/>
      <c r="AP5" s="808"/>
      <c r="AQ5" s="808"/>
      <c r="AR5" s="808"/>
      <c r="AS5" s="808"/>
      <c r="AT5" s="808"/>
      <c r="AU5" s="808"/>
      <c r="AV5" s="808"/>
      <c r="AW5" s="808"/>
      <c r="AX5" s="808"/>
      <c r="AY5" s="808"/>
      <c r="AZ5" s="808"/>
      <c r="BA5" s="808"/>
      <c r="BB5" s="808"/>
      <c r="BC5" s="808"/>
      <c r="BD5" s="808"/>
      <c r="BE5" s="808"/>
      <c r="BF5" s="808"/>
      <c r="BG5" s="808"/>
    </row>
    <row r="6" spans="1:60">
      <c r="A6" s="1853">
        <v>2</v>
      </c>
      <c r="B6" s="1854" t="str">
        <f>'1. DL budžets'!B6</f>
        <v xml:space="preserve">Atlīdzības izmaksas projekta vadības personālam </v>
      </c>
      <c r="C6" s="1988">
        <f>IF(F6&gt;0, H6/F6/'17.PIV 4. pielikums finanšu an.'!$C$22, 0%)</f>
        <v>0.85</v>
      </c>
      <c r="D6" s="1856">
        <f t="shared" ref="D6:D15" si="1">F6+G6</f>
        <v>15600</v>
      </c>
      <c r="E6" s="1989"/>
      <c r="F6" s="1858">
        <f t="shared" ref="F6:F15" si="2">ROUND(I6+K6+M6+O6,2)</f>
        <v>15000</v>
      </c>
      <c r="G6" s="1856">
        <f t="shared" ref="G6:G15" si="3">ROUND(J6+L6+N6+P6,2)</f>
        <v>600</v>
      </c>
      <c r="H6" s="1856">
        <f>'1. DL budžets'!H6</f>
        <v>12725.329333150337</v>
      </c>
      <c r="I6" s="1856">
        <f>'1. DL budžets'!I6</f>
        <v>0</v>
      </c>
      <c r="J6" s="1856">
        <f>'1. DL budžets'!J6</f>
        <v>0</v>
      </c>
      <c r="K6" s="1856">
        <f>'1. DL budžets'!K6</f>
        <v>5000</v>
      </c>
      <c r="L6" s="1856">
        <f>'1. DL budžets'!L6</f>
        <v>200</v>
      </c>
      <c r="M6" s="1856">
        <f>'1. DL budžets'!M6</f>
        <v>5000</v>
      </c>
      <c r="N6" s="1856">
        <f>'1. DL budžets'!N6</f>
        <v>200</v>
      </c>
      <c r="O6" s="1856">
        <f>'1. DL budžets'!O6</f>
        <v>5000</v>
      </c>
      <c r="P6" s="1856">
        <f>'1. DL budžets'!P6</f>
        <v>200</v>
      </c>
      <c r="Q6" s="808"/>
      <c r="V6" s="1849"/>
      <c r="W6" s="1849"/>
      <c r="X6" s="1849"/>
      <c r="Y6" s="1849"/>
      <c r="Z6" s="1849"/>
      <c r="AA6" s="1849"/>
      <c r="AB6" s="1849"/>
      <c r="AC6" s="1849"/>
      <c r="AD6" s="1849"/>
      <c r="AE6" s="1849"/>
      <c r="AF6" s="1849"/>
      <c r="AG6" s="1849"/>
      <c r="AH6" s="1849"/>
      <c r="AI6" s="1849"/>
      <c r="AJ6" s="1849"/>
      <c r="AK6" s="1849"/>
      <c r="AM6" s="1480"/>
      <c r="BH6" s="777"/>
    </row>
    <row r="7" spans="1:60">
      <c r="A7" s="1863" t="s">
        <v>14</v>
      </c>
      <c r="B7" s="1864" t="str">
        <f>'1. DL budžets'!B7</f>
        <v xml:space="preserve">Atlīdzības izmaksas projekta vadības personālam </v>
      </c>
      <c r="C7" s="1990">
        <f>IF(F7&gt;0, H7/F7/'17.PIV 4. pielikums finanšu an.'!$C$22, 0%)</f>
        <v>0.85</v>
      </c>
      <c r="D7" s="1991">
        <f t="shared" si="1"/>
        <v>15600</v>
      </c>
      <c r="E7" s="1989">
        <f>D7/$D$16</f>
        <v>0.2133625111126308</v>
      </c>
      <c r="F7" s="1858">
        <f t="shared" si="2"/>
        <v>15000</v>
      </c>
      <c r="G7" s="1856">
        <f t="shared" si="3"/>
        <v>600</v>
      </c>
      <c r="H7" s="1856">
        <f>'1. DL budžets'!H7</f>
        <v>12725.329333150337</v>
      </c>
      <c r="I7" s="1991">
        <f>'1. DL budžets'!I7</f>
        <v>0</v>
      </c>
      <c r="J7" s="1991">
        <f>'1. DL budžets'!J7</f>
        <v>0</v>
      </c>
      <c r="K7" s="1991">
        <f>'1. DL budžets'!K7</f>
        <v>5000</v>
      </c>
      <c r="L7" s="1991">
        <f>'1. DL budžets'!L7</f>
        <v>200</v>
      </c>
      <c r="M7" s="1991">
        <f>'1. DL budžets'!M7</f>
        <v>5000</v>
      </c>
      <c r="N7" s="1991">
        <f>'1. DL budžets'!N7</f>
        <v>200</v>
      </c>
      <c r="O7" s="1991">
        <f>'1. DL budžets'!O7</f>
        <v>5000</v>
      </c>
      <c r="P7" s="1991">
        <f>'1. DL budžets'!P7</f>
        <v>200</v>
      </c>
      <c r="Q7" s="808"/>
      <c r="V7" s="1849"/>
      <c r="W7" s="1849"/>
      <c r="X7" s="1849"/>
      <c r="Y7" s="1849"/>
      <c r="Z7" s="1849"/>
      <c r="AA7" s="1849"/>
      <c r="AB7" s="1849"/>
      <c r="AC7" s="1849"/>
      <c r="AD7" s="1849"/>
      <c r="AE7" s="1849"/>
      <c r="AF7" s="1849"/>
      <c r="AG7" s="1849"/>
      <c r="AH7" s="1849"/>
      <c r="AI7" s="1849"/>
      <c r="AJ7" s="1849"/>
      <c r="AK7" s="1849"/>
      <c r="AM7" s="1480"/>
      <c r="BH7" s="777"/>
    </row>
    <row r="8" spans="1:60" ht="25.5">
      <c r="A8" s="1853">
        <v>3</v>
      </c>
      <c r="B8" s="1854" t="str">
        <f>'1. DL budžets'!B8</f>
        <v>Pakalpojumu, preču piegāžu un būvdarbu līgumu izmaksas MK noteikumu 27.punktā minētajām atbalstāmajām darbībām</v>
      </c>
      <c r="C8" s="1988">
        <f>IF(F8&gt;0, H8/F8/'17.PIV 4. pielikums finanšu an.'!$C$22, 0%)</f>
        <v>0.85</v>
      </c>
      <c r="D8" s="1856">
        <f t="shared" si="1"/>
        <v>45515</v>
      </c>
      <c r="E8" s="1989"/>
      <c r="F8" s="1858">
        <f t="shared" si="2"/>
        <v>45015</v>
      </c>
      <c r="G8" s="1856">
        <f t="shared" si="3"/>
        <v>500</v>
      </c>
      <c r="H8" s="1856">
        <f>'1. DL budžets'!H8</f>
        <v>38188.713328784164</v>
      </c>
      <c r="I8" s="1856">
        <f>'1. DL budžets'!I8</f>
        <v>5000</v>
      </c>
      <c r="J8" s="1856">
        <f>'1. DL budžets'!J8</f>
        <v>500</v>
      </c>
      <c r="K8" s="1856">
        <f>'1. DL budžets'!K8</f>
        <v>20000</v>
      </c>
      <c r="L8" s="1856">
        <f>'1. DL budžets'!L8</f>
        <v>0</v>
      </c>
      <c r="M8" s="1856">
        <f>'1. DL budžets'!M8</f>
        <v>15</v>
      </c>
      <c r="N8" s="1856">
        <f>'1. DL budžets'!N8</f>
        <v>0</v>
      </c>
      <c r="O8" s="1856">
        <f>'1. DL budžets'!O8</f>
        <v>20000</v>
      </c>
      <c r="P8" s="1856">
        <f>'1. DL budžets'!P8</f>
        <v>0</v>
      </c>
      <c r="Q8" s="808"/>
      <c r="V8" s="1849"/>
      <c r="W8" s="1849"/>
      <c r="X8" s="1849"/>
      <c r="Y8" s="1849"/>
      <c r="Z8" s="1849"/>
      <c r="AA8" s="1849"/>
      <c r="AB8" s="1849"/>
      <c r="AC8" s="1849"/>
      <c r="AD8" s="1849"/>
      <c r="AE8" s="1849"/>
      <c r="AF8" s="1849"/>
      <c r="AG8" s="1849"/>
      <c r="AH8" s="1849"/>
      <c r="AI8" s="1849"/>
      <c r="AJ8" s="1849"/>
      <c r="AK8" s="1849"/>
      <c r="BH8" s="777"/>
    </row>
    <row r="9" spans="1:60" ht="25.5">
      <c r="A9" s="1863" t="s">
        <v>33</v>
      </c>
      <c r="B9" s="1864" t="str">
        <f>'1. DL budžets'!B9</f>
        <v>būvniecības ieceres dokumentācijas un būvprojekta sagatavošanas un būvekspertīzes izmaksas</v>
      </c>
      <c r="C9" s="1990">
        <f>IF(F9&gt;0, H9/F9/'17.PIV 4. pielikums finanšu an.'!$C$22, 0%)</f>
        <v>0.85</v>
      </c>
      <c r="D9" s="1991">
        <f t="shared" si="1"/>
        <v>5500</v>
      </c>
      <c r="E9" s="1989">
        <f t="shared" ref="E9:E15" si="4">D9/$D$16</f>
        <v>7.5223962251248028E-2</v>
      </c>
      <c r="F9" s="1858">
        <f t="shared" si="2"/>
        <v>5000</v>
      </c>
      <c r="G9" s="1856">
        <f t="shared" si="3"/>
        <v>500</v>
      </c>
      <c r="H9" s="1856">
        <f>'1. DL budžets'!H9</f>
        <v>4241.7764443834458</v>
      </c>
      <c r="I9" s="1991">
        <f>'1. DL budžets'!I9</f>
        <v>5000</v>
      </c>
      <c r="J9" s="1991">
        <f>'1. DL budžets'!J9</f>
        <v>500</v>
      </c>
      <c r="K9" s="1991">
        <f>'1. DL budžets'!K9</f>
        <v>0</v>
      </c>
      <c r="L9" s="1991">
        <f>'1. DL budžets'!L9</f>
        <v>0</v>
      </c>
      <c r="M9" s="1991">
        <f>'1. DL budžets'!M9</f>
        <v>0</v>
      </c>
      <c r="N9" s="1991">
        <f>'1. DL budžets'!N9</f>
        <v>0</v>
      </c>
      <c r="O9" s="1991">
        <f>'1. DL budžets'!O9</f>
        <v>0</v>
      </c>
      <c r="P9" s="1991">
        <f>'1. DL budžets'!P9</f>
        <v>0</v>
      </c>
      <c r="Q9" s="808"/>
      <c r="V9" s="1849"/>
      <c r="W9" s="1849"/>
      <c r="X9" s="1849"/>
      <c r="Y9" s="1849"/>
      <c r="Z9" s="1849"/>
      <c r="AA9" s="1849"/>
      <c r="AB9" s="1849"/>
      <c r="AC9" s="1849"/>
      <c r="AD9" s="1849"/>
      <c r="AE9" s="1849"/>
      <c r="AF9" s="1849"/>
      <c r="AG9" s="1849"/>
      <c r="AH9" s="1849"/>
      <c r="AI9" s="1849"/>
      <c r="AJ9" s="1849"/>
      <c r="AK9" s="1849"/>
      <c r="BH9" s="777"/>
    </row>
    <row r="10" spans="1:60" ht="15.75" customHeight="1">
      <c r="A10" s="1863" t="s">
        <v>34</v>
      </c>
      <c r="B10" s="1864" t="str">
        <f>'1. DL budžets'!B10</f>
        <v>infrastruktūras jaunas būvniecības, pārbūves un atjaunošanas izmaksas</v>
      </c>
      <c r="C10" s="1990">
        <f>IF(F10&gt;0, H10/F10/'17.PIV 4. pielikums finanšu an.'!$C$22, 0%)</f>
        <v>0.85</v>
      </c>
      <c r="D10" s="1991">
        <f t="shared" si="1"/>
        <v>40015</v>
      </c>
      <c r="E10" s="1989">
        <f t="shared" si="4"/>
        <v>0.54728851808794365</v>
      </c>
      <c r="F10" s="1858">
        <f t="shared" si="2"/>
        <v>40015</v>
      </c>
      <c r="G10" s="1856">
        <f t="shared" si="3"/>
        <v>0</v>
      </c>
      <c r="H10" s="1856">
        <f>'1. DL budžets'!H10</f>
        <v>33946.936884400719</v>
      </c>
      <c r="I10" s="1991">
        <f>'1. DL budžets'!I10</f>
        <v>0</v>
      </c>
      <c r="J10" s="1991">
        <f>'1. DL budžets'!J10</f>
        <v>0</v>
      </c>
      <c r="K10" s="1991">
        <f>'1. DL budžets'!K10</f>
        <v>20000</v>
      </c>
      <c r="L10" s="1991">
        <f>'1. DL budžets'!L10</f>
        <v>0</v>
      </c>
      <c r="M10" s="1991">
        <f>'1. DL budžets'!M10</f>
        <v>15</v>
      </c>
      <c r="N10" s="1991">
        <f>'1. DL budžets'!N10</f>
        <v>0</v>
      </c>
      <c r="O10" s="1991">
        <f>'1. DL budžets'!O10</f>
        <v>20000</v>
      </c>
      <c r="P10" s="1991">
        <f>'1. DL budžets'!P10</f>
        <v>0</v>
      </c>
      <c r="Q10" s="808"/>
      <c r="V10" s="1849"/>
      <c r="W10" s="1849"/>
      <c r="X10" s="1849"/>
      <c r="Y10" s="1849"/>
      <c r="Z10" s="1849"/>
      <c r="AA10" s="1849"/>
      <c r="AB10" s="1849"/>
      <c r="AC10" s="1849"/>
      <c r="AD10" s="1849"/>
      <c r="AE10" s="1849"/>
      <c r="AF10" s="1849"/>
      <c r="AG10" s="1849"/>
      <c r="AH10" s="1849"/>
      <c r="AI10" s="1849"/>
      <c r="AJ10" s="1849"/>
      <c r="AK10" s="1849"/>
      <c r="BH10" s="777"/>
    </row>
    <row r="11" spans="1:60">
      <c r="A11" s="1863" t="s">
        <v>35</v>
      </c>
      <c r="B11" s="1864" t="str">
        <f>'1. DL budžets'!B11</f>
        <v>būvuzraudzības un autoruzraudzības izmaksas</v>
      </c>
      <c r="C11" s="1990">
        <f>IF(F11&gt;0, H11/F11/'17.PIV 4. pielikums finanšu an.'!$C$22, 0%)</f>
        <v>0</v>
      </c>
      <c r="D11" s="1991">
        <f t="shared" si="1"/>
        <v>0</v>
      </c>
      <c r="E11" s="1989">
        <f t="shared" si="4"/>
        <v>0</v>
      </c>
      <c r="F11" s="1858">
        <f t="shared" si="2"/>
        <v>0</v>
      </c>
      <c r="G11" s="1856">
        <f t="shared" si="3"/>
        <v>0</v>
      </c>
      <c r="H11" s="1856">
        <f>'1. DL budžets'!H11</f>
        <v>0</v>
      </c>
      <c r="I11" s="1991">
        <f>'1. DL budžets'!I11</f>
        <v>0</v>
      </c>
      <c r="J11" s="1991">
        <f>'1. DL budžets'!J11</f>
        <v>0</v>
      </c>
      <c r="K11" s="1991">
        <f>'1. DL budžets'!K11</f>
        <v>0</v>
      </c>
      <c r="L11" s="1991">
        <f>'1. DL budžets'!L11</f>
        <v>0</v>
      </c>
      <c r="M11" s="1991">
        <f>'1. DL budžets'!M11</f>
        <v>0</v>
      </c>
      <c r="N11" s="1991">
        <f>'1. DL budžets'!N11</f>
        <v>0</v>
      </c>
      <c r="O11" s="1991">
        <f>'1. DL budžets'!O11</f>
        <v>0</v>
      </c>
      <c r="P11" s="1991">
        <f>'1. DL budžets'!P11</f>
        <v>0</v>
      </c>
      <c r="Q11" s="808"/>
      <c r="V11" s="1849"/>
      <c r="W11" s="1849"/>
      <c r="X11" s="1849"/>
      <c r="Y11" s="1849"/>
      <c r="Z11" s="1849"/>
      <c r="AA11" s="1849"/>
      <c r="AB11" s="1849"/>
      <c r="AC11" s="1849"/>
      <c r="AD11" s="1849"/>
      <c r="AE11" s="1849"/>
      <c r="AF11" s="1849"/>
      <c r="AG11" s="1849"/>
      <c r="AH11" s="1849"/>
      <c r="AI11" s="1849"/>
      <c r="AJ11" s="1849"/>
      <c r="AK11" s="1849"/>
      <c r="BH11" s="777"/>
    </row>
    <row r="12" spans="1:60" ht="41.25" customHeight="1">
      <c r="A12" s="1863" t="s">
        <v>36</v>
      </c>
      <c r="B12" s="1864" t="str">
        <f>'1. DL budžets'!B12</f>
        <v>apmeklētāju skaitīšanas ierīču, informācijas stendu, norāžu un zīmju, tai skaitā veselības maršrutu vajadzībām, iegādes, izgatavošanas, transportēšanas un uzstādīšanas izmaksas</v>
      </c>
      <c r="C12" s="1990">
        <f>IF(F12&gt;0, H12/F12/'17.PIV 4. pielikums finanšu an.'!$C$22, 0%)</f>
        <v>0</v>
      </c>
      <c r="D12" s="1991">
        <f t="shared" si="1"/>
        <v>0</v>
      </c>
      <c r="E12" s="1989">
        <f t="shared" si="4"/>
        <v>0</v>
      </c>
      <c r="F12" s="1858">
        <f t="shared" si="2"/>
        <v>0</v>
      </c>
      <c r="G12" s="1856">
        <f t="shared" si="3"/>
        <v>0</v>
      </c>
      <c r="H12" s="1856">
        <f>'1. DL budžets'!H12</f>
        <v>0</v>
      </c>
      <c r="I12" s="1991">
        <f>'1. DL budžets'!I12</f>
        <v>0</v>
      </c>
      <c r="J12" s="1991">
        <f>'1. DL budžets'!J12</f>
        <v>0</v>
      </c>
      <c r="K12" s="1991">
        <f>'1. DL budžets'!K12</f>
        <v>0</v>
      </c>
      <c r="L12" s="1991">
        <f>'1. DL budžets'!L12</f>
        <v>0</v>
      </c>
      <c r="M12" s="1991">
        <f>'1. DL budžets'!M12</f>
        <v>0</v>
      </c>
      <c r="N12" s="1991">
        <f>'1. DL budžets'!N12</f>
        <v>0</v>
      </c>
      <c r="O12" s="1991">
        <f>'1. DL budžets'!O12</f>
        <v>0</v>
      </c>
      <c r="P12" s="1991">
        <f>'1. DL budžets'!P12</f>
        <v>0</v>
      </c>
      <c r="Q12" s="808"/>
      <c r="V12" s="1849"/>
      <c r="W12" s="1849"/>
      <c r="X12" s="1849"/>
      <c r="Y12" s="1849"/>
      <c r="Z12" s="1849"/>
      <c r="AA12" s="1849"/>
      <c r="AB12" s="1849"/>
      <c r="AC12" s="1849"/>
      <c r="AD12" s="1849"/>
      <c r="AE12" s="1849"/>
      <c r="AF12" s="1849"/>
      <c r="AG12" s="1849"/>
      <c r="AH12" s="1849"/>
      <c r="AI12" s="1849"/>
      <c r="AJ12" s="1849"/>
      <c r="AK12" s="1849"/>
      <c r="BH12" s="777"/>
    </row>
    <row r="13" spans="1:60">
      <c r="A13" s="1853">
        <v>4</v>
      </c>
      <c r="B13" s="1854" t="str">
        <f>'1. DL budžets'!B13</f>
        <v>Informatīvo un publicitātes pasākumu izmaksas</v>
      </c>
      <c r="C13" s="1988">
        <f>IF(F13&gt;0, H13/F13/'17.PIV 4. pielikums finanšu an.'!$C$22, 0%)</f>
        <v>0</v>
      </c>
      <c r="D13" s="1856">
        <f t="shared" si="1"/>
        <v>0</v>
      </c>
      <c r="E13" s="1989">
        <f t="shared" si="4"/>
        <v>0</v>
      </c>
      <c r="F13" s="1858">
        <f t="shared" si="2"/>
        <v>0</v>
      </c>
      <c r="G13" s="1856">
        <f t="shared" si="3"/>
        <v>0</v>
      </c>
      <c r="H13" s="1856">
        <f>'1. DL budžets'!H13</f>
        <v>0</v>
      </c>
      <c r="I13" s="1856">
        <f>'1. DL budžets'!I13</f>
        <v>0</v>
      </c>
      <c r="J13" s="1856">
        <f>'1. DL budžets'!J13</f>
        <v>0</v>
      </c>
      <c r="K13" s="1856">
        <f>'1. DL budžets'!K13</f>
        <v>0</v>
      </c>
      <c r="L13" s="1856">
        <f>'1. DL budžets'!L13</f>
        <v>0</v>
      </c>
      <c r="M13" s="1856">
        <f>'1. DL budžets'!M13</f>
        <v>0</v>
      </c>
      <c r="N13" s="1856">
        <f>'1. DL budžets'!N13</f>
        <v>0</v>
      </c>
      <c r="O13" s="1856">
        <f>'1. DL budžets'!O13</f>
        <v>0</v>
      </c>
      <c r="P13" s="1856">
        <f>'1. DL budžets'!P13</f>
        <v>0</v>
      </c>
      <c r="Q13" s="808"/>
      <c r="V13" s="1849"/>
      <c r="W13" s="1849"/>
      <c r="X13" s="1849"/>
      <c r="Y13" s="1849"/>
      <c r="Z13" s="1849"/>
      <c r="AA13" s="1849"/>
      <c r="AB13" s="1849"/>
      <c r="AC13" s="1849"/>
      <c r="AD13" s="1849"/>
      <c r="AE13" s="1849"/>
      <c r="AF13" s="1849"/>
      <c r="AG13" s="1849"/>
      <c r="AH13" s="1849"/>
      <c r="AI13" s="1849"/>
      <c r="AJ13" s="1849"/>
      <c r="AK13" s="1849"/>
      <c r="BH13" s="777"/>
    </row>
    <row r="14" spans="1:60">
      <c r="A14" s="1853">
        <v>5</v>
      </c>
      <c r="B14" s="1854" t="str">
        <f>'1. DL budžets'!B14</f>
        <v xml:space="preserve">Neparedzētie izdevumi </v>
      </c>
      <c r="C14" s="1988">
        <f>IF(F14&gt;0, H14/F14/'17.PIV 4. pielikums finanšu an.'!$C$22, 0%)</f>
        <v>0.85</v>
      </c>
      <c r="D14" s="1856">
        <f t="shared" si="1"/>
        <v>10500</v>
      </c>
      <c r="E14" s="1989">
        <f t="shared" si="4"/>
        <v>0.14360938247965535</v>
      </c>
      <c r="F14" s="1858">
        <f t="shared" si="2"/>
        <v>9000</v>
      </c>
      <c r="G14" s="1856">
        <f t="shared" si="3"/>
        <v>1500</v>
      </c>
      <c r="H14" s="1856">
        <f>'1. DL budžets'!H14</f>
        <v>7635.1975998902026</v>
      </c>
      <c r="I14" s="1856">
        <f>'1. DL budžets'!I14</f>
        <v>0</v>
      </c>
      <c r="J14" s="1856">
        <f>'1. DL budžets'!J14</f>
        <v>0</v>
      </c>
      <c r="K14" s="1856">
        <f>'1. DL budžets'!K14</f>
        <v>3000</v>
      </c>
      <c r="L14" s="1856">
        <f>'1. DL budžets'!L14</f>
        <v>500</v>
      </c>
      <c r="M14" s="1856">
        <f>'1. DL budžets'!M14</f>
        <v>3000</v>
      </c>
      <c r="N14" s="1856">
        <f>'1. DL budžets'!N14</f>
        <v>500</v>
      </c>
      <c r="O14" s="1856">
        <f>'1. DL budžets'!O14</f>
        <v>3000</v>
      </c>
      <c r="P14" s="1856">
        <f>'1. DL budžets'!P14</f>
        <v>500</v>
      </c>
      <c r="Q14" s="808"/>
      <c r="V14" s="1849"/>
      <c r="W14" s="1849"/>
      <c r="X14" s="1849"/>
      <c r="Y14" s="1849"/>
      <c r="Z14" s="1849"/>
      <c r="AA14" s="1849"/>
      <c r="AB14" s="1849"/>
      <c r="AC14" s="1849"/>
      <c r="AD14" s="1849"/>
      <c r="AE14" s="1849"/>
      <c r="AF14" s="1849"/>
      <c r="AG14" s="1849"/>
      <c r="AH14" s="1849"/>
      <c r="AI14" s="1849"/>
      <c r="AJ14" s="1849"/>
      <c r="AK14" s="1849"/>
      <c r="BH14" s="777"/>
    </row>
    <row r="15" spans="1:60">
      <c r="A15" s="1853">
        <v>6</v>
      </c>
      <c r="B15" s="1854" t="str">
        <f>'1. DL budžets'!B15</f>
        <v>PVN</v>
      </c>
      <c r="C15" s="1988">
        <f>IF(F15&gt;0, H15/F15/'17.PIV 4. pielikums finanšu an.'!$C$22, 0%)</f>
        <v>0</v>
      </c>
      <c r="D15" s="1856">
        <f t="shared" si="1"/>
        <v>0</v>
      </c>
      <c r="E15" s="1989">
        <f t="shared" si="4"/>
        <v>0</v>
      </c>
      <c r="F15" s="1858">
        <f t="shared" si="2"/>
        <v>0</v>
      </c>
      <c r="G15" s="1856">
        <f t="shared" si="3"/>
        <v>0</v>
      </c>
      <c r="H15" s="1856">
        <f>'1. DL budžets'!H15</f>
        <v>0</v>
      </c>
      <c r="I15" s="1856">
        <f>'1. DL budžets'!I15</f>
        <v>0</v>
      </c>
      <c r="J15" s="1856">
        <f>'1. DL budžets'!J15</f>
        <v>0</v>
      </c>
      <c r="K15" s="1856">
        <f>'1. DL budžets'!K15</f>
        <v>0</v>
      </c>
      <c r="L15" s="1856">
        <f>'1. DL budžets'!L15</f>
        <v>0</v>
      </c>
      <c r="M15" s="1856">
        <f>'1. DL budžets'!M15</f>
        <v>0</v>
      </c>
      <c r="N15" s="1856">
        <f>'1. DL budžets'!N15</f>
        <v>0</v>
      </c>
      <c r="O15" s="1856">
        <f>'1. DL budžets'!O15</f>
        <v>0</v>
      </c>
      <c r="P15" s="1856">
        <f>'1. DL budžets'!P15</f>
        <v>0</v>
      </c>
      <c r="Q15" s="808"/>
      <c r="V15" s="1849"/>
      <c r="W15" s="1849"/>
      <c r="X15" s="1849"/>
      <c r="Y15" s="1849"/>
      <c r="Z15" s="1849"/>
      <c r="AA15" s="1849"/>
      <c r="AB15" s="1849"/>
      <c r="AC15" s="1849"/>
      <c r="AD15" s="1849"/>
      <c r="AE15" s="1849"/>
      <c r="AF15" s="1849"/>
      <c r="AG15" s="1849"/>
      <c r="AH15" s="1849"/>
      <c r="AI15" s="1849"/>
      <c r="AJ15" s="1849"/>
      <c r="AK15" s="1849"/>
      <c r="BH15" s="777"/>
    </row>
    <row r="16" spans="1:60">
      <c r="A16" s="1867"/>
      <c r="B16" s="1854" t="s">
        <v>160</v>
      </c>
      <c r="C16" s="1992">
        <f>H16/F16/'17.PIV 4. pielikums finanšu an.'!$C$22</f>
        <v>0.85000000000000009</v>
      </c>
      <c r="D16" s="1866">
        <f>D5+D6+D8+D13+D14+D15</f>
        <v>73115</v>
      </c>
      <c r="E16" s="1993">
        <f>SUM(E5:E15)</f>
        <v>1</v>
      </c>
      <c r="F16" s="1866">
        <f>F5+F6+F8+F13+F14+F15</f>
        <v>70515</v>
      </c>
      <c r="G16" s="1866">
        <f>G5+G6+G8+G13+G14+G15</f>
        <v>2600</v>
      </c>
      <c r="H16" s="1866">
        <f>H5+H6+H8+H13+H14</f>
        <v>59821.773195139744</v>
      </c>
      <c r="I16" s="1866">
        <f>I5+I6+I8+I13+I14+I15</f>
        <v>5000</v>
      </c>
      <c r="J16" s="1866">
        <f t="shared" ref="J16:P16" si="5">J5+J6+J8+J13+J14+J15</f>
        <v>500</v>
      </c>
      <c r="K16" s="1866">
        <f t="shared" si="5"/>
        <v>28750</v>
      </c>
      <c r="L16" s="1866">
        <f t="shared" si="5"/>
        <v>700</v>
      </c>
      <c r="M16" s="1866">
        <f t="shared" si="5"/>
        <v>8765</v>
      </c>
      <c r="N16" s="1866">
        <f t="shared" si="5"/>
        <v>700</v>
      </c>
      <c r="O16" s="1866">
        <f t="shared" si="5"/>
        <v>28000</v>
      </c>
      <c r="P16" s="1866">
        <f t="shared" si="5"/>
        <v>700</v>
      </c>
      <c r="Q16" s="808"/>
      <c r="V16" s="1849"/>
      <c r="W16" s="1849"/>
      <c r="X16" s="1849"/>
      <c r="Y16" s="1849"/>
      <c r="Z16" s="1849"/>
      <c r="AA16" s="1849"/>
      <c r="AB16" s="1849"/>
      <c r="AC16" s="1849"/>
      <c r="AD16" s="1849"/>
      <c r="AE16" s="1849"/>
      <c r="AF16" s="1849"/>
      <c r="AG16" s="1849"/>
      <c r="AH16" s="1849"/>
      <c r="AI16" s="1849"/>
      <c r="AJ16" s="1849"/>
      <c r="AK16" s="1849"/>
      <c r="BH16" s="777"/>
    </row>
    <row r="17" spans="1:38" s="808" customFormat="1">
      <c r="A17" s="1877"/>
      <c r="B17" s="1994"/>
      <c r="C17" s="1994"/>
      <c r="D17" s="1995"/>
      <c r="E17" s="1996"/>
      <c r="F17" s="1997"/>
      <c r="G17" s="1996"/>
      <c r="H17" s="1996"/>
      <c r="I17" s="1996"/>
      <c r="J17" s="1996"/>
      <c r="K17" s="1996"/>
      <c r="L17" s="1996"/>
      <c r="M17" s="1996"/>
      <c r="N17" s="1996"/>
      <c r="O17" s="1996"/>
      <c r="P17" s="1996"/>
      <c r="Q17" s="1996"/>
      <c r="W17" s="1849"/>
      <c r="X17" s="1849"/>
      <c r="Y17" s="1849"/>
      <c r="Z17" s="1849"/>
      <c r="AA17" s="1849"/>
      <c r="AB17" s="1849"/>
      <c r="AC17" s="1849"/>
      <c r="AD17" s="1849"/>
      <c r="AE17" s="1849"/>
      <c r="AF17" s="1849"/>
      <c r="AG17" s="1849"/>
      <c r="AH17" s="1849"/>
      <c r="AI17" s="1849"/>
      <c r="AJ17" s="1849"/>
      <c r="AK17" s="1849"/>
      <c r="AL17" s="1849"/>
    </row>
    <row r="18" spans="1:38" s="808" customFormat="1">
      <c r="A18" s="1877"/>
      <c r="B18" s="1998" t="s">
        <v>1066</v>
      </c>
      <c r="C18" s="1999"/>
      <c r="D18" s="2000"/>
      <c r="E18" s="2001"/>
      <c r="F18" s="1866">
        <f>F5</f>
        <v>1500</v>
      </c>
      <c r="G18" s="1996"/>
      <c r="H18" s="1996"/>
      <c r="I18" s="1996"/>
      <c r="J18" s="1996"/>
      <c r="K18" s="1996"/>
      <c r="L18" s="1996"/>
      <c r="M18" s="1996"/>
      <c r="N18" s="1996"/>
      <c r="O18" s="1996"/>
      <c r="P18" s="1996"/>
      <c r="Q18" s="1996"/>
      <c r="W18" s="1849"/>
      <c r="X18" s="1849"/>
      <c r="Y18" s="1849"/>
      <c r="Z18" s="1849"/>
      <c r="AA18" s="1849"/>
      <c r="AB18" s="1849"/>
      <c r="AC18" s="1849"/>
      <c r="AD18" s="1849"/>
      <c r="AE18" s="1849"/>
      <c r="AF18" s="1849"/>
      <c r="AG18" s="1849"/>
      <c r="AH18" s="1849"/>
      <c r="AI18" s="1849"/>
      <c r="AJ18" s="1849"/>
      <c r="AK18" s="1849"/>
      <c r="AL18" s="1849"/>
    </row>
    <row r="19" spans="1:38" s="808" customFormat="1">
      <c r="A19" s="1877"/>
      <c r="B19" s="2002" t="s">
        <v>1061</v>
      </c>
      <c r="C19" s="2003"/>
      <c r="D19" s="2004"/>
      <c r="E19" s="2005"/>
      <c r="F19" s="1866">
        <f>F16-F18</f>
        <v>69015</v>
      </c>
      <c r="G19" s="1996"/>
      <c r="H19" s="1996"/>
      <c r="I19" s="1996"/>
      <c r="J19" s="1996"/>
      <c r="K19" s="1996"/>
      <c r="L19" s="1996"/>
      <c r="M19" s="1996"/>
      <c r="N19" s="1996"/>
      <c r="O19" s="1996"/>
      <c r="P19" s="1996"/>
      <c r="Q19" s="1996"/>
      <c r="W19" s="1849"/>
      <c r="X19" s="1849"/>
      <c r="Y19" s="1849"/>
      <c r="Z19" s="1849"/>
      <c r="AA19" s="1849"/>
      <c r="AB19" s="1849"/>
      <c r="AC19" s="1849"/>
      <c r="AD19" s="1849"/>
      <c r="AE19" s="1849"/>
      <c r="AF19" s="1849"/>
      <c r="AG19" s="1849"/>
      <c r="AH19" s="1849"/>
      <c r="AI19" s="1849"/>
      <c r="AJ19" s="1849"/>
      <c r="AK19" s="1849"/>
      <c r="AL19" s="1849"/>
    </row>
    <row r="20" spans="1:38" s="808" customFormat="1">
      <c r="A20" s="1877"/>
      <c r="G20" s="1996"/>
      <c r="H20" s="1996"/>
      <c r="I20" s="1996"/>
      <c r="J20" s="1996"/>
      <c r="K20" s="2006"/>
      <c r="L20" s="2006"/>
      <c r="M20" s="2006"/>
      <c r="N20" s="2006"/>
      <c r="O20" s="2006"/>
      <c r="P20" s="2006"/>
      <c r="Q20" s="2006"/>
      <c r="W20" s="1849"/>
      <c r="X20" s="1849"/>
      <c r="Y20" s="1849"/>
      <c r="Z20" s="1849"/>
      <c r="AA20" s="1849"/>
      <c r="AB20" s="1849"/>
      <c r="AC20" s="1849"/>
      <c r="AD20" s="1849"/>
      <c r="AE20" s="1849"/>
      <c r="AF20" s="1849"/>
      <c r="AG20" s="1849"/>
      <c r="AH20" s="1849"/>
      <c r="AI20" s="1849"/>
      <c r="AJ20" s="1849"/>
      <c r="AK20" s="1849"/>
      <c r="AL20" s="1849"/>
    </row>
    <row r="21" spans="1:38" s="808" customFormat="1">
      <c r="A21" s="816"/>
      <c r="G21" s="2007"/>
      <c r="H21" s="2008"/>
      <c r="I21" s="1480"/>
      <c r="J21" s="2008"/>
      <c r="K21" s="2009"/>
      <c r="L21" s="2009"/>
      <c r="M21" s="2009"/>
      <c r="N21" s="2009"/>
      <c r="O21" s="2009"/>
      <c r="P21" s="2009"/>
      <c r="Q21" s="2009"/>
      <c r="W21" s="1849"/>
      <c r="X21" s="1849"/>
      <c r="Y21" s="1849"/>
      <c r="Z21" s="1849"/>
      <c r="AA21" s="1849"/>
      <c r="AB21" s="1849"/>
      <c r="AC21" s="1849"/>
      <c r="AD21" s="1849"/>
      <c r="AE21" s="1849"/>
      <c r="AF21" s="1849"/>
      <c r="AG21" s="1849"/>
      <c r="AH21" s="1849"/>
      <c r="AI21" s="1849"/>
      <c r="AJ21" s="1849"/>
      <c r="AK21" s="1849"/>
      <c r="AL21" s="1849"/>
    </row>
    <row r="22" spans="1:38" s="808" customFormat="1">
      <c r="A22" s="816"/>
      <c r="B22" s="2010" t="s">
        <v>1064</v>
      </c>
      <c r="C22" s="2010"/>
      <c r="D22" s="2011">
        <f>'1. DL budžets'!C16</f>
        <v>0.85</v>
      </c>
      <c r="G22" s="2007"/>
      <c r="H22" s="2012"/>
      <c r="I22" s="1480"/>
      <c r="J22" s="2008"/>
      <c r="K22" s="2009"/>
      <c r="L22" s="2009"/>
      <c r="M22" s="2009"/>
      <c r="N22" s="2009"/>
      <c r="O22" s="2009"/>
      <c r="P22" s="2009"/>
      <c r="Q22" s="2009"/>
      <c r="W22" s="1849"/>
      <c r="X22" s="1849"/>
      <c r="Y22" s="1849"/>
      <c r="Z22" s="1849"/>
      <c r="AA22" s="1849"/>
      <c r="AB22" s="1849"/>
      <c r="AC22" s="1849"/>
      <c r="AD22" s="1849"/>
      <c r="AE22" s="1849"/>
      <c r="AF22" s="1849"/>
      <c r="AG22" s="1849"/>
      <c r="AH22" s="1849"/>
      <c r="AI22" s="1849"/>
      <c r="AJ22" s="1849"/>
      <c r="AK22" s="1849"/>
      <c r="AL22" s="1849"/>
    </row>
    <row r="23" spans="1:38" s="808" customFormat="1">
      <c r="A23" s="816"/>
      <c r="B23" s="2010" t="s">
        <v>1069</v>
      </c>
      <c r="C23" s="2010"/>
      <c r="D23" s="2013">
        <f>C16</f>
        <v>0.85000000000000009</v>
      </c>
      <c r="H23" s="1480"/>
      <c r="I23" s="1881"/>
      <c r="J23" s="1480"/>
      <c r="K23" s="1480"/>
      <c r="L23" s="1480"/>
      <c r="M23" s="1480"/>
      <c r="N23" s="1480"/>
      <c r="O23" s="1480"/>
      <c r="P23" s="1480"/>
      <c r="Q23" s="1849"/>
      <c r="W23" s="1849"/>
      <c r="X23" s="1849"/>
      <c r="Y23" s="1849"/>
      <c r="Z23" s="1849"/>
      <c r="AA23" s="1849"/>
      <c r="AB23" s="1849"/>
      <c r="AC23" s="1849"/>
      <c r="AD23" s="1849"/>
      <c r="AE23" s="1849"/>
      <c r="AF23" s="1849"/>
      <c r="AG23" s="1849"/>
      <c r="AH23" s="1849"/>
      <c r="AI23" s="1849"/>
      <c r="AJ23" s="1849"/>
      <c r="AK23" s="1849"/>
      <c r="AL23" s="1849"/>
    </row>
    <row r="24" spans="1:38" s="808" customFormat="1">
      <c r="A24" s="816"/>
      <c r="B24" s="2010" t="s">
        <v>106</v>
      </c>
      <c r="C24" s="2010"/>
      <c r="D24" s="2014">
        <f>'17.PIV 4. pielikums finanšu an.'!C22</f>
        <v>0.99806504573728139</v>
      </c>
      <c r="H24" s="1480"/>
      <c r="I24" s="1881"/>
      <c r="J24" s="1480" t="str">
        <f>IF((I7)&lt;=24426+0.64/100*($F$19-$F$7),"0", "1")</f>
        <v>0</v>
      </c>
      <c r="K24" s="1480"/>
      <c r="L24" s="1480" t="str">
        <f>IF((K7)&lt;=24426+0.64/100*($F$19-$F$7),"0", "1")</f>
        <v>0</v>
      </c>
      <c r="M24" s="1480"/>
      <c r="N24" s="1480" t="str">
        <f>IF((M7)&lt;=24426+0.64/100*($F$19-$F$7),"0", "1")</f>
        <v>0</v>
      </c>
      <c r="O24" s="1480"/>
      <c r="P24" s="1480" t="str">
        <f>IF((O7)&lt;=24426+0.64/100*($F$19-$F$7),"0", "1")</f>
        <v>0</v>
      </c>
      <c r="Q24" s="1849"/>
      <c r="W24" s="1849"/>
      <c r="X24" s="1849"/>
      <c r="Y24" s="1849"/>
      <c r="Z24" s="1849"/>
      <c r="AA24" s="1849"/>
      <c r="AB24" s="1849"/>
      <c r="AC24" s="1849"/>
      <c r="AD24" s="1849"/>
      <c r="AE24" s="1849"/>
      <c r="AF24" s="1849"/>
      <c r="AG24" s="1849"/>
      <c r="AH24" s="1849"/>
      <c r="AI24" s="1849"/>
      <c r="AJ24" s="1849"/>
      <c r="AK24" s="1849"/>
      <c r="AL24" s="1849"/>
    </row>
    <row r="25" spans="1:38" s="808" customFormat="1">
      <c r="A25" s="816"/>
      <c r="B25" s="2010" t="s">
        <v>1070</v>
      </c>
      <c r="C25" s="2010"/>
      <c r="D25" s="2011">
        <f>D22*$D$24</f>
        <v>0.84835528887668921</v>
      </c>
      <c r="H25" s="1480"/>
      <c r="I25" s="1881"/>
      <c r="J25" s="1480"/>
      <c r="K25" s="2015"/>
      <c r="L25" s="1480"/>
      <c r="M25" s="1480"/>
      <c r="N25" s="1480"/>
      <c r="O25" s="1480"/>
      <c r="P25" s="1480"/>
      <c r="Q25" s="1849"/>
      <c r="W25" s="1849"/>
      <c r="X25" s="1849"/>
      <c r="Y25" s="1849"/>
      <c r="Z25" s="1849"/>
      <c r="AA25" s="1849"/>
      <c r="AB25" s="1849"/>
      <c r="AC25" s="1849"/>
      <c r="AD25" s="1849"/>
      <c r="AE25" s="1849"/>
      <c r="AF25" s="1849"/>
      <c r="AG25" s="1849"/>
      <c r="AH25" s="1849"/>
      <c r="AI25" s="1849"/>
      <c r="AJ25" s="1849"/>
      <c r="AK25" s="1849"/>
      <c r="AL25" s="1849"/>
    </row>
    <row r="26" spans="1:38" s="808" customFormat="1">
      <c r="A26" s="1880"/>
      <c r="B26" s="2010" t="s">
        <v>1071</v>
      </c>
      <c r="C26" s="2010"/>
      <c r="D26" s="2013">
        <f>D23*$D$24</f>
        <v>0.84835528887668932</v>
      </c>
      <c r="I26" s="816"/>
      <c r="K26" s="1849"/>
      <c r="L26" s="1849"/>
      <c r="M26" s="1849"/>
      <c r="N26" s="1849"/>
      <c r="O26" s="1849"/>
      <c r="P26" s="1849"/>
      <c r="Q26" s="1849"/>
    </row>
    <row r="27" spans="1:38" s="808" customFormat="1">
      <c r="A27" s="1884"/>
    </row>
    <row r="28" spans="1:38" s="808" customFormat="1">
      <c r="A28" s="1884"/>
    </row>
    <row r="29" spans="1:38" s="808" customFormat="1">
      <c r="A29" s="1885"/>
    </row>
    <row r="30" spans="1:38" s="808" customFormat="1">
      <c r="A30" s="1885"/>
    </row>
    <row r="31" spans="1:38" s="808" customFormat="1" ht="32.25" customHeight="1">
      <c r="A31" s="1885"/>
    </row>
    <row r="32" spans="1:38" s="808" customFormat="1" ht="15.75">
      <c r="A32" s="1886"/>
    </row>
    <row r="33" spans="1:7" s="808" customFormat="1" ht="15.75">
      <c r="A33" s="1886"/>
    </row>
    <row r="34" spans="1:7" s="808" customFormat="1" ht="15.75">
      <c r="A34" s="1886"/>
    </row>
    <row r="35" spans="1:7" s="808" customFormat="1">
      <c r="G35" s="2016"/>
    </row>
    <row r="36" spans="1:7" s="808" customFormat="1"/>
    <row r="37" spans="1:7" s="808" customFormat="1"/>
    <row r="38" spans="1:7" s="808" customFormat="1">
      <c r="B38" s="1849"/>
      <c r="C38" s="1849"/>
    </row>
    <row r="39" spans="1:7" s="808" customFormat="1">
      <c r="B39" s="1849"/>
      <c r="C39" s="1849"/>
    </row>
    <row r="40" spans="1:7" s="808" customFormat="1">
      <c r="B40" s="1887"/>
      <c r="C40" s="1887"/>
    </row>
    <row r="41" spans="1:7" s="808" customFormat="1"/>
    <row r="42" spans="1:7" s="808" customFormat="1"/>
    <row r="43" spans="1:7" s="808" customFormat="1"/>
    <row r="44" spans="1:7" s="808" customFormat="1"/>
    <row r="45" spans="1:7" s="808" customFormat="1"/>
    <row r="46" spans="1:7" s="808" customFormat="1"/>
    <row r="47" spans="1:7" s="808" customFormat="1" ht="15.75">
      <c r="C47" s="2017"/>
    </row>
    <row r="48" spans="1:7" s="808" customFormat="1" ht="15.75">
      <c r="C48" s="2017"/>
    </row>
    <row r="49" spans="3:3" s="808" customFormat="1" ht="15.75">
      <c r="C49" s="2018"/>
    </row>
    <row r="50" spans="3:3" s="808" customFormat="1" ht="15.75">
      <c r="C50" s="2018"/>
    </row>
    <row r="51" spans="3:3" s="808" customFormat="1" ht="15.75">
      <c r="C51" s="2018"/>
    </row>
    <row r="52" spans="3:3" s="808" customFormat="1" ht="15.75">
      <c r="C52" s="2017"/>
    </row>
    <row r="53" spans="3:3" s="808" customFormat="1">
      <c r="C53" s="2019"/>
    </row>
    <row r="54" spans="3:3" s="808" customFormat="1" ht="15.75">
      <c r="C54" s="2017"/>
    </row>
    <row r="55" spans="3:3" s="808" customFormat="1">
      <c r="C55" s="2019"/>
    </row>
    <row r="56" spans="3:3" s="808" customFormat="1" ht="15.75">
      <c r="C56" s="2017"/>
    </row>
    <row r="57" spans="3:3" s="808" customFormat="1">
      <c r="C57" s="2019"/>
    </row>
    <row r="58" spans="3:3" s="808" customFormat="1" ht="15.75">
      <c r="C58" s="2017"/>
    </row>
    <row r="59" spans="3:3" s="808" customFormat="1">
      <c r="C59" s="2019"/>
    </row>
    <row r="60" spans="3:3" s="808" customFormat="1" ht="15.75">
      <c r="C60" s="2017"/>
    </row>
    <row r="61" spans="3:3" s="808" customFormat="1">
      <c r="C61" s="2019"/>
    </row>
    <row r="62" spans="3:3" s="808" customFormat="1" ht="15.75">
      <c r="C62" s="2017"/>
    </row>
    <row r="63" spans="3:3" s="808" customFormat="1">
      <c r="C63" s="2019"/>
    </row>
    <row r="64" spans="3:3" s="808" customFormat="1" ht="15.75">
      <c r="C64" s="2017"/>
    </row>
    <row r="65" spans="3:3" s="808" customFormat="1">
      <c r="C65" s="2019"/>
    </row>
    <row r="66" spans="3:3" s="808" customFormat="1" ht="15.75">
      <c r="C66" s="2017"/>
    </row>
    <row r="67" spans="3:3" s="808" customFormat="1"/>
    <row r="68" spans="3:3" s="808" customFormat="1"/>
    <row r="69" spans="3:3" s="808" customFormat="1"/>
    <row r="70" spans="3:3" s="808" customFormat="1"/>
    <row r="71" spans="3:3" s="808" customFormat="1"/>
    <row r="72" spans="3:3" s="808" customFormat="1"/>
    <row r="73" spans="3:3" s="808" customFormat="1"/>
    <row r="74" spans="3:3" s="808" customFormat="1"/>
    <row r="75" spans="3:3" s="808" customFormat="1"/>
    <row r="76" spans="3:3" s="808" customFormat="1"/>
    <row r="77" spans="3:3" s="808" customFormat="1"/>
    <row r="78" spans="3:3" s="808" customFormat="1"/>
    <row r="79" spans="3:3" s="808" customFormat="1"/>
    <row r="80" spans="3:3" s="808" customFormat="1"/>
    <row r="81" s="808" customFormat="1"/>
    <row r="82" s="808" customFormat="1"/>
    <row r="83" s="808" customFormat="1"/>
    <row r="84" s="808" customFormat="1"/>
    <row r="85" s="808" customFormat="1"/>
    <row r="86" s="808" customFormat="1"/>
    <row r="87" s="808" customFormat="1"/>
    <row r="88" s="808" customFormat="1"/>
    <row r="89" s="808" customFormat="1"/>
    <row r="90" s="808" customFormat="1"/>
    <row r="91" s="808" customFormat="1"/>
    <row r="92" s="808" customFormat="1"/>
    <row r="93" s="808" customFormat="1"/>
    <row r="94" s="808" customFormat="1"/>
    <row r="95" s="808" customFormat="1"/>
    <row r="96" s="808" customFormat="1"/>
    <row r="97" s="808" customFormat="1"/>
    <row r="98" s="808" customFormat="1"/>
    <row r="99" s="808" customFormat="1"/>
    <row r="100" s="808" customFormat="1"/>
    <row r="101" s="808" customFormat="1"/>
    <row r="102" s="808" customFormat="1"/>
    <row r="103" s="808" customFormat="1"/>
    <row r="104" s="808" customFormat="1"/>
    <row r="105" s="808" customFormat="1"/>
    <row r="106" s="808" customFormat="1"/>
    <row r="107" s="808" customFormat="1"/>
    <row r="108" s="808" customFormat="1"/>
    <row r="109" s="808" customFormat="1"/>
    <row r="110" s="808" customFormat="1"/>
    <row r="111" s="808" customFormat="1"/>
    <row r="112" s="808" customFormat="1"/>
    <row r="113" s="808" customFormat="1"/>
    <row r="114" s="808" customFormat="1"/>
    <row r="115" s="808" customFormat="1"/>
    <row r="116" s="808" customFormat="1"/>
    <row r="117" s="808" customFormat="1"/>
    <row r="118" s="808" customFormat="1"/>
    <row r="119" s="808" customFormat="1"/>
    <row r="120" s="808" customFormat="1"/>
    <row r="121" s="808" customFormat="1"/>
    <row r="122" s="808" customFormat="1"/>
    <row r="123" s="808" customFormat="1"/>
    <row r="124" s="808" customFormat="1"/>
    <row r="125" s="808" customFormat="1"/>
    <row r="126" s="808" customFormat="1"/>
    <row r="127" s="808" customFormat="1"/>
    <row r="128" s="808" customFormat="1"/>
    <row r="129" s="808" customFormat="1"/>
    <row r="130" s="808" customFormat="1"/>
    <row r="131" s="808" customFormat="1"/>
    <row r="132" s="808" customFormat="1"/>
    <row r="133" s="808" customFormat="1"/>
    <row r="134" s="808" customFormat="1"/>
    <row r="135" s="808" customFormat="1"/>
    <row r="136" s="808" customFormat="1"/>
    <row r="137" s="808" customFormat="1"/>
    <row r="138" s="808" customFormat="1"/>
    <row r="139" s="808" customFormat="1"/>
    <row r="140" s="808" customFormat="1"/>
    <row r="141" s="808" customFormat="1"/>
    <row r="142" s="808" customFormat="1"/>
    <row r="143" s="808" customFormat="1"/>
    <row r="144" s="808" customFormat="1"/>
    <row r="145" s="808" customFormat="1"/>
    <row r="146" s="808" customFormat="1"/>
    <row r="147" s="808" customFormat="1"/>
    <row r="148" s="808" customFormat="1"/>
    <row r="149" s="808" customFormat="1"/>
    <row r="150" s="808" customFormat="1"/>
    <row r="151" s="808" customFormat="1"/>
    <row r="152" s="808" customFormat="1"/>
    <row r="153" s="808" customFormat="1"/>
    <row r="154" s="808" customFormat="1"/>
    <row r="155" s="808" customFormat="1"/>
    <row r="156" s="808" customFormat="1"/>
    <row r="157" s="808" customFormat="1"/>
    <row r="158" s="808" customFormat="1"/>
    <row r="159" s="808" customFormat="1"/>
    <row r="160" s="808" customFormat="1"/>
    <row r="161" s="808" customFormat="1"/>
    <row r="162" s="808" customFormat="1"/>
    <row r="163" s="808" customFormat="1"/>
    <row r="164" s="808" customFormat="1"/>
    <row r="165" s="808" customFormat="1"/>
    <row r="166" s="808" customFormat="1"/>
    <row r="167" s="808" customFormat="1"/>
    <row r="168" s="808" customFormat="1"/>
    <row r="169" s="808" customFormat="1"/>
    <row r="170" s="808" customFormat="1"/>
    <row r="171" s="808" customFormat="1"/>
    <row r="172" s="808" customFormat="1"/>
    <row r="173" s="808" customFormat="1"/>
    <row r="174" s="808" customFormat="1"/>
    <row r="175" s="808" customFormat="1"/>
    <row r="176" s="808" customFormat="1"/>
    <row r="177" s="808" customFormat="1"/>
    <row r="178" s="808" customFormat="1"/>
    <row r="179" s="808" customFormat="1"/>
    <row r="180" s="808" customFormat="1"/>
    <row r="181" s="808" customFormat="1"/>
    <row r="182" s="808" customFormat="1"/>
    <row r="183" s="808" customFormat="1"/>
    <row r="184" s="808" customFormat="1"/>
    <row r="185" s="808" customFormat="1"/>
    <row r="186" s="808" customFormat="1"/>
    <row r="187" s="808" customFormat="1"/>
    <row r="188" s="808" customFormat="1"/>
    <row r="189" s="808" customFormat="1"/>
    <row r="190" s="808" customFormat="1"/>
    <row r="191" s="808" customFormat="1"/>
    <row r="192" s="808" customFormat="1"/>
    <row r="193" s="808" customFormat="1"/>
    <row r="194" s="808" customFormat="1"/>
    <row r="195" s="808" customFormat="1"/>
    <row r="196" s="808" customFormat="1"/>
    <row r="197" s="808" customFormat="1"/>
    <row r="198" s="808" customFormat="1"/>
    <row r="199" s="808" customFormat="1"/>
    <row r="200" s="808" customFormat="1"/>
    <row r="201" s="808" customFormat="1"/>
    <row r="202" s="808" customFormat="1"/>
    <row r="203" s="808" customFormat="1"/>
    <row r="204" s="808" customFormat="1"/>
    <row r="205" s="808" customFormat="1"/>
    <row r="206" s="808" customFormat="1"/>
    <row r="207" s="808" customFormat="1"/>
    <row r="208" s="808" customFormat="1"/>
    <row r="209" s="808" customFormat="1"/>
    <row r="210" s="808" customFormat="1"/>
    <row r="211" s="808" customFormat="1"/>
    <row r="212" s="808" customFormat="1"/>
    <row r="213" s="808" customFormat="1"/>
    <row r="214" s="808" customFormat="1"/>
    <row r="215" s="808" customFormat="1"/>
    <row r="216" s="808" customFormat="1"/>
    <row r="217" s="808" customFormat="1"/>
    <row r="218" s="808" customFormat="1"/>
    <row r="219" s="808" customFormat="1"/>
    <row r="220" s="808" customFormat="1"/>
    <row r="221" s="808" customFormat="1"/>
    <row r="222" s="808" customFormat="1"/>
    <row r="223" s="808" customFormat="1"/>
    <row r="224" s="808" customFormat="1"/>
    <row r="225" s="808" customFormat="1"/>
    <row r="226" s="808" customFormat="1"/>
    <row r="227" s="808" customFormat="1"/>
    <row r="228" s="808" customFormat="1"/>
    <row r="229" s="808" customFormat="1"/>
    <row r="230" s="808" customFormat="1"/>
    <row r="231" s="808" customFormat="1"/>
    <row r="232" s="808" customFormat="1"/>
    <row r="233" s="808" customFormat="1"/>
    <row r="234" s="808" customFormat="1"/>
    <row r="235" s="808" customFormat="1"/>
    <row r="236" s="808" customFormat="1"/>
    <row r="237" s="808" customFormat="1"/>
    <row r="238" s="808" customFormat="1"/>
    <row r="239" s="808" customFormat="1"/>
    <row r="240" s="808" customFormat="1"/>
    <row r="241" s="808" customFormat="1"/>
    <row r="242" s="808" customFormat="1"/>
    <row r="243" s="808" customFormat="1"/>
    <row r="244" s="808" customFormat="1"/>
    <row r="245" s="808" customFormat="1"/>
    <row r="246" s="808" customFormat="1"/>
    <row r="247" s="808" customFormat="1"/>
    <row r="248" s="808" customFormat="1"/>
    <row r="249" s="808" customFormat="1"/>
    <row r="250" s="808" customFormat="1"/>
    <row r="251" s="808" customFormat="1"/>
    <row r="252" s="808" customFormat="1"/>
    <row r="253" s="808" customFormat="1"/>
    <row r="254" s="808" customFormat="1"/>
    <row r="255" s="808" customFormat="1"/>
    <row r="256" s="808" customFormat="1"/>
    <row r="257" s="808" customFormat="1"/>
    <row r="258" s="808" customFormat="1"/>
    <row r="259" s="808" customFormat="1"/>
    <row r="260" s="808" customFormat="1"/>
    <row r="261" s="808" customFormat="1"/>
    <row r="262" s="808" customFormat="1"/>
    <row r="263" s="808" customFormat="1"/>
    <row r="264" s="808" customFormat="1"/>
    <row r="265" s="808" customFormat="1"/>
    <row r="266" s="808" customFormat="1"/>
    <row r="267" s="808" customFormat="1"/>
    <row r="268" s="808" customFormat="1"/>
    <row r="269" s="808" customFormat="1"/>
    <row r="270" s="808" customFormat="1"/>
    <row r="271" s="808" customFormat="1"/>
    <row r="272" s="808" customFormat="1"/>
    <row r="273" s="808" customFormat="1"/>
    <row r="274" s="808" customFormat="1"/>
    <row r="275" s="808" customFormat="1"/>
    <row r="276" s="808" customFormat="1"/>
    <row r="277" s="808" customFormat="1"/>
    <row r="278" s="808" customFormat="1"/>
    <row r="279" s="808" customFormat="1"/>
    <row r="280" s="808" customFormat="1"/>
    <row r="281" s="808" customFormat="1"/>
    <row r="282" s="808" customFormat="1"/>
    <row r="283" s="808" customFormat="1"/>
    <row r="284" s="808" customFormat="1"/>
    <row r="285" s="808" customFormat="1"/>
    <row r="286" s="808" customFormat="1"/>
    <row r="287" s="808" customFormat="1"/>
    <row r="288" s="808" customFormat="1"/>
    <row r="289" s="808" customFormat="1"/>
    <row r="290" s="808" customFormat="1"/>
    <row r="291" s="808" customFormat="1"/>
    <row r="292" s="808" customFormat="1"/>
    <row r="293" s="808" customFormat="1"/>
    <row r="294" s="808" customFormat="1"/>
    <row r="295" s="808" customFormat="1"/>
    <row r="296" s="808" customFormat="1"/>
    <row r="297" s="808" customFormat="1"/>
    <row r="298" s="808" customFormat="1"/>
    <row r="299" s="808" customFormat="1"/>
    <row r="300" s="808" customFormat="1"/>
    <row r="301" s="808" customFormat="1"/>
    <row r="302" s="808" customFormat="1"/>
    <row r="303" s="808" customFormat="1"/>
    <row r="304" s="808" customFormat="1"/>
    <row r="305" s="808" customFormat="1"/>
    <row r="306" s="808" customFormat="1"/>
    <row r="307" s="808" customFormat="1"/>
    <row r="308" s="808" customFormat="1"/>
    <row r="309" s="808" customFormat="1"/>
    <row r="310" s="808" customFormat="1"/>
    <row r="311" s="808" customFormat="1"/>
    <row r="312" s="808" customFormat="1"/>
    <row r="313" s="808" customFormat="1"/>
    <row r="314" s="808" customFormat="1"/>
    <row r="315" s="808" customFormat="1"/>
    <row r="316" s="808" customFormat="1"/>
    <row r="317" s="808" customFormat="1"/>
    <row r="318" s="808" customFormat="1"/>
    <row r="319" s="808" customFormat="1"/>
    <row r="320" s="808" customFormat="1"/>
    <row r="321" s="808" customFormat="1"/>
    <row r="322" s="808" customFormat="1"/>
    <row r="323" s="808" customFormat="1"/>
    <row r="324" s="808" customFormat="1"/>
    <row r="325" s="808" customFormat="1"/>
    <row r="326" s="808" customFormat="1"/>
    <row r="327" s="808" customFormat="1"/>
    <row r="328" s="808" customFormat="1"/>
    <row r="329" s="808" customFormat="1"/>
    <row r="330" s="808" customFormat="1"/>
    <row r="331" s="808" customFormat="1"/>
    <row r="332" s="808" customFormat="1"/>
    <row r="333" s="808" customFormat="1"/>
    <row r="334" s="808" customFormat="1"/>
    <row r="335" s="808" customFormat="1"/>
    <row r="336" s="808" customFormat="1"/>
    <row r="337" s="808" customFormat="1"/>
    <row r="338" s="808" customFormat="1"/>
    <row r="339" s="808" customFormat="1"/>
    <row r="340" s="808" customFormat="1"/>
    <row r="341" s="808" customFormat="1"/>
    <row r="342" s="808" customFormat="1"/>
    <row r="343" s="808" customFormat="1"/>
    <row r="344" s="808" customFormat="1"/>
    <row r="345" s="808" customFormat="1"/>
    <row r="346" s="808" customFormat="1"/>
    <row r="347" s="808" customFormat="1"/>
    <row r="348" s="808" customFormat="1"/>
    <row r="349" s="808" customFormat="1"/>
    <row r="350" s="808" customFormat="1"/>
    <row r="351" s="808" customFormat="1"/>
    <row r="352" s="808" customFormat="1"/>
    <row r="353" s="808" customFormat="1"/>
    <row r="354" s="808" customFormat="1"/>
    <row r="355" s="808" customFormat="1"/>
    <row r="356" s="808" customFormat="1"/>
    <row r="357" s="808" customFormat="1"/>
    <row r="358" s="808" customFormat="1"/>
    <row r="359" s="808" customFormat="1"/>
    <row r="360" s="808" customFormat="1"/>
    <row r="361" s="808" customFormat="1"/>
    <row r="362" s="808" customFormat="1"/>
    <row r="363" s="808" customFormat="1"/>
    <row r="364" s="808" customFormat="1"/>
    <row r="365" s="808" customFormat="1"/>
    <row r="366" s="808" customFormat="1"/>
    <row r="367" s="808" customFormat="1"/>
    <row r="368" s="808" customFormat="1"/>
    <row r="369" s="808" customFormat="1"/>
    <row r="370" s="808" customFormat="1"/>
    <row r="371" s="808" customFormat="1"/>
    <row r="372" s="808" customFormat="1"/>
    <row r="373" s="808" customFormat="1"/>
    <row r="374" s="808" customFormat="1"/>
    <row r="375" s="808" customFormat="1"/>
    <row r="376" s="808" customFormat="1"/>
    <row r="377" s="808" customFormat="1"/>
    <row r="378" s="808" customFormat="1"/>
    <row r="379" s="808" customFormat="1"/>
    <row r="380" s="808" customFormat="1"/>
    <row r="381" s="808" customFormat="1"/>
    <row r="382" s="808" customFormat="1"/>
    <row r="383" s="808" customFormat="1"/>
    <row r="384" s="808" customFormat="1"/>
    <row r="385" s="808" customFormat="1"/>
    <row r="386" s="808" customFormat="1"/>
    <row r="387" s="808" customFormat="1"/>
    <row r="388" s="808" customFormat="1"/>
    <row r="389" s="808" customFormat="1"/>
    <row r="390" s="808" customFormat="1"/>
    <row r="391" s="808" customFormat="1"/>
    <row r="392" s="808" customFormat="1"/>
    <row r="393" s="808" customFormat="1"/>
    <row r="394" s="808" customFormat="1"/>
    <row r="395" s="808" customFormat="1"/>
    <row r="396" s="808" customFormat="1"/>
    <row r="397" s="808" customFormat="1"/>
    <row r="398" s="808" customFormat="1"/>
    <row r="399" s="808" customFormat="1"/>
    <row r="400" s="808" customFormat="1"/>
  </sheetData>
  <sheetProtection algorithmName="SHA-512" hashValue="gneg4CBzlFtBpBnnOY1qLCfOvhZgiuq8vpUrEfVXALY9Zdl3MCQkrN8kbxtZwlsiByIBq1i4Q4zR65MhxZ+VVQ==" saltValue="lRb9lmXNJMwFPMqzxbNjiw==" spinCount="100000" sheet="1" objects="1" scenarios="1"/>
  <dataConsolidate/>
  <mergeCells count="11">
    <mergeCell ref="A1:B1"/>
    <mergeCell ref="A2:D2"/>
    <mergeCell ref="K3:L3"/>
    <mergeCell ref="M3:N3"/>
    <mergeCell ref="O3:P3"/>
    <mergeCell ref="I3:J3"/>
    <mergeCell ref="A3:A4"/>
    <mergeCell ref="B3:B4"/>
    <mergeCell ref="D3:E3"/>
    <mergeCell ref="F3:G3"/>
    <mergeCell ref="C3:C4"/>
  </mergeCells>
  <conditionalFormatting sqref="F5:H5 D5:D15 F6:G15 H5:P15">
    <cfRule type="containsText" dxfId="18" priority="26" stopIfTrue="1" operator="containsText" text="PĀRSNIEGTAS IZMAKSAS">
      <formula>NOT(ISERROR(SEARCH("PĀRSNIEGTAS IZMAKSAS",D5)))</formula>
    </cfRule>
  </conditionalFormatting>
  <pageMargins left="0.7" right="0.7" top="0.75" bottom="0.75" header="0.3" footer="0.3"/>
  <pageSetup paperSize="9" scale="3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theme="7"/>
    <pageSetUpPr fitToPage="1"/>
  </sheetPr>
  <dimension ref="A1:AW27"/>
  <sheetViews>
    <sheetView zoomScale="70" zoomScaleNormal="70" workbookViewId="0">
      <selection activeCell="B7" sqref="B7"/>
    </sheetView>
  </sheetViews>
  <sheetFormatPr defaultRowHeight="12.75"/>
  <cols>
    <col min="1" max="1" width="35.140625" style="761" customWidth="1"/>
    <col min="2" max="16" width="11.5703125" style="761" customWidth="1"/>
    <col min="17" max="16384" width="9.140625" style="761"/>
  </cols>
  <sheetData>
    <row r="1" spans="1:49" s="2020" customFormat="1" ht="27" customHeight="1">
      <c r="A1" s="2218" t="s">
        <v>997</v>
      </c>
      <c r="B1" s="2218"/>
      <c r="C1" s="2218"/>
      <c r="D1" s="2218"/>
      <c r="E1" s="1765"/>
      <c r="F1" s="1765"/>
      <c r="G1" s="1765"/>
      <c r="H1" s="1765"/>
      <c r="I1" s="1765"/>
      <c r="J1" s="1765"/>
      <c r="K1" s="1765"/>
      <c r="L1" s="1765"/>
      <c r="M1" s="1765"/>
      <c r="N1" s="1765"/>
      <c r="O1" s="1765"/>
      <c r="P1" s="1765"/>
      <c r="Q1" s="1765"/>
      <c r="R1" s="1765"/>
      <c r="S1" s="1765"/>
      <c r="T1" s="1765"/>
      <c r="U1" s="1765"/>
      <c r="V1" s="1765"/>
      <c r="W1" s="1765"/>
      <c r="X1" s="1765"/>
      <c r="Y1" s="1765"/>
      <c r="Z1" s="1765"/>
      <c r="AA1" s="1765"/>
      <c r="AB1" s="1765"/>
      <c r="AC1" s="1765"/>
      <c r="AD1" s="1765"/>
      <c r="AE1" s="1765"/>
      <c r="AF1" s="1765"/>
      <c r="AG1" s="1765"/>
      <c r="AH1" s="1765"/>
      <c r="AI1" s="1765"/>
      <c r="AJ1" s="1765"/>
      <c r="AK1" s="1765"/>
      <c r="AL1" s="1765"/>
      <c r="AM1" s="1765"/>
      <c r="AN1" s="1765"/>
      <c r="AO1" s="1765"/>
      <c r="AP1" s="1765"/>
      <c r="AQ1" s="1765"/>
      <c r="AR1" s="1765"/>
      <c r="AS1" s="1765"/>
      <c r="AT1" s="1765"/>
      <c r="AU1" s="1765"/>
      <c r="AV1" s="1765"/>
      <c r="AW1" s="1765"/>
    </row>
    <row r="2" spans="1:49" ht="24.95" customHeight="1">
      <c r="A2" s="2219" t="s">
        <v>839</v>
      </c>
      <c r="B2" s="2219"/>
      <c r="C2" s="2219"/>
      <c r="D2" s="2219"/>
    </row>
    <row r="3" spans="1:49" ht="15.75" customHeight="1">
      <c r="A3" s="2021"/>
      <c r="B3" s="2021" t="str">
        <f>'5. DL soc.econom. analīze'!D3</f>
        <v>0 / 1</v>
      </c>
      <c r="C3" s="2021">
        <f>'5. DL soc.econom. analīze'!E3</f>
        <v>2</v>
      </c>
      <c r="D3" s="2021">
        <f>'5. DL soc.econom. analīze'!F3</f>
        <v>3</v>
      </c>
      <c r="E3" s="2021">
        <f>'5. DL soc.econom. analīze'!G3</f>
        <v>4</v>
      </c>
      <c r="F3" s="2021">
        <f>'5. DL soc.econom. analīze'!H3</f>
        <v>5</v>
      </c>
      <c r="G3" s="2021">
        <f>'5. DL soc.econom. analīze'!I3</f>
        <v>6</v>
      </c>
      <c r="H3" s="2021">
        <f>'5. DL soc.econom. analīze'!J3</f>
        <v>7</v>
      </c>
      <c r="I3" s="2021">
        <f>'5. DL soc.econom. analīze'!K3</f>
        <v>8</v>
      </c>
      <c r="J3" s="2021">
        <f>'5. DL soc.econom. analīze'!L3</f>
        <v>9</v>
      </c>
      <c r="K3" s="2021">
        <f>'5. DL soc.econom. analīze'!M3</f>
        <v>10</v>
      </c>
      <c r="L3" s="2021">
        <f>'5. DL soc.econom. analīze'!N3</f>
        <v>11</v>
      </c>
      <c r="M3" s="2021">
        <f>'5. DL soc.econom. analīze'!O3</f>
        <v>12</v>
      </c>
      <c r="N3" s="2021">
        <f>'5. DL soc.econom. analīze'!P3</f>
        <v>13</v>
      </c>
      <c r="O3" s="2021">
        <f>'5. DL soc.econom. analīze'!Q3</f>
        <v>14</v>
      </c>
      <c r="P3" s="2021">
        <f>'5. DL soc.econom. analīze'!R3</f>
        <v>15</v>
      </c>
    </row>
    <row r="4" spans="1:49">
      <c r="A4" s="2022"/>
      <c r="B4" s="2023">
        <f>'5. DL soc.econom. analīze'!D4</f>
        <v>2017</v>
      </c>
      <c r="C4" s="2023">
        <f>'5. DL soc.econom. analīze'!E4</f>
        <v>2018</v>
      </c>
      <c r="D4" s="2023">
        <f>'5. DL soc.econom. analīze'!F4</f>
        <v>2019</v>
      </c>
      <c r="E4" s="2023">
        <f>'5. DL soc.econom. analīze'!G4</f>
        <v>2020</v>
      </c>
      <c r="F4" s="2023">
        <f>'5. DL soc.econom. analīze'!H4</f>
        <v>2021</v>
      </c>
      <c r="G4" s="2023">
        <f>'5. DL soc.econom. analīze'!I4</f>
        <v>2022</v>
      </c>
      <c r="H4" s="2023">
        <f>'5. DL soc.econom. analīze'!J4</f>
        <v>2023</v>
      </c>
      <c r="I4" s="2023">
        <f>'5. DL soc.econom. analīze'!K4</f>
        <v>2024</v>
      </c>
      <c r="J4" s="2023">
        <f>'5. DL soc.econom. analīze'!L4</f>
        <v>2025</v>
      </c>
      <c r="K4" s="2023">
        <f>'5. DL soc.econom. analīze'!M4</f>
        <v>2026</v>
      </c>
      <c r="L4" s="2023">
        <f>'5. DL soc.econom. analīze'!N4</f>
        <v>2027</v>
      </c>
      <c r="M4" s="2023">
        <f>'5. DL soc.econom. analīze'!O4</f>
        <v>2028</v>
      </c>
      <c r="N4" s="2023">
        <f>'5. DL soc.econom. analīze'!P4</f>
        <v>2029</v>
      </c>
      <c r="O4" s="2023">
        <f>'5. DL soc.econom. analīze'!Q4</f>
        <v>2030</v>
      </c>
      <c r="P4" s="2023">
        <f>'5. DL soc.econom. analīze'!R4</f>
        <v>2031</v>
      </c>
    </row>
    <row r="5" spans="1:49">
      <c r="A5" s="2024" t="s">
        <v>155</v>
      </c>
      <c r="B5" s="2025"/>
      <c r="C5" s="2025"/>
      <c r="D5" s="2025"/>
      <c r="E5" s="2025"/>
      <c r="F5" s="2025"/>
      <c r="G5" s="2025"/>
      <c r="H5" s="2025"/>
      <c r="I5" s="2025"/>
      <c r="J5" s="2025"/>
      <c r="K5" s="2025"/>
      <c r="L5" s="2025"/>
      <c r="M5" s="2025"/>
      <c r="N5" s="2025"/>
      <c r="O5" s="2025"/>
      <c r="P5" s="2025"/>
    </row>
    <row r="6" spans="1:49">
      <c r="A6" s="1734" t="s">
        <v>8</v>
      </c>
      <c r="B6" s="2026">
        <f>'3. DL invest.n.pl.AR pr.'!F23</f>
        <v>-34950</v>
      </c>
      <c r="C6" s="2026">
        <f>'3. DL invest.n.pl.AR pr.'!G23</f>
        <v>-9465</v>
      </c>
      <c r="D6" s="2026">
        <f>'3. DL invest.n.pl.AR pr.'!H23</f>
        <v>-28700</v>
      </c>
      <c r="E6" s="2026">
        <f>'3. DL invest.n.pl.AR pr.'!I23</f>
        <v>0</v>
      </c>
      <c r="F6" s="2026">
        <f>'3. DL invest.n.pl.AR pr.'!J23</f>
        <v>0</v>
      </c>
      <c r="G6" s="2026">
        <f>'3. DL invest.n.pl.AR pr.'!K23</f>
        <v>0</v>
      </c>
      <c r="H6" s="2026">
        <f>'3. DL invest.n.pl.AR pr.'!L23</f>
        <v>0</v>
      </c>
      <c r="I6" s="2026">
        <f>'3. DL invest.n.pl.AR pr.'!M23</f>
        <v>0</v>
      </c>
      <c r="J6" s="2026">
        <f>'3. DL invest.n.pl.AR pr.'!N23</f>
        <v>0</v>
      </c>
      <c r="K6" s="2026">
        <f>'3. DL invest.n.pl.AR pr.'!O23</f>
        <v>0</v>
      </c>
      <c r="L6" s="2026">
        <f>'3. DL invest.n.pl.AR pr.'!P23</f>
        <v>0</v>
      </c>
      <c r="M6" s="2026">
        <f>'3. DL invest.n.pl.AR pr.'!Q23</f>
        <v>0</v>
      </c>
      <c r="N6" s="2026">
        <f>'3. DL invest.n.pl.AR pr.'!R23</f>
        <v>0</v>
      </c>
      <c r="O6" s="2026">
        <f>'3. DL invest.n.pl.AR pr.'!S23</f>
        <v>0</v>
      </c>
      <c r="P6" s="2026">
        <f>'3. DL invest.n.pl.AR pr.'!T23</f>
        <v>0</v>
      </c>
    </row>
    <row r="7" spans="1:49" ht="14.25" customHeight="1">
      <c r="A7" s="1734" t="s">
        <v>6</v>
      </c>
      <c r="B7" s="2027">
        <f>'3. DL invest.n.pl.AR pr.'!F16</f>
        <v>-400</v>
      </c>
      <c r="C7" s="2027">
        <f>'3. DL invest.n.pl.AR pr.'!G16</f>
        <v>-400</v>
      </c>
      <c r="D7" s="2027">
        <f>'3. DL invest.n.pl.AR pr.'!H16</f>
        <v>-400</v>
      </c>
      <c r="E7" s="2027">
        <f>'3. DL invest.n.pl.AR pr.'!I16</f>
        <v>-400</v>
      </c>
      <c r="F7" s="2027">
        <f>'3. DL invest.n.pl.AR pr.'!J16</f>
        <v>-400</v>
      </c>
      <c r="G7" s="2027">
        <f>'3. DL invest.n.pl.AR pr.'!K16</f>
        <v>-400</v>
      </c>
      <c r="H7" s="2027">
        <f>'3. DL invest.n.pl.AR pr.'!L16</f>
        <v>-400</v>
      </c>
      <c r="I7" s="2027">
        <f>'3. DL invest.n.pl.AR pr.'!M16</f>
        <v>-400</v>
      </c>
      <c r="J7" s="2027">
        <f>'3. DL invest.n.pl.AR pr.'!N16</f>
        <v>-400</v>
      </c>
      <c r="K7" s="2027">
        <f>'3. DL invest.n.pl.AR pr.'!O16</f>
        <v>-400</v>
      </c>
      <c r="L7" s="2027">
        <f>'3. DL invest.n.pl.AR pr.'!P16</f>
        <v>-400</v>
      </c>
      <c r="M7" s="2027">
        <f>'3. DL invest.n.pl.AR pr.'!Q16</f>
        <v>-400</v>
      </c>
      <c r="N7" s="2027">
        <f>'3. DL invest.n.pl.AR pr.'!R16</f>
        <v>-400</v>
      </c>
      <c r="O7" s="2027">
        <f>'3. DL invest.n.pl.AR pr.'!S16</f>
        <v>-400</v>
      </c>
      <c r="P7" s="2027">
        <f>'3. DL invest.n.pl.AR pr.'!T16</f>
        <v>-400</v>
      </c>
    </row>
    <row r="8" spans="1:49">
      <c r="A8" s="1734" t="s">
        <v>4</v>
      </c>
      <c r="B8" s="2028">
        <f>'3. DL invest.n.pl.AR pr.'!F9</f>
        <v>360</v>
      </c>
      <c r="C8" s="2028">
        <f>'3. DL invest.n.pl.AR pr.'!G9</f>
        <v>360</v>
      </c>
      <c r="D8" s="2028">
        <f>'3. DL invest.n.pl.AR pr.'!H9</f>
        <v>360</v>
      </c>
      <c r="E8" s="2028">
        <f>'3. DL invest.n.pl.AR pr.'!I9</f>
        <v>360</v>
      </c>
      <c r="F8" s="2028">
        <f>'3. DL invest.n.pl.AR pr.'!J9</f>
        <v>360</v>
      </c>
      <c r="G8" s="2028">
        <f>'3. DL invest.n.pl.AR pr.'!K9</f>
        <v>360</v>
      </c>
      <c r="H8" s="2028">
        <f>'3. DL invest.n.pl.AR pr.'!L9</f>
        <v>360</v>
      </c>
      <c r="I8" s="2028">
        <f>'3. DL invest.n.pl.AR pr.'!M9</f>
        <v>360</v>
      </c>
      <c r="J8" s="2028">
        <f>'3. DL invest.n.pl.AR pr.'!N9</f>
        <v>360</v>
      </c>
      <c r="K8" s="2028">
        <f>'3. DL invest.n.pl.AR pr.'!O9</f>
        <v>360</v>
      </c>
      <c r="L8" s="2028">
        <f>'3. DL invest.n.pl.AR pr.'!P9</f>
        <v>360</v>
      </c>
      <c r="M8" s="2028">
        <f>'3. DL invest.n.pl.AR pr.'!Q9</f>
        <v>360</v>
      </c>
      <c r="N8" s="2028">
        <f>'3. DL invest.n.pl.AR pr.'!R9</f>
        <v>360</v>
      </c>
      <c r="O8" s="2028">
        <f>'3. DL invest.n.pl.AR pr.'!S9</f>
        <v>360</v>
      </c>
      <c r="P8" s="2028">
        <f>'3. DL invest.n.pl.AR pr.'!T9</f>
        <v>360</v>
      </c>
    </row>
    <row r="9" spans="1:49">
      <c r="A9" s="2029" t="s">
        <v>156</v>
      </c>
      <c r="B9" s="2030"/>
      <c r="C9" s="2030"/>
      <c r="D9" s="2030"/>
      <c r="E9" s="2030"/>
      <c r="F9" s="2030"/>
      <c r="G9" s="2030"/>
      <c r="H9" s="2030"/>
      <c r="I9" s="2030"/>
      <c r="J9" s="2030"/>
      <c r="K9" s="2030"/>
      <c r="L9" s="2030"/>
      <c r="M9" s="2030"/>
      <c r="N9" s="2030"/>
      <c r="O9" s="2030"/>
      <c r="P9" s="2030"/>
    </row>
    <row r="10" spans="1:49">
      <c r="A10" s="1734" t="s">
        <v>8</v>
      </c>
      <c r="B10" s="1935"/>
      <c r="C10" s="1935"/>
      <c r="D10" s="1935"/>
      <c r="E10" s="1935"/>
      <c r="F10" s="1935"/>
      <c r="G10" s="1935"/>
      <c r="H10" s="1935"/>
      <c r="I10" s="1935"/>
      <c r="J10" s="1935"/>
      <c r="K10" s="1935"/>
      <c r="L10" s="1935"/>
      <c r="M10" s="1935"/>
      <c r="N10" s="1935"/>
      <c r="O10" s="1935"/>
      <c r="P10" s="1935"/>
    </row>
    <row r="11" spans="1:49">
      <c r="A11" s="1734" t="s">
        <v>6</v>
      </c>
      <c r="B11" s="1425">
        <f>'2. DL invest.n.pl.BEZ pr.'!E16</f>
        <v>0</v>
      </c>
      <c r="C11" s="1425">
        <f>'2. DL invest.n.pl.BEZ pr.'!F16</f>
        <v>0</v>
      </c>
      <c r="D11" s="1425">
        <f>'2. DL invest.n.pl.BEZ pr.'!G16</f>
        <v>0</v>
      </c>
      <c r="E11" s="1425">
        <f>'2. DL invest.n.pl.BEZ pr.'!H16</f>
        <v>0</v>
      </c>
      <c r="F11" s="1425">
        <f>'2. DL invest.n.pl.BEZ pr.'!I16</f>
        <v>0</v>
      </c>
      <c r="G11" s="1425">
        <f>'2. DL invest.n.pl.BEZ pr.'!J16</f>
        <v>0</v>
      </c>
      <c r="H11" s="1425">
        <f>'2. DL invest.n.pl.BEZ pr.'!K16</f>
        <v>0</v>
      </c>
      <c r="I11" s="1425">
        <f>'2. DL invest.n.pl.BEZ pr.'!L16</f>
        <v>0</v>
      </c>
      <c r="J11" s="1425">
        <f>'2. DL invest.n.pl.BEZ pr.'!M16</f>
        <v>0</v>
      </c>
      <c r="K11" s="1425">
        <f>'2. DL invest.n.pl.BEZ pr.'!N16</f>
        <v>0</v>
      </c>
      <c r="L11" s="1425">
        <f>'2. DL invest.n.pl.BEZ pr.'!O16</f>
        <v>0</v>
      </c>
      <c r="M11" s="1425">
        <f>'2. DL invest.n.pl.BEZ pr.'!P16</f>
        <v>0</v>
      </c>
      <c r="N11" s="1425">
        <f>'2. DL invest.n.pl.BEZ pr.'!Q16</f>
        <v>0</v>
      </c>
      <c r="O11" s="1425">
        <f>'2. DL invest.n.pl.BEZ pr.'!R16</f>
        <v>0</v>
      </c>
      <c r="P11" s="1425">
        <f>'2. DL invest.n.pl.BEZ pr.'!S16</f>
        <v>0</v>
      </c>
    </row>
    <row r="12" spans="1:49">
      <c r="A12" s="1734" t="s">
        <v>4</v>
      </c>
      <c r="B12" s="1549">
        <f>'2. DL invest.n.pl.BEZ pr.'!E9</f>
        <v>0</v>
      </c>
      <c r="C12" s="1549">
        <f>'2. DL invest.n.pl.BEZ pr.'!F9</f>
        <v>0</v>
      </c>
      <c r="D12" s="1549">
        <f>'2. DL invest.n.pl.BEZ pr.'!G9</f>
        <v>0</v>
      </c>
      <c r="E12" s="1549">
        <f>'2. DL invest.n.pl.BEZ pr.'!H9</f>
        <v>0</v>
      </c>
      <c r="F12" s="1549">
        <f>'2. DL invest.n.pl.BEZ pr.'!I9</f>
        <v>0</v>
      </c>
      <c r="G12" s="1549">
        <f>'2. DL invest.n.pl.BEZ pr.'!J9</f>
        <v>0</v>
      </c>
      <c r="H12" s="1549">
        <f>'2. DL invest.n.pl.BEZ pr.'!K9</f>
        <v>0</v>
      </c>
      <c r="I12" s="1549">
        <f>'2. DL invest.n.pl.BEZ pr.'!L9</f>
        <v>0</v>
      </c>
      <c r="J12" s="1549">
        <f>'2. DL invest.n.pl.BEZ pr.'!M9</f>
        <v>0</v>
      </c>
      <c r="K12" s="1549">
        <f>'2. DL invest.n.pl.BEZ pr.'!N9</f>
        <v>0</v>
      </c>
      <c r="L12" s="1549">
        <f>'2. DL invest.n.pl.BEZ pr.'!O9</f>
        <v>0</v>
      </c>
      <c r="M12" s="1549">
        <f>'2. DL invest.n.pl.BEZ pr.'!P9</f>
        <v>0</v>
      </c>
      <c r="N12" s="1549">
        <f>'2. DL invest.n.pl.BEZ pr.'!Q9</f>
        <v>0</v>
      </c>
      <c r="O12" s="1549">
        <f>'2. DL invest.n.pl.BEZ pr.'!R9</f>
        <v>0</v>
      </c>
      <c r="P12" s="1549">
        <f>'2. DL invest.n.pl.BEZ pr.'!S9</f>
        <v>0</v>
      </c>
    </row>
    <row r="13" spans="1:49" ht="25.5">
      <c r="A13" s="2029" t="s">
        <v>1019</v>
      </c>
      <c r="B13" s="2031"/>
      <c r="C13" s="2031"/>
      <c r="D13" s="2031"/>
      <c r="E13" s="2031"/>
      <c r="F13" s="2031"/>
      <c r="G13" s="2031"/>
      <c r="H13" s="2031"/>
      <c r="I13" s="2031"/>
      <c r="J13" s="2031"/>
      <c r="K13" s="2031"/>
      <c r="L13" s="2031"/>
      <c r="M13" s="2031"/>
      <c r="N13" s="2031"/>
      <c r="O13" s="2031"/>
      <c r="P13" s="2031"/>
    </row>
    <row r="14" spans="1:49">
      <c r="A14" s="1734" t="s">
        <v>8</v>
      </c>
      <c r="B14" s="2026">
        <f>B6-B10</f>
        <v>-34950</v>
      </c>
      <c r="C14" s="2026">
        <f t="shared" ref="C14:G16" si="0">C6-C10</f>
        <v>-9465</v>
      </c>
      <c r="D14" s="2026">
        <f>D6-D10</f>
        <v>-28700</v>
      </c>
      <c r="E14" s="2026">
        <f t="shared" si="0"/>
        <v>0</v>
      </c>
      <c r="F14" s="2026">
        <f t="shared" si="0"/>
        <v>0</v>
      </c>
      <c r="G14" s="2026">
        <f t="shared" si="0"/>
        <v>0</v>
      </c>
      <c r="H14" s="2026">
        <f t="shared" ref="H14:P15" si="1">H6-H10</f>
        <v>0</v>
      </c>
      <c r="I14" s="2026">
        <f t="shared" si="1"/>
        <v>0</v>
      </c>
      <c r="J14" s="2026">
        <f t="shared" si="1"/>
        <v>0</v>
      </c>
      <c r="K14" s="2026">
        <f t="shared" si="1"/>
        <v>0</v>
      </c>
      <c r="L14" s="2026">
        <f t="shared" si="1"/>
        <v>0</v>
      </c>
      <c r="M14" s="2026">
        <f t="shared" si="1"/>
        <v>0</v>
      </c>
      <c r="N14" s="2026">
        <f t="shared" si="1"/>
        <v>0</v>
      </c>
      <c r="O14" s="2026">
        <f t="shared" si="1"/>
        <v>0</v>
      </c>
      <c r="P14" s="2026">
        <f t="shared" si="1"/>
        <v>0</v>
      </c>
    </row>
    <row r="15" spans="1:49">
      <c r="A15" s="1734" t="s">
        <v>6</v>
      </c>
      <c r="B15" s="2027">
        <f>B7-B11</f>
        <v>-400</v>
      </c>
      <c r="C15" s="2027">
        <f t="shared" si="0"/>
        <v>-400</v>
      </c>
      <c r="D15" s="2027">
        <f>D7-D11</f>
        <v>-400</v>
      </c>
      <c r="E15" s="2027">
        <f t="shared" si="0"/>
        <v>-400</v>
      </c>
      <c r="F15" s="2027">
        <f t="shared" si="0"/>
        <v>-400</v>
      </c>
      <c r="G15" s="2027">
        <f t="shared" si="0"/>
        <v>-400</v>
      </c>
      <c r="H15" s="2027">
        <f t="shared" si="1"/>
        <v>-400</v>
      </c>
      <c r="I15" s="2027">
        <f t="shared" si="1"/>
        <v>-400</v>
      </c>
      <c r="J15" s="2027">
        <f t="shared" si="1"/>
        <v>-400</v>
      </c>
      <c r="K15" s="2027">
        <f t="shared" si="1"/>
        <v>-400</v>
      </c>
      <c r="L15" s="2027">
        <f t="shared" si="1"/>
        <v>-400</v>
      </c>
      <c r="M15" s="2027">
        <f t="shared" si="1"/>
        <v>-400</v>
      </c>
      <c r="N15" s="2027">
        <f t="shared" si="1"/>
        <v>-400</v>
      </c>
      <c r="O15" s="2027">
        <f t="shared" si="1"/>
        <v>-400</v>
      </c>
      <c r="P15" s="2027">
        <f t="shared" si="1"/>
        <v>-400</v>
      </c>
    </row>
    <row r="16" spans="1:49">
      <c r="A16" s="1734" t="s">
        <v>4</v>
      </c>
      <c r="B16" s="2032">
        <f>B8-B12</f>
        <v>360</v>
      </c>
      <c r="C16" s="2032">
        <f t="shared" si="0"/>
        <v>360</v>
      </c>
      <c r="D16" s="2032">
        <f t="shared" si="0"/>
        <v>360</v>
      </c>
      <c r="E16" s="2032">
        <f t="shared" si="0"/>
        <v>360</v>
      </c>
      <c r="F16" s="2032">
        <f t="shared" si="0"/>
        <v>360</v>
      </c>
      <c r="G16" s="2032">
        <f t="shared" si="0"/>
        <v>360</v>
      </c>
      <c r="H16" s="2032">
        <f t="shared" ref="H16:P16" si="2">H8-H12</f>
        <v>360</v>
      </c>
      <c r="I16" s="2032">
        <f t="shared" si="2"/>
        <v>360</v>
      </c>
      <c r="J16" s="2032">
        <f t="shared" si="2"/>
        <v>360</v>
      </c>
      <c r="K16" s="2032">
        <f t="shared" si="2"/>
        <v>360</v>
      </c>
      <c r="L16" s="2032">
        <f t="shared" si="2"/>
        <v>360</v>
      </c>
      <c r="M16" s="2032">
        <f t="shared" si="2"/>
        <v>360</v>
      </c>
      <c r="N16" s="2032">
        <f t="shared" si="2"/>
        <v>360</v>
      </c>
      <c r="O16" s="2032">
        <f t="shared" si="2"/>
        <v>360</v>
      </c>
      <c r="P16" s="2032">
        <f t="shared" si="2"/>
        <v>360</v>
      </c>
    </row>
    <row r="17" spans="1:16">
      <c r="A17" s="2029"/>
      <c r="B17" s="2030"/>
      <c r="C17" s="2030"/>
      <c r="D17" s="2030"/>
      <c r="E17" s="2030"/>
      <c r="F17" s="2030"/>
      <c r="G17" s="2030"/>
      <c r="H17" s="2030"/>
      <c r="I17" s="2030"/>
      <c r="J17" s="2030"/>
      <c r="K17" s="2030"/>
      <c r="L17" s="2030"/>
      <c r="M17" s="2030"/>
      <c r="N17" s="2030"/>
      <c r="O17" s="2030"/>
      <c r="P17" s="2030"/>
    </row>
    <row r="24" spans="1:16">
      <c r="A24" s="1910"/>
    </row>
    <row r="25" spans="1:16">
      <c r="A25" s="1911"/>
    </row>
    <row r="26" spans="1:16">
      <c r="A26" s="1911"/>
    </row>
    <row r="27" spans="1:16">
      <c r="A27" s="2033"/>
    </row>
  </sheetData>
  <sheetProtection algorithmName="SHA-512" hashValue="jO5w8raOCnd0Myhib4OlPe2nzVWPTbNgjxZNGQujpBf4TCeTrcub0vxUICvxrWKgpTY8/XBlfSK1ojlnejMcZQ==" saltValue="p9v35UR5aOfA3Kj0JPlBsA==" spinCount="100000" sheet="1" objects="1" scenarios="1"/>
  <mergeCells count="2">
    <mergeCell ref="A1:D1"/>
    <mergeCell ref="A2:D2"/>
  </mergeCells>
  <phoneticPr fontId="3" type="noConversion"/>
  <pageMargins left="0.39370078740157483" right="0.39370078740157483" top="0.98425196850393704" bottom="0.98425196850393704" header="0.51181102362204722" footer="0.51181102362204722"/>
  <pageSetup paperSize="8" scale="49" orientation="landscape" r:id="rId1"/>
  <headerFooter alignWithMargins="0">
    <oddHeader>&amp;CProjekta realizēšanas alternatīvu naudas plūsmu sagatavošana&amp;R1.pielikums</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theme="7"/>
    <pageSetUpPr fitToPage="1"/>
  </sheetPr>
  <dimension ref="A1:BH48"/>
  <sheetViews>
    <sheetView zoomScale="85" zoomScaleNormal="85" workbookViewId="0">
      <selection activeCell="E13" sqref="E13"/>
    </sheetView>
  </sheetViews>
  <sheetFormatPr defaultRowHeight="12.75"/>
  <cols>
    <col min="1" max="1" width="0.85546875" style="761" customWidth="1"/>
    <col min="2" max="2" width="6.5703125" style="761" customWidth="1"/>
    <col min="3" max="3" width="49.7109375" style="761" customWidth="1"/>
    <col min="4" max="4" width="7.7109375" style="761" customWidth="1"/>
    <col min="5" max="20" width="11" style="761" customWidth="1"/>
    <col min="21" max="21" width="7.7109375" style="761" customWidth="1"/>
    <col min="22" max="22" width="11" style="761" bestFit="1" customWidth="1"/>
    <col min="23" max="16384" width="9.140625" style="761"/>
  </cols>
  <sheetData>
    <row r="1" spans="1:60" s="2036" customFormat="1" ht="27" customHeight="1">
      <c r="A1" s="2218" t="s">
        <v>1060</v>
      </c>
      <c r="B1" s="2218"/>
      <c r="C1" s="2218"/>
      <c r="D1" s="2034"/>
      <c r="E1" s="2035"/>
      <c r="F1" s="2035"/>
      <c r="G1" s="2035"/>
      <c r="H1" s="2035"/>
      <c r="I1" s="2035"/>
      <c r="J1" s="2035"/>
      <c r="K1" s="2035"/>
      <c r="L1" s="2035"/>
      <c r="M1" s="2035"/>
      <c r="N1" s="2035"/>
      <c r="O1" s="2035"/>
      <c r="P1" s="2035"/>
      <c r="Q1" s="2035"/>
      <c r="R1" s="2035"/>
      <c r="S1" s="2035"/>
      <c r="T1" s="2035"/>
      <c r="U1" s="2035"/>
      <c r="V1" s="2035"/>
      <c r="W1" s="2035"/>
      <c r="X1" s="2035"/>
      <c r="Y1" s="2035"/>
      <c r="Z1" s="2035"/>
      <c r="AA1" s="2035"/>
      <c r="AB1" s="2035"/>
      <c r="AC1" s="2035"/>
      <c r="AD1" s="2035"/>
      <c r="AE1" s="2035"/>
      <c r="AF1" s="2035"/>
      <c r="AG1" s="2035"/>
      <c r="AH1" s="2035"/>
      <c r="AI1" s="2035"/>
      <c r="AJ1" s="2035"/>
      <c r="AK1" s="2035"/>
      <c r="AL1" s="2035"/>
      <c r="AM1" s="2035"/>
      <c r="AN1" s="2035"/>
      <c r="AO1" s="2035"/>
      <c r="AP1" s="2035"/>
      <c r="AQ1" s="2035"/>
      <c r="AR1" s="2035"/>
      <c r="AS1" s="2035"/>
      <c r="AT1" s="2035"/>
      <c r="AU1" s="2035"/>
      <c r="AV1" s="2035"/>
      <c r="AW1" s="2035"/>
      <c r="AX1" s="2035"/>
      <c r="AY1" s="2035"/>
      <c r="AZ1" s="2035"/>
      <c r="BA1" s="2035"/>
      <c r="BB1" s="2035"/>
      <c r="BC1" s="2035"/>
      <c r="BD1" s="2035"/>
      <c r="BE1" s="2035"/>
      <c r="BF1" s="2035"/>
      <c r="BG1" s="2035"/>
      <c r="BH1" s="2035"/>
    </row>
    <row r="2" spans="1:60" s="2035" customFormat="1" ht="24.95" customHeight="1">
      <c r="A2" s="2184" t="s">
        <v>996</v>
      </c>
      <c r="B2" s="2184"/>
      <c r="C2" s="2184"/>
      <c r="D2" s="2034"/>
    </row>
    <row r="3" spans="1:60" ht="15.75">
      <c r="A3" s="1406"/>
      <c r="B3" s="1407"/>
      <c r="C3" s="1407"/>
      <c r="D3" s="1408"/>
      <c r="E3" s="1551" t="str">
        <f>'3. DL invest.n.pl.AR pr.'!F4</f>
        <v>0 / 1</v>
      </c>
      <c r="F3" s="1551">
        <f>'3. DL invest.n.pl.AR pr.'!G4</f>
        <v>2</v>
      </c>
      <c r="G3" s="1551">
        <f>'3. DL invest.n.pl.AR pr.'!H4</f>
        <v>3</v>
      </c>
      <c r="H3" s="1551">
        <f>'3. DL invest.n.pl.AR pr.'!I4</f>
        <v>4</v>
      </c>
      <c r="I3" s="1551">
        <f>'3. DL invest.n.pl.AR pr.'!J4</f>
        <v>5</v>
      </c>
      <c r="J3" s="1551">
        <f>'3. DL invest.n.pl.AR pr.'!K4</f>
        <v>6</v>
      </c>
      <c r="K3" s="1551">
        <f>'3. DL invest.n.pl.AR pr.'!L4</f>
        <v>7</v>
      </c>
      <c r="L3" s="1551">
        <f>'3. DL invest.n.pl.AR pr.'!M4</f>
        <v>8</v>
      </c>
      <c r="M3" s="1551">
        <f>'3. DL invest.n.pl.AR pr.'!N4</f>
        <v>9</v>
      </c>
      <c r="N3" s="1551">
        <f>'3. DL invest.n.pl.AR pr.'!O4</f>
        <v>10</v>
      </c>
      <c r="O3" s="1551">
        <f>'3. DL invest.n.pl.AR pr.'!P4</f>
        <v>11</v>
      </c>
      <c r="P3" s="1551">
        <f>'3. DL invest.n.pl.AR pr.'!Q4</f>
        <v>12</v>
      </c>
      <c r="Q3" s="1551">
        <f>'3. DL invest.n.pl.AR pr.'!R4</f>
        <v>13</v>
      </c>
      <c r="R3" s="1551">
        <f>'3. DL invest.n.pl.AR pr.'!S4</f>
        <v>14</v>
      </c>
      <c r="S3" s="1551">
        <f>'3. DL invest.n.pl.AR pr.'!T4</f>
        <v>15</v>
      </c>
      <c r="T3" s="1409"/>
    </row>
    <row r="4" spans="1:60">
      <c r="A4" s="1415"/>
      <c r="B4" s="1416"/>
      <c r="C4" s="1416"/>
      <c r="D4" s="1449" t="s">
        <v>1</v>
      </c>
      <c r="E4" s="1418">
        <f>'3. DL invest.n.pl.AR pr.'!F5</f>
        <v>2017</v>
      </c>
      <c r="F4" s="1418">
        <f>'3. DL invest.n.pl.AR pr.'!G5</f>
        <v>2018</v>
      </c>
      <c r="G4" s="1418">
        <f>'3. DL invest.n.pl.AR pr.'!H5</f>
        <v>2019</v>
      </c>
      <c r="H4" s="1418">
        <f>'3. DL invest.n.pl.AR pr.'!I5</f>
        <v>2020</v>
      </c>
      <c r="I4" s="1418">
        <f>'3. DL invest.n.pl.AR pr.'!J5</f>
        <v>2021</v>
      </c>
      <c r="J4" s="1418">
        <f>'3. DL invest.n.pl.AR pr.'!K5</f>
        <v>2022</v>
      </c>
      <c r="K4" s="1418">
        <f>'3. DL invest.n.pl.AR pr.'!L5</f>
        <v>2023</v>
      </c>
      <c r="L4" s="1418">
        <f>'3. DL invest.n.pl.AR pr.'!M5</f>
        <v>2024</v>
      </c>
      <c r="M4" s="1418">
        <f>'3. DL invest.n.pl.AR pr.'!N5</f>
        <v>2025</v>
      </c>
      <c r="N4" s="1418">
        <f>'3. DL invest.n.pl.AR pr.'!O5</f>
        <v>2026</v>
      </c>
      <c r="O4" s="1418">
        <f>'3. DL invest.n.pl.AR pr.'!P5</f>
        <v>2027</v>
      </c>
      <c r="P4" s="1418">
        <f>'3. DL invest.n.pl.AR pr.'!Q5</f>
        <v>2028</v>
      </c>
      <c r="Q4" s="1418">
        <f>'3. DL invest.n.pl.AR pr.'!R5</f>
        <v>2029</v>
      </c>
      <c r="R4" s="1418">
        <f>'3. DL invest.n.pl.AR pr.'!S5</f>
        <v>2030</v>
      </c>
      <c r="S4" s="1418">
        <f>'3. DL invest.n.pl.AR pr.'!T5</f>
        <v>2031</v>
      </c>
      <c r="T4" s="1419" t="s">
        <v>2</v>
      </c>
    </row>
    <row r="5" spans="1:60">
      <c r="A5" s="762"/>
      <c r="B5" s="762"/>
      <c r="C5" s="762"/>
      <c r="D5" s="2037"/>
      <c r="E5" s="2038"/>
      <c r="F5" s="2038"/>
      <c r="G5" s="2038"/>
      <c r="H5" s="2038"/>
      <c r="I5" s="2038"/>
      <c r="J5" s="2039"/>
      <c r="K5" s="2038"/>
      <c r="L5" s="2038"/>
      <c r="M5" s="2038"/>
      <c r="N5" s="2038"/>
      <c r="O5" s="2038"/>
      <c r="P5" s="2038"/>
      <c r="Q5" s="2038"/>
      <c r="R5" s="2038"/>
      <c r="S5" s="2038"/>
      <c r="T5" s="764"/>
    </row>
    <row r="6" spans="1:60">
      <c r="A6" s="1421"/>
      <c r="B6" s="1421" t="s">
        <v>126</v>
      </c>
      <c r="C6" s="1421"/>
      <c r="D6" s="1421"/>
      <c r="E6" s="1422"/>
      <c r="F6" s="1422"/>
      <c r="G6" s="1422"/>
      <c r="H6" s="1422"/>
      <c r="I6" s="1422"/>
      <c r="J6" s="1422"/>
      <c r="K6" s="1422"/>
      <c r="L6" s="1422"/>
      <c r="M6" s="1422"/>
      <c r="N6" s="1422"/>
      <c r="O6" s="1422"/>
      <c r="P6" s="1422"/>
      <c r="Q6" s="1422"/>
      <c r="R6" s="1422"/>
      <c r="S6" s="1422"/>
      <c r="T6" s="1423"/>
    </row>
    <row r="7" spans="1:60">
      <c r="A7" s="762"/>
      <c r="B7" s="762"/>
      <c r="C7" s="762"/>
      <c r="D7" s="763"/>
      <c r="E7" s="2038"/>
      <c r="F7" s="2038"/>
      <c r="G7" s="2038"/>
      <c r="H7" s="2038"/>
      <c r="I7" s="2038"/>
      <c r="J7" s="2038"/>
      <c r="K7" s="2038"/>
      <c r="L7" s="2038"/>
      <c r="M7" s="2038"/>
      <c r="N7" s="2038"/>
      <c r="O7" s="2038"/>
      <c r="P7" s="2038"/>
      <c r="Q7" s="2038"/>
      <c r="R7" s="2038"/>
      <c r="S7" s="2038"/>
      <c r="T7" s="2038"/>
      <c r="U7" s="1924"/>
    </row>
    <row r="8" spans="1:60" s="789" customFormat="1">
      <c r="A8" s="785"/>
      <c r="B8" s="819">
        <v>1</v>
      </c>
      <c r="C8" s="786" t="s">
        <v>891</v>
      </c>
      <c r="D8" s="788" t="s">
        <v>873</v>
      </c>
      <c r="E8" s="1453">
        <f>'5. DL soc.econom. analīze'!D6</f>
        <v>9000</v>
      </c>
      <c r="F8" s="1454">
        <f>'5. DL soc.econom. analīze'!E6</f>
        <v>9000</v>
      </c>
      <c r="G8" s="1454">
        <f>'5. DL soc.econom. analīze'!F6</f>
        <v>9000</v>
      </c>
      <c r="H8" s="1454">
        <f>'5. DL soc.econom. analīze'!G6</f>
        <v>9000</v>
      </c>
      <c r="I8" s="1454">
        <f>'5. DL soc.econom. analīze'!H6</f>
        <v>9000</v>
      </c>
      <c r="J8" s="1454">
        <f>'5. DL soc.econom. analīze'!I6</f>
        <v>9000</v>
      </c>
      <c r="K8" s="1454">
        <f>'5. DL soc.econom. analīze'!J6</f>
        <v>9000</v>
      </c>
      <c r="L8" s="1454">
        <f>'5. DL soc.econom. analīze'!K6</f>
        <v>9000</v>
      </c>
      <c r="M8" s="1454">
        <f>'5. DL soc.econom. analīze'!L6</f>
        <v>9000</v>
      </c>
      <c r="N8" s="1454">
        <f>'5. DL soc.econom. analīze'!M6</f>
        <v>9000</v>
      </c>
      <c r="O8" s="1454">
        <f>'5. DL soc.econom. analīze'!N6</f>
        <v>9000</v>
      </c>
      <c r="P8" s="1454">
        <f>'5. DL soc.econom. analīze'!O6</f>
        <v>9000</v>
      </c>
      <c r="Q8" s="1454">
        <f>'5. DL soc.econom. analīze'!P6</f>
        <v>9000</v>
      </c>
      <c r="R8" s="1454">
        <f>'5. DL soc.econom. analīze'!Q6</f>
        <v>9000</v>
      </c>
      <c r="S8" s="1454">
        <f>'5. DL soc.econom. analīze'!R6</f>
        <v>9000</v>
      </c>
      <c r="T8" s="1464">
        <f t="shared" ref="T8:T26" si="0">SUM(E8:S8)</f>
        <v>135000</v>
      </c>
      <c r="U8" s="1501" t="b">
        <f>T8='13. RL Sociālekonomiskā an.'!U6</f>
        <v>1</v>
      </c>
    </row>
    <row r="9" spans="1:60" s="789" customFormat="1">
      <c r="A9" s="791"/>
      <c r="B9" s="792">
        <v>2</v>
      </c>
      <c r="C9" s="792" t="s">
        <v>113</v>
      </c>
      <c r="D9" s="1342" t="s">
        <v>873</v>
      </c>
      <c r="E9" s="1458">
        <f>SUM(E10:E11)</f>
        <v>360</v>
      </c>
      <c r="F9" s="1459">
        <f>SUM(F10:F11)</f>
        <v>360</v>
      </c>
      <c r="G9" s="1459">
        <f>SUM(G10:G11)</f>
        <v>360</v>
      </c>
      <c r="H9" s="1459">
        <f>SUM(H10:H11)</f>
        <v>360</v>
      </c>
      <c r="I9" s="1459">
        <f>SUM(I10:I11)</f>
        <v>360</v>
      </c>
      <c r="J9" s="1459">
        <f t="shared" ref="J9:R9" si="1">SUM(J10:J11)</f>
        <v>360</v>
      </c>
      <c r="K9" s="1459">
        <f t="shared" si="1"/>
        <v>360</v>
      </c>
      <c r="L9" s="1459">
        <f t="shared" si="1"/>
        <v>360</v>
      </c>
      <c r="M9" s="1459">
        <f t="shared" si="1"/>
        <v>360</v>
      </c>
      <c r="N9" s="1459">
        <f t="shared" si="1"/>
        <v>360</v>
      </c>
      <c r="O9" s="1459">
        <f t="shared" si="1"/>
        <v>360</v>
      </c>
      <c r="P9" s="1459">
        <f t="shared" si="1"/>
        <v>360</v>
      </c>
      <c r="Q9" s="1459">
        <f t="shared" si="1"/>
        <v>360</v>
      </c>
      <c r="R9" s="1459">
        <f t="shared" si="1"/>
        <v>360</v>
      </c>
      <c r="S9" s="1459">
        <f t="shared" ref="S9" si="2">SUM(S10:S11)</f>
        <v>1360</v>
      </c>
      <c r="T9" s="1465">
        <f t="shared" si="0"/>
        <v>6400</v>
      </c>
      <c r="U9" s="1501" t="b">
        <f>T9='13. RL Sociālekonomiskā an.'!U7</f>
        <v>1</v>
      </c>
    </row>
    <row r="10" spans="1:60">
      <c r="A10" s="768"/>
      <c r="B10" s="800" t="s">
        <v>14</v>
      </c>
      <c r="C10" s="1897" t="s">
        <v>974</v>
      </c>
      <c r="D10" s="769" t="s">
        <v>873</v>
      </c>
      <c r="E10" s="1456">
        <f>'12. RL Investīciju n.pl.'!E6</f>
        <v>360</v>
      </c>
      <c r="F10" s="1457">
        <f>'12. RL Investīciju n.pl.'!F6</f>
        <v>360</v>
      </c>
      <c r="G10" s="1457">
        <f>'12. RL Investīciju n.pl.'!G6</f>
        <v>360</v>
      </c>
      <c r="H10" s="1457">
        <f>'12. RL Investīciju n.pl.'!H6</f>
        <v>360</v>
      </c>
      <c r="I10" s="1457">
        <f>'12. RL Investīciju n.pl.'!I6</f>
        <v>360</v>
      </c>
      <c r="J10" s="1457">
        <f>'12. RL Investīciju n.pl.'!J6</f>
        <v>360</v>
      </c>
      <c r="K10" s="1457">
        <f>'12. RL Investīciju n.pl.'!K6</f>
        <v>360</v>
      </c>
      <c r="L10" s="1457">
        <f>'12. RL Investīciju n.pl.'!L6</f>
        <v>360</v>
      </c>
      <c r="M10" s="1457">
        <f>'12. RL Investīciju n.pl.'!M6</f>
        <v>360</v>
      </c>
      <c r="N10" s="1457">
        <f>'12. RL Investīciju n.pl.'!N6</f>
        <v>360</v>
      </c>
      <c r="O10" s="1457">
        <f>'12. RL Investīciju n.pl.'!O6</f>
        <v>360</v>
      </c>
      <c r="P10" s="1457">
        <f>'12. RL Investīciju n.pl.'!P6</f>
        <v>360</v>
      </c>
      <c r="Q10" s="1457">
        <f>'12. RL Investīciju n.pl.'!Q6</f>
        <v>360</v>
      </c>
      <c r="R10" s="1457">
        <f>'12. RL Investīciju n.pl.'!R6</f>
        <v>360</v>
      </c>
      <c r="S10" s="1457">
        <f>'12. RL Investīciju n.pl.'!S6</f>
        <v>360</v>
      </c>
      <c r="T10" s="1465">
        <f t="shared" si="0"/>
        <v>5400</v>
      </c>
      <c r="U10" s="1924"/>
    </row>
    <row r="11" spans="1:60">
      <c r="A11" s="768"/>
      <c r="B11" s="800" t="s">
        <v>16</v>
      </c>
      <c r="C11" s="1897" t="s">
        <v>10</v>
      </c>
      <c r="D11" s="769" t="s">
        <v>873</v>
      </c>
      <c r="E11" s="1456">
        <f>'12. RL Investīciju n.pl.'!E12</f>
        <v>0</v>
      </c>
      <c r="F11" s="1457">
        <f>'12. RL Investīciju n.pl.'!F12</f>
        <v>0</v>
      </c>
      <c r="G11" s="1457">
        <f>'12. RL Investīciju n.pl.'!G12</f>
        <v>0</v>
      </c>
      <c r="H11" s="1457">
        <f>'12. RL Investīciju n.pl.'!H12</f>
        <v>0</v>
      </c>
      <c r="I11" s="1457">
        <f>'12. RL Investīciju n.pl.'!I12</f>
        <v>0</v>
      </c>
      <c r="J11" s="1457">
        <f>'12. RL Investīciju n.pl.'!J12</f>
        <v>0</v>
      </c>
      <c r="K11" s="1457">
        <f>'12. RL Investīciju n.pl.'!K12</f>
        <v>0</v>
      </c>
      <c r="L11" s="1457">
        <f>'12. RL Investīciju n.pl.'!L12</f>
        <v>0</v>
      </c>
      <c r="M11" s="1457">
        <f>'12. RL Investīciju n.pl.'!M12</f>
        <v>0</v>
      </c>
      <c r="N11" s="1457">
        <f>'12. RL Investīciju n.pl.'!N12</f>
        <v>0</v>
      </c>
      <c r="O11" s="1457">
        <f>'12. RL Investīciju n.pl.'!O12</f>
        <v>0</v>
      </c>
      <c r="P11" s="1457">
        <f>'12. RL Investīciju n.pl.'!P12</f>
        <v>0</v>
      </c>
      <c r="Q11" s="1457">
        <f>'12. RL Investīciju n.pl.'!Q12</f>
        <v>0</v>
      </c>
      <c r="R11" s="1457">
        <f>'12. RL Investīciju n.pl.'!R12</f>
        <v>0</v>
      </c>
      <c r="S11" s="1457">
        <f>'12. RL Investīciju n.pl.'!S12</f>
        <v>1000</v>
      </c>
      <c r="T11" s="1465">
        <f t="shared" si="0"/>
        <v>1000</v>
      </c>
      <c r="U11" s="1924"/>
    </row>
    <row r="12" spans="1:60" s="789" customFormat="1">
      <c r="A12" s="791"/>
      <c r="B12" s="792">
        <v>3</v>
      </c>
      <c r="C12" s="2040" t="s">
        <v>114</v>
      </c>
      <c r="D12" s="1342" t="s">
        <v>873</v>
      </c>
      <c r="E12" s="1458">
        <f>E9+E8</f>
        <v>9360</v>
      </c>
      <c r="F12" s="1459">
        <f>F9+F8</f>
        <v>9360</v>
      </c>
      <c r="G12" s="1459">
        <f>G9+G8</f>
        <v>9360</v>
      </c>
      <c r="H12" s="1459">
        <f>H9+H8</f>
        <v>9360</v>
      </c>
      <c r="I12" s="1459">
        <f>I9+I8</f>
        <v>9360</v>
      </c>
      <c r="J12" s="1459">
        <f t="shared" ref="J12:R12" si="3">J9+J8</f>
        <v>9360</v>
      </c>
      <c r="K12" s="1459">
        <f t="shared" si="3"/>
        <v>9360</v>
      </c>
      <c r="L12" s="1459">
        <f t="shared" si="3"/>
        <v>9360</v>
      </c>
      <c r="M12" s="1459">
        <f t="shared" si="3"/>
        <v>9360</v>
      </c>
      <c r="N12" s="1459">
        <f t="shared" si="3"/>
        <v>9360</v>
      </c>
      <c r="O12" s="1459">
        <f t="shared" si="3"/>
        <v>9360</v>
      </c>
      <c r="P12" s="1459">
        <f t="shared" si="3"/>
        <v>9360</v>
      </c>
      <c r="Q12" s="1459">
        <f t="shared" si="3"/>
        <v>9360</v>
      </c>
      <c r="R12" s="1459">
        <f t="shared" si="3"/>
        <v>9360</v>
      </c>
      <c r="S12" s="1459">
        <f t="shared" ref="S12" si="4">S9+S8</f>
        <v>10360</v>
      </c>
      <c r="T12" s="1465">
        <f t="shared" si="0"/>
        <v>141400</v>
      </c>
      <c r="U12" s="1501"/>
    </row>
    <row r="13" spans="1:60" s="789" customFormat="1">
      <c r="A13" s="791"/>
      <c r="B13" s="792">
        <v>4</v>
      </c>
      <c r="C13" s="757" t="s">
        <v>115</v>
      </c>
      <c r="D13" s="1342" t="s">
        <v>873</v>
      </c>
      <c r="E13" s="1960">
        <f>'5. DL soc.econom. analīze'!D16</f>
        <v>-150</v>
      </c>
      <c r="F13" s="1489">
        <f>'5. DL soc.econom. analīze'!E16</f>
        <v>-150</v>
      </c>
      <c r="G13" s="1489">
        <f>'5. DL soc.econom. analīze'!F16</f>
        <v>-150</v>
      </c>
      <c r="H13" s="1489">
        <f>'5. DL soc.econom. analīze'!G16</f>
        <v>-150</v>
      </c>
      <c r="I13" s="1489">
        <f>'5. DL soc.econom. analīze'!H16</f>
        <v>-150</v>
      </c>
      <c r="J13" s="1489">
        <f>'5. DL soc.econom. analīze'!I16</f>
        <v>-150</v>
      </c>
      <c r="K13" s="1489">
        <f>'5. DL soc.econom. analīze'!J16</f>
        <v>-150</v>
      </c>
      <c r="L13" s="1489">
        <f>'5. DL soc.econom. analīze'!K16</f>
        <v>-150</v>
      </c>
      <c r="M13" s="1489">
        <f>'5. DL soc.econom. analīze'!L16</f>
        <v>-150</v>
      </c>
      <c r="N13" s="1489">
        <f>'5. DL soc.econom. analīze'!M16</f>
        <v>-150</v>
      </c>
      <c r="O13" s="1489">
        <f>'5. DL soc.econom. analīze'!N16</f>
        <v>-150</v>
      </c>
      <c r="P13" s="1489">
        <f>'5. DL soc.econom. analīze'!O16</f>
        <v>-150</v>
      </c>
      <c r="Q13" s="1489">
        <f>'5. DL soc.econom. analīze'!P16</f>
        <v>-150</v>
      </c>
      <c r="R13" s="1489">
        <f>'5. DL soc.econom. analīze'!Q16</f>
        <v>-150</v>
      </c>
      <c r="S13" s="1489">
        <f>'5. DL soc.econom. analīze'!R16</f>
        <v>-150</v>
      </c>
      <c r="T13" s="1465">
        <f t="shared" si="0"/>
        <v>-2250</v>
      </c>
      <c r="U13" s="1501"/>
    </row>
    <row r="14" spans="1:60" s="789" customFormat="1">
      <c r="A14" s="791"/>
      <c r="B14" s="792">
        <v>5</v>
      </c>
      <c r="C14" s="757" t="s">
        <v>116</v>
      </c>
      <c r="D14" s="1342" t="s">
        <v>873</v>
      </c>
      <c r="E14" s="1458">
        <f>E15+E18</f>
        <v>-35350</v>
      </c>
      <c r="F14" s="1459">
        <f>F15+F18</f>
        <v>-9865</v>
      </c>
      <c r="G14" s="1459">
        <f>G15+G18</f>
        <v>-29100</v>
      </c>
      <c r="H14" s="1459">
        <f>H15+H18</f>
        <v>-400</v>
      </c>
      <c r="I14" s="1459">
        <f>I15+I18</f>
        <v>-400</v>
      </c>
      <c r="J14" s="1459">
        <f t="shared" ref="J14:R14" si="5">J15+J18</f>
        <v>-400</v>
      </c>
      <c r="K14" s="1459">
        <f t="shared" si="5"/>
        <v>-400</v>
      </c>
      <c r="L14" s="1459">
        <f t="shared" si="5"/>
        <v>-400</v>
      </c>
      <c r="M14" s="1459">
        <f t="shared" si="5"/>
        <v>-400</v>
      </c>
      <c r="N14" s="1459">
        <f t="shared" si="5"/>
        <v>-400</v>
      </c>
      <c r="O14" s="1459">
        <f t="shared" si="5"/>
        <v>-400</v>
      </c>
      <c r="P14" s="1459">
        <f t="shared" si="5"/>
        <v>-400</v>
      </c>
      <c r="Q14" s="1459">
        <f t="shared" si="5"/>
        <v>-400</v>
      </c>
      <c r="R14" s="1459">
        <f t="shared" si="5"/>
        <v>-400</v>
      </c>
      <c r="S14" s="1459">
        <f t="shared" ref="S14" si="6">S15+S18</f>
        <v>-400</v>
      </c>
      <c r="T14" s="1465">
        <f t="shared" si="0"/>
        <v>-79115</v>
      </c>
      <c r="U14" s="2041"/>
    </row>
    <row r="15" spans="1:60">
      <c r="A15" s="768"/>
      <c r="B15" s="1379" t="s">
        <v>109</v>
      </c>
      <c r="C15" s="820" t="s">
        <v>8</v>
      </c>
      <c r="D15" s="769" t="s">
        <v>873</v>
      </c>
      <c r="E15" s="1456">
        <f>'12. RL Investīciju n.pl.'!E8</f>
        <v>-34950</v>
      </c>
      <c r="F15" s="1457">
        <f>'12. RL Investīciju n.pl.'!F8</f>
        <v>-9465</v>
      </c>
      <c r="G15" s="1457">
        <f>'12. RL Investīciju n.pl.'!G8</f>
        <v>-28700</v>
      </c>
      <c r="H15" s="1457">
        <f>'12. RL Investīciju n.pl.'!H8</f>
        <v>0</v>
      </c>
      <c r="I15" s="1457">
        <f>'12. RL Investīciju n.pl.'!I8</f>
        <v>0</v>
      </c>
      <c r="J15" s="1457">
        <f>'12. RL Investīciju n.pl.'!J8</f>
        <v>0</v>
      </c>
      <c r="K15" s="1457">
        <f>'12. RL Investīciju n.pl.'!K8</f>
        <v>0</v>
      </c>
      <c r="L15" s="1457">
        <f>'12. RL Investīciju n.pl.'!L8</f>
        <v>0</v>
      </c>
      <c r="M15" s="1457">
        <f>'12. RL Investīciju n.pl.'!M8</f>
        <v>0</v>
      </c>
      <c r="N15" s="1457">
        <f>'12. RL Investīciju n.pl.'!N8</f>
        <v>0</v>
      </c>
      <c r="O15" s="1457">
        <f>'12. RL Investīciju n.pl.'!O8</f>
        <v>0</v>
      </c>
      <c r="P15" s="1457">
        <f>'12. RL Investīciju n.pl.'!P8</f>
        <v>0</v>
      </c>
      <c r="Q15" s="1457">
        <f>'12. RL Investīciju n.pl.'!Q8</f>
        <v>0</v>
      </c>
      <c r="R15" s="1457">
        <f>'12. RL Investīciju n.pl.'!R8</f>
        <v>0</v>
      </c>
      <c r="S15" s="1457">
        <f>'12. RL Investīciju n.pl.'!S8</f>
        <v>0</v>
      </c>
      <c r="T15" s="1465">
        <f t="shared" si="0"/>
        <v>-73115</v>
      </c>
      <c r="U15" s="1924" t="b">
        <f>T15=SUM(T16:T17)</f>
        <v>1</v>
      </c>
    </row>
    <row r="16" spans="1:60">
      <c r="A16" s="768"/>
      <c r="B16" s="1379" t="s">
        <v>117</v>
      </c>
      <c r="C16" s="2042" t="s">
        <v>84</v>
      </c>
      <c r="D16" s="769" t="s">
        <v>873</v>
      </c>
      <c r="E16" s="1456">
        <f>'5. DL soc.econom. analīze'!D28</f>
        <v>0</v>
      </c>
      <c r="F16" s="1457">
        <f>'5. DL soc.econom. analīze'!E28</f>
        <v>0</v>
      </c>
      <c r="G16" s="1457">
        <f>'5. DL soc.econom. analīze'!F28</f>
        <v>0</v>
      </c>
      <c r="H16" s="1457">
        <f>'5. DL soc.econom. analīze'!G28</f>
        <v>0</v>
      </c>
      <c r="I16" s="1457">
        <f>'5. DL soc.econom. analīze'!H28</f>
        <v>0</v>
      </c>
      <c r="J16" s="1457">
        <f>'5. DL soc.econom. analīze'!I28</f>
        <v>0</v>
      </c>
      <c r="K16" s="1457">
        <f>'5. DL soc.econom. analīze'!J28</f>
        <v>0</v>
      </c>
      <c r="L16" s="1457">
        <f>'5. DL soc.econom. analīze'!K28</f>
        <v>0</v>
      </c>
      <c r="M16" s="1457">
        <f>'5. DL soc.econom. analīze'!L28</f>
        <v>0</v>
      </c>
      <c r="N16" s="1457">
        <f>'5. DL soc.econom. analīze'!M28</f>
        <v>0</v>
      </c>
      <c r="O16" s="1457">
        <f>'5. DL soc.econom. analīze'!N28</f>
        <v>0</v>
      </c>
      <c r="P16" s="1457">
        <f>'5. DL soc.econom. analīze'!O28</f>
        <v>0</v>
      </c>
      <c r="Q16" s="1457">
        <f>'5. DL soc.econom. analīze'!P28</f>
        <v>0</v>
      </c>
      <c r="R16" s="1457">
        <f>'5. DL soc.econom. analīze'!Q28</f>
        <v>0</v>
      </c>
      <c r="S16" s="1457">
        <f>'5. DL soc.econom. analīze'!R28</f>
        <v>0</v>
      </c>
      <c r="T16" s="1465">
        <f t="shared" si="0"/>
        <v>0</v>
      </c>
      <c r="U16" s="1924"/>
    </row>
    <row r="17" spans="1:22">
      <c r="A17" s="768"/>
      <c r="B17" s="1379" t="s">
        <v>121</v>
      </c>
      <c r="C17" s="2042" t="s">
        <v>695</v>
      </c>
      <c r="D17" s="769" t="s">
        <v>873</v>
      </c>
      <c r="E17" s="1456">
        <f>E15-E16</f>
        <v>-34950</v>
      </c>
      <c r="F17" s="1457">
        <f>F15-F16</f>
        <v>-9465</v>
      </c>
      <c r="G17" s="1457">
        <f>G15-G16</f>
        <v>-28700</v>
      </c>
      <c r="H17" s="1457">
        <f>H15-H16</f>
        <v>0</v>
      </c>
      <c r="I17" s="1457">
        <f>I15-I16</f>
        <v>0</v>
      </c>
      <c r="J17" s="1457">
        <f t="shared" ref="J17:R17" si="7">J15-J16</f>
        <v>0</v>
      </c>
      <c r="K17" s="1457">
        <f t="shared" si="7"/>
        <v>0</v>
      </c>
      <c r="L17" s="1457">
        <f t="shared" si="7"/>
        <v>0</v>
      </c>
      <c r="M17" s="1457">
        <f t="shared" si="7"/>
        <v>0</v>
      </c>
      <c r="N17" s="1457">
        <f t="shared" si="7"/>
        <v>0</v>
      </c>
      <c r="O17" s="1457">
        <f t="shared" si="7"/>
        <v>0</v>
      </c>
      <c r="P17" s="1457">
        <f t="shared" si="7"/>
        <v>0</v>
      </c>
      <c r="Q17" s="1457">
        <f t="shared" si="7"/>
        <v>0</v>
      </c>
      <c r="R17" s="1457">
        <f t="shared" si="7"/>
        <v>0</v>
      </c>
      <c r="S17" s="1457">
        <f t="shared" ref="S17" si="8">S15-S16</f>
        <v>0</v>
      </c>
      <c r="T17" s="1465">
        <f t="shared" si="0"/>
        <v>-73115</v>
      </c>
      <c r="U17" s="1924"/>
    </row>
    <row r="18" spans="1:22">
      <c r="A18" s="768"/>
      <c r="B18" s="1379" t="s">
        <v>118</v>
      </c>
      <c r="C18" s="820" t="s">
        <v>1015</v>
      </c>
      <c r="D18" s="769" t="s">
        <v>873</v>
      </c>
      <c r="E18" s="1456">
        <f>'12. RL Investīciju n.pl.'!E7</f>
        <v>-400</v>
      </c>
      <c r="F18" s="1457">
        <f>'12. RL Investīciju n.pl.'!F7</f>
        <v>-400</v>
      </c>
      <c r="G18" s="1457">
        <f>'12. RL Investīciju n.pl.'!G7</f>
        <v>-400</v>
      </c>
      <c r="H18" s="1457">
        <f>'12. RL Investīciju n.pl.'!H7</f>
        <v>-400</v>
      </c>
      <c r="I18" s="1457">
        <f>'12. RL Investīciju n.pl.'!I7</f>
        <v>-400</v>
      </c>
      <c r="J18" s="1457">
        <f>'12. RL Investīciju n.pl.'!J7</f>
        <v>-400</v>
      </c>
      <c r="K18" s="1457">
        <f>'12. RL Investīciju n.pl.'!K7</f>
        <v>-400</v>
      </c>
      <c r="L18" s="1457">
        <f>'12. RL Investīciju n.pl.'!L7</f>
        <v>-400</v>
      </c>
      <c r="M18" s="1457">
        <f>'12. RL Investīciju n.pl.'!M7</f>
        <v>-400</v>
      </c>
      <c r="N18" s="1457">
        <f>'12. RL Investīciju n.pl.'!N7</f>
        <v>-400</v>
      </c>
      <c r="O18" s="1457">
        <f>'12. RL Investīciju n.pl.'!O7</f>
        <v>-400</v>
      </c>
      <c r="P18" s="1457">
        <f>'12. RL Investīciju n.pl.'!P7</f>
        <v>-400</v>
      </c>
      <c r="Q18" s="1457">
        <f>'12. RL Investīciju n.pl.'!Q7</f>
        <v>-400</v>
      </c>
      <c r="R18" s="1457">
        <f>'12. RL Investīciju n.pl.'!R7</f>
        <v>-400</v>
      </c>
      <c r="S18" s="1457">
        <f>'12. RL Investīciju n.pl.'!S7</f>
        <v>-400</v>
      </c>
      <c r="T18" s="1465">
        <f t="shared" si="0"/>
        <v>-6000</v>
      </c>
      <c r="U18" s="1924" t="b">
        <f>T18=SUM(T19:T20)</f>
        <v>1</v>
      </c>
    </row>
    <row r="19" spans="1:22" s="799" customFormat="1">
      <c r="A19" s="797"/>
      <c r="B19" s="2043" t="s">
        <v>119</v>
      </c>
      <c r="C19" s="2042" t="s">
        <v>84</v>
      </c>
      <c r="D19" s="769" t="s">
        <v>873</v>
      </c>
      <c r="E19" s="1456">
        <f>'5. DL soc.econom. analīze'!D27</f>
        <v>0</v>
      </c>
      <c r="F19" s="1457">
        <f>'5. DL soc.econom. analīze'!E27</f>
        <v>0</v>
      </c>
      <c r="G19" s="1457">
        <f>'5. DL soc.econom. analīze'!F27</f>
        <v>0</v>
      </c>
      <c r="H19" s="1457">
        <f>'5. DL soc.econom. analīze'!G27</f>
        <v>0</v>
      </c>
      <c r="I19" s="1457">
        <f>'5. DL soc.econom. analīze'!H27</f>
        <v>0</v>
      </c>
      <c r="J19" s="1457">
        <f>'5. DL soc.econom. analīze'!I27</f>
        <v>0</v>
      </c>
      <c r="K19" s="1457">
        <f>'5. DL soc.econom. analīze'!J27</f>
        <v>0</v>
      </c>
      <c r="L19" s="1457">
        <f>'5. DL soc.econom. analīze'!K27</f>
        <v>0</v>
      </c>
      <c r="M19" s="1457">
        <f>'5. DL soc.econom. analīze'!L27</f>
        <v>0</v>
      </c>
      <c r="N19" s="1457">
        <f>'5. DL soc.econom. analīze'!M27</f>
        <v>0</v>
      </c>
      <c r="O19" s="1457">
        <f>'5. DL soc.econom. analīze'!N27</f>
        <v>0</v>
      </c>
      <c r="P19" s="1457">
        <f>'5. DL soc.econom. analīze'!O27</f>
        <v>0</v>
      </c>
      <c r="Q19" s="1457">
        <f>'5. DL soc.econom. analīze'!P27</f>
        <v>0</v>
      </c>
      <c r="R19" s="1457">
        <f>'5. DL soc.econom. analīze'!Q27</f>
        <v>0</v>
      </c>
      <c r="S19" s="1457">
        <f>'5. DL soc.econom. analīze'!R27</f>
        <v>0</v>
      </c>
      <c r="T19" s="1465">
        <f t="shared" si="0"/>
        <v>0</v>
      </c>
    </row>
    <row r="20" spans="1:22" s="799" customFormat="1">
      <c r="A20" s="797"/>
      <c r="B20" s="2043" t="s">
        <v>120</v>
      </c>
      <c r="C20" s="2042" t="s">
        <v>695</v>
      </c>
      <c r="D20" s="769" t="s">
        <v>873</v>
      </c>
      <c r="E20" s="1456">
        <f>E18-E19</f>
        <v>-400</v>
      </c>
      <c r="F20" s="1457">
        <f>F18-F19</f>
        <v>-400</v>
      </c>
      <c r="G20" s="1457">
        <f>G18-G19</f>
        <v>-400</v>
      </c>
      <c r="H20" s="1457">
        <f>H18-H19</f>
        <v>-400</v>
      </c>
      <c r="I20" s="1457">
        <f>I18-I19</f>
        <v>-400</v>
      </c>
      <c r="J20" s="1457">
        <f t="shared" ref="J20:R20" si="9">J18-J19</f>
        <v>-400</v>
      </c>
      <c r="K20" s="1457">
        <f t="shared" si="9"/>
        <v>-400</v>
      </c>
      <c r="L20" s="1457">
        <f t="shared" si="9"/>
        <v>-400</v>
      </c>
      <c r="M20" s="1457">
        <f t="shared" si="9"/>
        <v>-400</v>
      </c>
      <c r="N20" s="1457">
        <f t="shared" si="9"/>
        <v>-400</v>
      </c>
      <c r="O20" s="1457">
        <f t="shared" si="9"/>
        <v>-400</v>
      </c>
      <c r="P20" s="1457">
        <f t="shared" si="9"/>
        <v>-400</v>
      </c>
      <c r="Q20" s="1457">
        <f t="shared" si="9"/>
        <v>-400</v>
      </c>
      <c r="R20" s="1457">
        <f t="shared" si="9"/>
        <v>-400</v>
      </c>
      <c r="S20" s="1457">
        <f t="shared" ref="S20" si="10">S18-S19</f>
        <v>-400</v>
      </c>
      <c r="T20" s="1465">
        <f t="shared" si="0"/>
        <v>-6000</v>
      </c>
    </row>
    <row r="21" spans="1:22" s="789" customFormat="1">
      <c r="A21" s="791"/>
      <c r="B21" s="792">
        <v>6</v>
      </c>
      <c r="C21" s="2044" t="s">
        <v>973</v>
      </c>
      <c r="D21" s="1342" t="s">
        <v>873</v>
      </c>
      <c r="E21" s="1458">
        <f t="shared" ref="E21:S21" si="11">SUM(E22:E24)</f>
        <v>50</v>
      </c>
      <c r="F21" s="1459">
        <f t="shared" si="11"/>
        <v>50</v>
      </c>
      <c r="G21" s="1459">
        <f t="shared" si="11"/>
        <v>50</v>
      </c>
      <c r="H21" s="1459">
        <f t="shared" si="11"/>
        <v>50</v>
      </c>
      <c r="I21" s="1459">
        <f t="shared" si="11"/>
        <v>50</v>
      </c>
      <c r="J21" s="1459">
        <f t="shared" si="11"/>
        <v>50</v>
      </c>
      <c r="K21" s="1459">
        <f t="shared" si="11"/>
        <v>50</v>
      </c>
      <c r="L21" s="1459">
        <f t="shared" si="11"/>
        <v>50</v>
      </c>
      <c r="M21" s="1459">
        <f t="shared" si="11"/>
        <v>50</v>
      </c>
      <c r="N21" s="1459">
        <f t="shared" si="11"/>
        <v>50</v>
      </c>
      <c r="O21" s="1459">
        <f t="shared" si="11"/>
        <v>50</v>
      </c>
      <c r="P21" s="1459">
        <f t="shared" si="11"/>
        <v>50</v>
      </c>
      <c r="Q21" s="1459">
        <f t="shared" si="11"/>
        <v>50</v>
      </c>
      <c r="R21" s="1459">
        <f t="shared" si="11"/>
        <v>50</v>
      </c>
      <c r="S21" s="1459">
        <f t="shared" si="11"/>
        <v>50</v>
      </c>
      <c r="T21" s="1465">
        <f t="shared" si="0"/>
        <v>750</v>
      </c>
      <c r="V21" s="2045"/>
    </row>
    <row r="22" spans="1:22">
      <c r="A22" s="768"/>
      <c r="B22" s="800" t="s">
        <v>110</v>
      </c>
      <c r="C22" s="1897" t="s">
        <v>123</v>
      </c>
      <c r="D22" s="769" t="s">
        <v>873</v>
      </c>
      <c r="E22" s="1456">
        <f>-E16*HIDDEN!$A$2</f>
        <v>0</v>
      </c>
      <c r="F22" s="1457">
        <f>-F16*HIDDEN!$A$2</f>
        <v>0</v>
      </c>
      <c r="G22" s="1457">
        <f>-G16*HIDDEN!$A$2</f>
        <v>0</v>
      </c>
      <c r="H22" s="1457">
        <f>-H16*HIDDEN!$A$2</f>
        <v>0</v>
      </c>
      <c r="I22" s="1457">
        <f>-I16*HIDDEN!$A$2</f>
        <v>0</v>
      </c>
      <c r="J22" s="1457">
        <f>-J16*HIDDEN!$A$2</f>
        <v>0</v>
      </c>
      <c r="K22" s="1457">
        <f>-K16*HIDDEN!$A$2</f>
        <v>0</v>
      </c>
      <c r="L22" s="1457">
        <f>-L16*HIDDEN!$A$2</f>
        <v>0</v>
      </c>
      <c r="M22" s="1457">
        <f>-M16*HIDDEN!$A$2</f>
        <v>0</v>
      </c>
      <c r="N22" s="1457">
        <f>-N16*HIDDEN!$A$2</f>
        <v>0</v>
      </c>
      <c r="O22" s="1457">
        <f>-O16*HIDDEN!$A$2</f>
        <v>0</v>
      </c>
      <c r="P22" s="1457">
        <f>-P16*HIDDEN!$A$2</f>
        <v>0</v>
      </c>
      <c r="Q22" s="1457">
        <f>-Q16*HIDDEN!$A$2</f>
        <v>0</v>
      </c>
      <c r="R22" s="1457">
        <f>-R16*HIDDEN!$A$2</f>
        <v>0</v>
      </c>
      <c r="S22" s="1457">
        <f>-S16*HIDDEN!$A$2</f>
        <v>0</v>
      </c>
      <c r="T22" s="2046">
        <f t="shared" si="0"/>
        <v>0</v>
      </c>
    </row>
    <row r="23" spans="1:22">
      <c r="A23" s="768"/>
      <c r="B23" s="800" t="s">
        <v>111</v>
      </c>
      <c r="C23" s="1897" t="s">
        <v>1024</v>
      </c>
      <c r="D23" s="769" t="s">
        <v>873</v>
      </c>
      <c r="E23" s="1456">
        <f>-E19*HIDDEN!$A$2</f>
        <v>0</v>
      </c>
      <c r="F23" s="1457">
        <f>-F19*HIDDEN!$A$2</f>
        <v>0</v>
      </c>
      <c r="G23" s="1457">
        <f>-G19*HIDDEN!$A$2</f>
        <v>0</v>
      </c>
      <c r="H23" s="1457">
        <f>-H19*HIDDEN!$A$2</f>
        <v>0</v>
      </c>
      <c r="I23" s="1457">
        <f>-I19*HIDDEN!$A$2</f>
        <v>0</v>
      </c>
      <c r="J23" s="1457">
        <f>-J19*HIDDEN!$A$2</f>
        <v>0</v>
      </c>
      <c r="K23" s="1457">
        <f>-K19*HIDDEN!$A$2</f>
        <v>0</v>
      </c>
      <c r="L23" s="1457">
        <f>-L19*HIDDEN!$A$2</f>
        <v>0</v>
      </c>
      <c r="M23" s="1457">
        <f>-M19*HIDDEN!$A$2</f>
        <v>0</v>
      </c>
      <c r="N23" s="1457">
        <f>-N19*HIDDEN!$A$2</f>
        <v>0</v>
      </c>
      <c r="O23" s="1457">
        <f>-O19*HIDDEN!$A$2</f>
        <v>0</v>
      </c>
      <c r="P23" s="1457">
        <f>-P19*HIDDEN!$A$2</f>
        <v>0</v>
      </c>
      <c r="Q23" s="1457">
        <f>-Q19*HIDDEN!$A$2</f>
        <v>0</v>
      </c>
      <c r="R23" s="1457">
        <f>-R19*HIDDEN!$A$2</f>
        <v>0</v>
      </c>
      <c r="S23" s="1457">
        <f>-S19*HIDDEN!$A$2</f>
        <v>0</v>
      </c>
      <c r="T23" s="2046">
        <f t="shared" si="0"/>
        <v>0</v>
      </c>
    </row>
    <row r="24" spans="1:22">
      <c r="A24" s="768"/>
      <c r="B24" s="800" t="s">
        <v>122</v>
      </c>
      <c r="C24" s="1897" t="s">
        <v>892</v>
      </c>
      <c r="D24" s="769" t="s">
        <v>873</v>
      </c>
      <c r="E24" s="1456">
        <f>'5. DL soc.econom. analīze'!D29</f>
        <v>50</v>
      </c>
      <c r="F24" s="1457">
        <f>'5. DL soc.econom. analīze'!E29</f>
        <v>50</v>
      </c>
      <c r="G24" s="1457">
        <f>'5. DL soc.econom. analīze'!F29</f>
        <v>50</v>
      </c>
      <c r="H24" s="1457">
        <f>'5. DL soc.econom. analīze'!G29</f>
        <v>50</v>
      </c>
      <c r="I24" s="1457">
        <f>'5. DL soc.econom. analīze'!H29</f>
        <v>50</v>
      </c>
      <c r="J24" s="1457">
        <f>'5. DL soc.econom. analīze'!I29</f>
        <v>50</v>
      </c>
      <c r="K24" s="1457">
        <f>'5. DL soc.econom. analīze'!J29</f>
        <v>50</v>
      </c>
      <c r="L24" s="1457">
        <f>'5. DL soc.econom. analīze'!K29</f>
        <v>50</v>
      </c>
      <c r="M24" s="1457">
        <f>'5. DL soc.econom. analīze'!L29</f>
        <v>50</v>
      </c>
      <c r="N24" s="1457">
        <f>'5. DL soc.econom. analīze'!M29</f>
        <v>50</v>
      </c>
      <c r="O24" s="1457">
        <f>'5. DL soc.econom. analīze'!N29</f>
        <v>50</v>
      </c>
      <c r="P24" s="1457">
        <f>'5. DL soc.econom. analīze'!O29</f>
        <v>50</v>
      </c>
      <c r="Q24" s="1457">
        <f>'5. DL soc.econom. analīze'!P29</f>
        <v>50</v>
      </c>
      <c r="R24" s="1457">
        <f>'5. DL soc.econom. analīze'!Q29</f>
        <v>50</v>
      </c>
      <c r="S24" s="1457">
        <f>'5. DL soc.econom. analīze'!R29</f>
        <v>50</v>
      </c>
      <c r="T24" s="2046">
        <f t="shared" si="0"/>
        <v>750</v>
      </c>
    </row>
    <row r="25" spans="1:22" s="789" customFormat="1">
      <c r="A25" s="791"/>
      <c r="B25" s="792">
        <v>7</v>
      </c>
      <c r="C25" s="792" t="s">
        <v>124</v>
      </c>
      <c r="D25" s="1342" t="s">
        <v>873</v>
      </c>
      <c r="E25" s="1458">
        <f t="shared" ref="E25:S25" si="12">E21+E14+E13</f>
        <v>-35450</v>
      </c>
      <c r="F25" s="1459">
        <f>F21+F14+F13</f>
        <v>-9965</v>
      </c>
      <c r="G25" s="1459">
        <f t="shared" si="12"/>
        <v>-29200</v>
      </c>
      <c r="H25" s="1459">
        <f t="shared" si="12"/>
        <v>-500</v>
      </c>
      <c r="I25" s="1459">
        <f t="shared" si="12"/>
        <v>-500</v>
      </c>
      <c r="J25" s="1459">
        <f t="shared" si="12"/>
        <v>-500</v>
      </c>
      <c r="K25" s="1459">
        <f t="shared" si="12"/>
        <v>-500</v>
      </c>
      <c r="L25" s="1459">
        <f t="shared" si="12"/>
        <v>-500</v>
      </c>
      <c r="M25" s="1459">
        <f>M21+M14+M13</f>
        <v>-500</v>
      </c>
      <c r="N25" s="1459">
        <f t="shared" si="12"/>
        <v>-500</v>
      </c>
      <c r="O25" s="1459">
        <f t="shared" si="12"/>
        <v>-500</v>
      </c>
      <c r="P25" s="1459">
        <f t="shared" si="12"/>
        <v>-500</v>
      </c>
      <c r="Q25" s="1459">
        <f t="shared" si="12"/>
        <v>-500</v>
      </c>
      <c r="R25" s="1459">
        <f t="shared" si="12"/>
        <v>-500</v>
      </c>
      <c r="S25" s="1459">
        <f t="shared" si="12"/>
        <v>-500</v>
      </c>
      <c r="T25" s="1465">
        <f t="shared" si="0"/>
        <v>-80615</v>
      </c>
    </row>
    <row r="26" spans="1:22" s="789" customFormat="1">
      <c r="A26" s="801"/>
      <c r="B26" s="818">
        <v>8</v>
      </c>
      <c r="C26" s="802" t="s">
        <v>12</v>
      </c>
      <c r="D26" s="803" t="s">
        <v>873</v>
      </c>
      <c r="E26" s="2047">
        <f>E25+E12</f>
        <v>-26090</v>
      </c>
      <c r="F26" s="1491">
        <f t="shared" ref="F26:S26" si="13">F25+F12</f>
        <v>-605</v>
      </c>
      <c r="G26" s="1491">
        <f>G25+G12</f>
        <v>-19840</v>
      </c>
      <c r="H26" s="1491">
        <f t="shared" si="13"/>
        <v>8860</v>
      </c>
      <c r="I26" s="1491">
        <f t="shared" si="13"/>
        <v>8860</v>
      </c>
      <c r="J26" s="1491">
        <f t="shared" si="13"/>
        <v>8860</v>
      </c>
      <c r="K26" s="1491">
        <f t="shared" si="13"/>
        <v>8860</v>
      </c>
      <c r="L26" s="1491">
        <f t="shared" si="13"/>
        <v>8860</v>
      </c>
      <c r="M26" s="1491">
        <f>M25+M12</f>
        <v>8860</v>
      </c>
      <c r="N26" s="1491">
        <f t="shared" si="13"/>
        <v>8860</v>
      </c>
      <c r="O26" s="1491">
        <f t="shared" si="13"/>
        <v>8860</v>
      </c>
      <c r="P26" s="1491">
        <f t="shared" si="13"/>
        <v>8860</v>
      </c>
      <c r="Q26" s="1491">
        <f t="shared" si="13"/>
        <v>8860</v>
      </c>
      <c r="R26" s="1491">
        <f t="shared" si="13"/>
        <v>8860</v>
      </c>
      <c r="S26" s="1491">
        <f t="shared" si="13"/>
        <v>9860</v>
      </c>
      <c r="T26" s="2048">
        <f t="shared" si="0"/>
        <v>60785</v>
      </c>
    </row>
    <row r="28" spans="1:22">
      <c r="A28" s="1421"/>
      <c r="B28" s="1421"/>
      <c r="C28" s="1421"/>
      <c r="D28" s="1421"/>
      <c r="E28" s="1422"/>
      <c r="F28" s="1422"/>
      <c r="G28" s="1422"/>
      <c r="H28" s="1422"/>
      <c r="I28" s="1422"/>
      <c r="J28" s="1422"/>
      <c r="K28" s="1422"/>
      <c r="L28" s="1422"/>
      <c r="M28" s="1422"/>
      <c r="N28" s="1422"/>
      <c r="O28" s="1422"/>
      <c r="P28" s="1422"/>
      <c r="Q28" s="1422"/>
      <c r="R28" s="1422"/>
      <c r="S28" s="1422"/>
      <c r="T28" s="1423"/>
    </row>
    <row r="29" spans="1:22" ht="14.25" customHeight="1">
      <c r="E29" s="1886"/>
      <c r="F29" s="808"/>
      <c r="G29" s="808"/>
      <c r="H29" s="808"/>
      <c r="I29" s="808"/>
      <c r="J29" s="808"/>
      <c r="K29" s="808"/>
      <c r="L29" s="808"/>
    </row>
    <row r="30" spans="1:22">
      <c r="E30" s="808"/>
      <c r="F30" s="1883"/>
      <c r="G30" s="2049"/>
      <c r="H30" s="808"/>
      <c r="I30" s="2050"/>
      <c r="J30" s="2049"/>
      <c r="K30" s="808"/>
      <c r="L30" s="808"/>
    </row>
    <row r="31" spans="1:22">
      <c r="E31" s="808"/>
      <c r="F31" s="1883"/>
      <c r="G31" s="2049"/>
      <c r="H31" s="808"/>
      <c r="I31" s="2050"/>
      <c r="J31" s="2049"/>
      <c r="K31" s="808"/>
      <c r="L31" s="808"/>
    </row>
    <row r="32" spans="1:22">
      <c r="E32" s="808"/>
      <c r="F32" s="1883"/>
      <c r="G32" s="2049"/>
      <c r="H32" s="808"/>
      <c r="I32" s="2050"/>
      <c r="J32" s="2049"/>
      <c r="K32" s="808"/>
      <c r="L32" s="808"/>
    </row>
    <row r="33" spans="2:15">
      <c r="E33" s="808"/>
      <c r="F33" s="1883"/>
      <c r="G33" s="2049"/>
      <c r="H33" s="808"/>
      <c r="I33" s="2050"/>
      <c r="J33" s="2049"/>
      <c r="K33" s="816"/>
      <c r="L33" s="816"/>
      <c r="M33" s="816"/>
      <c r="N33" s="816"/>
      <c r="O33" s="816"/>
    </row>
    <row r="34" spans="2:15">
      <c r="F34" s="821"/>
      <c r="G34" s="2051"/>
      <c r="H34" s="816"/>
      <c r="I34" s="2050"/>
      <c r="J34" s="2049"/>
      <c r="K34" s="822"/>
      <c r="L34" s="816"/>
      <c r="M34" s="816"/>
      <c r="N34" s="816"/>
      <c r="O34" s="816"/>
    </row>
    <row r="35" spans="2:15">
      <c r="F35" s="821"/>
      <c r="G35" s="2052"/>
      <c r="H35" s="816"/>
      <c r="I35" s="2050"/>
      <c r="J35" s="2053"/>
      <c r="K35" s="816"/>
      <c r="L35" s="816"/>
      <c r="M35" s="816"/>
      <c r="N35" s="816"/>
      <c r="O35" s="816"/>
    </row>
    <row r="36" spans="2:15">
      <c r="F36" s="821"/>
      <c r="G36" s="2052"/>
      <c r="H36" s="816"/>
      <c r="I36" s="2050"/>
      <c r="J36" s="2053"/>
      <c r="K36" s="816"/>
      <c r="L36" s="816"/>
      <c r="M36" s="816"/>
      <c r="N36" s="816"/>
      <c r="O36" s="816"/>
    </row>
    <row r="37" spans="2:15">
      <c r="F37" s="821"/>
      <c r="G37" s="2052"/>
      <c r="H37" s="816"/>
      <c r="I37" s="2050"/>
      <c r="J37" s="2053"/>
      <c r="K37" s="816"/>
      <c r="L37" s="816"/>
      <c r="M37" s="816"/>
      <c r="N37" s="816"/>
      <c r="O37" s="816"/>
    </row>
    <row r="38" spans="2:15">
      <c r="F38" s="821"/>
      <c r="G38" s="2052"/>
      <c r="H38" s="816"/>
      <c r="I38" s="2050"/>
      <c r="J38" s="2053"/>
      <c r="K38" s="816"/>
      <c r="L38" s="816"/>
      <c r="M38" s="816"/>
      <c r="N38" s="816"/>
      <c r="O38" s="816"/>
    </row>
    <row r="39" spans="2:15">
      <c r="B39" s="1346"/>
      <c r="F39" s="821"/>
      <c r="G39" s="2052"/>
      <c r="H39" s="816"/>
      <c r="I39" s="2050"/>
      <c r="J39" s="2053"/>
      <c r="K39" s="808"/>
      <c r="L39" s="808"/>
    </row>
    <row r="40" spans="2:15">
      <c r="F40" s="821"/>
      <c r="G40" s="2052"/>
      <c r="I40" s="2050"/>
      <c r="J40" s="2053"/>
      <c r="K40" s="808"/>
      <c r="L40" s="808"/>
    </row>
    <row r="41" spans="2:15">
      <c r="C41" s="789"/>
      <c r="F41" s="2045"/>
      <c r="I41" s="2054"/>
      <c r="J41" s="2050"/>
      <c r="K41" s="808"/>
      <c r="L41" s="808"/>
    </row>
    <row r="42" spans="2:15">
      <c r="C42" s="789"/>
      <c r="F42" s="2045"/>
      <c r="I42" s="2054"/>
      <c r="J42" s="808"/>
      <c r="K42" s="808"/>
      <c r="L42" s="808"/>
    </row>
    <row r="43" spans="2:15">
      <c r="F43" s="821"/>
      <c r="G43" s="2055"/>
      <c r="I43" s="1883"/>
      <c r="J43" s="1972"/>
      <c r="K43" s="808"/>
      <c r="L43" s="808"/>
    </row>
    <row r="44" spans="2:15">
      <c r="F44" s="821"/>
      <c r="G44" s="2055"/>
      <c r="I44" s="1883"/>
      <c r="J44" s="1972"/>
      <c r="K44" s="808"/>
      <c r="L44" s="808"/>
    </row>
    <row r="45" spans="2:15">
      <c r="C45" s="789"/>
      <c r="F45" s="2045"/>
      <c r="I45" s="2056"/>
      <c r="J45" s="1883"/>
      <c r="K45" s="808"/>
      <c r="L45" s="808"/>
    </row>
    <row r="46" spans="2:15">
      <c r="I46" s="808"/>
      <c r="J46" s="808"/>
      <c r="K46" s="808"/>
      <c r="L46" s="808"/>
    </row>
    <row r="47" spans="2:15" hidden="1">
      <c r="C47" s="772"/>
      <c r="F47" s="821"/>
      <c r="I47" s="821"/>
    </row>
    <row r="48" spans="2:15">
      <c r="C48" s="789"/>
      <c r="F48" s="2045"/>
      <c r="I48" s="2045"/>
    </row>
  </sheetData>
  <sheetProtection algorithmName="SHA-512" hashValue="Y2jRD8f9/hUCILrVf7LLylH0jyBPle7rld9sClEoAr7jI66HdoE/0NaLYT2ZbVAmIzrWKSmYIMTcttUDCXBpEA==" saltValue="63aOyPR3kB7w8WiaUMFoFQ==" spinCount="100000" sheet="1" objects="1" scenarios="1"/>
  <mergeCells count="2">
    <mergeCell ref="A1:C1"/>
    <mergeCell ref="A2:C2"/>
  </mergeCells>
  <phoneticPr fontId="3" type="noConversion"/>
  <printOptions horizontalCentered="1"/>
  <pageMargins left="0.11811023622047245" right="0.11811023622047245" top="0.98425196850393704" bottom="0.98425196850393704" header="0.51181102362204722" footer="0.51181102362204722"/>
  <pageSetup paperSize="8" scale="47" orientation="landscape" r:id="rId1"/>
  <headerFooter alignWithMargins="0">
    <oddHeader>&amp;CSociālekonomiskās naudas plūsmas aprēķināšana&amp;R8.pielikums</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3"/>
    <pageSetUpPr fitToPage="1"/>
  </sheetPr>
  <dimension ref="A1:Z62"/>
  <sheetViews>
    <sheetView zoomScale="70" zoomScaleNormal="70" workbookViewId="0">
      <selection activeCell="D41" sqref="D41"/>
    </sheetView>
  </sheetViews>
  <sheetFormatPr defaultColWidth="11" defaultRowHeight="12.75"/>
  <cols>
    <col min="1" max="1" width="3.85546875" style="750" customWidth="1"/>
    <col min="2" max="2" width="6.140625" style="750" customWidth="1"/>
    <col min="3" max="3" width="6.42578125" style="750" customWidth="1"/>
    <col min="4" max="4" width="48.140625" style="750" customWidth="1"/>
    <col min="5" max="5" width="10" style="753" customWidth="1"/>
    <col min="6" max="21" width="10" style="750" customWidth="1"/>
    <col min="22" max="22" width="14.85546875" style="804" customWidth="1"/>
    <col min="23" max="16384" width="11" style="751"/>
  </cols>
  <sheetData>
    <row r="1" spans="1:26" ht="27" customHeight="1">
      <c r="A1" s="2220" t="s">
        <v>984</v>
      </c>
      <c r="B1" s="2220"/>
      <c r="C1" s="2220"/>
      <c r="D1" s="2220"/>
      <c r="E1" s="2220"/>
      <c r="F1" s="2220"/>
      <c r="G1" s="804"/>
      <c r="H1" s="804"/>
      <c r="I1" s="804"/>
      <c r="J1" s="804"/>
      <c r="K1" s="804"/>
      <c r="L1" s="804"/>
      <c r="M1" s="804"/>
      <c r="N1" s="804"/>
      <c r="O1" s="804"/>
      <c r="P1" s="804"/>
      <c r="Q1" s="804"/>
      <c r="R1" s="804"/>
      <c r="S1" s="804"/>
      <c r="T1" s="804"/>
      <c r="U1" s="804"/>
    </row>
    <row r="2" spans="1:26" s="775" customFormat="1" ht="24.95" customHeight="1">
      <c r="A2" s="1428" t="s">
        <v>846</v>
      </c>
      <c r="B2" s="804"/>
      <c r="C2" s="804"/>
      <c r="D2" s="804"/>
      <c r="E2" s="804"/>
      <c r="F2" s="804"/>
      <c r="G2" s="804"/>
      <c r="H2" s="804"/>
      <c r="I2" s="804"/>
      <c r="J2" s="804"/>
      <c r="K2" s="804"/>
      <c r="L2" s="804"/>
      <c r="M2" s="804"/>
      <c r="N2" s="804"/>
      <c r="O2" s="804"/>
      <c r="P2" s="804"/>
      <c r="Q2" s="804"/>
      <c r="R2" s="804"/>
      <c r="S2" s="804"/>
      <c r="T2" s="804"/>
      <c r="U2" s="804"/>
      <c r="V2" s="804"/>
    </row>
    <row r="3" spans="1:26">
      <c r="A3" s="1550"/>
      <c r="B3" s="1407"/>
      <c r="C3" s="1407"/>
      <c r="D3" s="1539"/>
      <c r="E3" s="1539"/>
      <c r="F3" s="1551" t="str">
        <f>'10. AL soc.ekonom. anal.'!E3</f>
        <v>0 / 1</v>
      </c>
      <c r="G3" s="1551">
        <f>'10. AL soc.ekonom. anal.'!F3</f>
        <v>2</v>
      </c>
      <c r="H3" s="1551">
        <f>'10. AL soc.ekonom. anal.'!G3</f>
        <v>3</v>
      </c>
      <c r="I3" s="1551">
        <f>'10. AL soc.ekonom. anal.'!H3</f>
        <v>4</v>
      </c>
      <c r="J3" s="1551">
        <f>'10. AL soc.ekonom. anal.'!I3</f>
        <v>5</v>
      </c>
      <c r="K3" s="1551">
        <f>'10. AL soc.ekonom. anal.'!J3</f>
        <v>6</v>
      </c>
      <c r="L3" s="1551">
        <f>'10. AL soc.ekonom. anal.'!K3</f>
        <v>7</v>
      </c>
      <c r="M3" s="1551">
        <f>'10. AL soc.ekonom. anal.'!L3</f>
        <v>8</v>
      </c>
      <c r="N3" s="1551">
        <f>'10. AL soc.ekonom. anal.'!M3</f>
        <v>9</v>
      </c>
      <c r="O3" s="1551">
        <f>'10. AL soc.ekonom. anal.'!N3</f>
        <v>10</v>
      </c>
      <c r="P3" s="1551">
        <f>'10. AL soc.ekonom. anal.'!O3</f>
        <v>11</v>
      </c>
      <c r="Q3" s="1551">
        <f>'10. AL soc.ekonom. anal.'!P3</f>
        <v>12</v>
      </c>
      <c r="R3" s="1551">
        <f>'10. AL soc.ekonom. anal.'!Q3</f>
        <v>13</v>
      </c>
      <c r="S3" s="1551">
        <f>'10. AL soc.ekonom. anal.'!R3</f>
        <v>14</v>
      </c>
      <c r="T3" s="1551">
        <f>'10. AL soc.ekonom. anal.'!S3</f>
        <v>15</v>
      </c>
      <c r="U3" s="1552" t="s">
        <v>2</v>
      </c>
      <c r="W3" s="752"/>
      <c r="X3" s="752"/>
      <c r="Y3" s="752"/>
      <c r="Z3" s="752"/>
    </row>
    <row r="4" spans="1:26" s="784" customFormat="1">
      <c r="A4" s="1525">
        <v>1</v>
      </c>
      <c r="B4" s="1470" t="s">
        <v>126</v>
      </c>
      <c r="C4" s="1470"/>
      <c r="D4" s="1470"/>
      <c r="E4" s="1417" t="s">
        <v>1</v>
      </c>
      <c r="F4" s="1418">
        <f>'10. AL soc.ekonom. anal.'!E4</f>
        <v>2017</v>
      </c>
      <c r="G4" s="1418">
        <f>'10. AL soc.ekonom. anal.'!F4</f>
        <v>2018</v>
      </c>
      <c r="H4" s="1418">
        <f>'10. AL soc.ekonom. anal.'!G4</f>
        <v>2019</v>
      </c>
      <c r="I4" s="1418">
        <f>'10. AL soc.ekonom. anal.'!H4</f>
        <v>2020</v>
      </c>
      <c r="J4" s="1418">
        <f>'10. AL soc.ekonom. anal.'!I4</f>
        <v>2021</v>
      </c>
      <c r="K4" s="1418">
        <f>'10. AL soc.ekonom. anal.'!J4</f>
        <v>2022</v>
      </c>
      <c r="L4" s="1418">
        <f>'10. AL soc.ekonom. anal.'!K4</f>
        <v>2023</v>
      </c>
      <c r="M4" s="1418">
        <f>'10. AL soc.ekonom. anal.'!L4</f>
        <v>2024</v>
      </c>
      <c r="N4" s="1418">
        <f>'10. AL soc.ekonom. anal.'!M4</f>
        <v>2025</v>
      </c>
      <c r="O4" s="1418">
        <f>'10. AL soc.ekonom. anal.'!N4</f>
        <v>2026</v>
      </c>
      <c r="P4" s="1418">
        <f>'10. AL soc.ekonom. anal.'!O4</f>
        <v>2027</v>
      </c>
      <c r="Q4" s="1418">
        <f>'10. AL soc.ekonom. anal.'!P4</f>
        <v>2028</v>
      </c>
      <c r="R4" s="1418">
        <f>'10. AL soc.ekonom. anal.'!Q4</f>
        <v>2029</v>
      </c>
      <c r="S4" s="1418">
        <f>'10. AL soc.ekonom. anal.'!R4</f>
        <v>2030</v>
      </c>
      <c r="T4" s="1418">
        <f>'10. AL soc.ekonom. anal.'!S4</f>
        <v>2031</v>
      </c>
      <c r="U4" s="1451"/>
      <c r="V4" s="804"/>
    </row>
    <row r="5" spans="1:26" s="775" customFormat="1">
      <c r="A5" s="804"/>
      <c r="B5" s="804"/>
      <c r="C5" s="804"/>
      <c r="D5" s="804"/>
      <c r="E5" s="806"/>
      <c r="F5" s="1358"/>
      <c r="G5" s="1358"/>
      <c r="H5" s="1358"/>
      <c r="I5" s="1358"/>
      <c r="J5" s="1358"/>
      <c r="K5" s="1358"/>
      <c r="L5" s="1358"/>
      <c r="M5" s="1358"/>
      <c r="N5" s="1358"/>
      <c r="O5" s="1358"/>
      <c r="P5" s="1358"/>
      <c r="Q5" s="1358"/>
      <c r="R5" s="1358"/>
      <c r="S5" s="1358"/>
      <c r="T5" s="1358"/>
      <c r="U5" s="1358"/>
      <c r="V5" s="804"/>
      <c r="W5" s="1354"/>
    </row>
    <row r="6" spans="1:26" s="775" customFormat="1">
      <c r="A6" s="1368"/>
      <c r="B6" s="1369" t="s">
        <v>3</v>
      </c>
      <c r="C6" s="1369" t="s">
        <v>1025</v>
      </c>
      <c r="D6" s="1369"/>
      <c r="E6" s="1391" t="s">
        <v>873</v>
      </c>
      <c r="F6" s="1546">
        <f>'4.DL Finansiālā ilgtspēja'!F8</f>
        <v>360</v>
      </c>
      <c r="G6" s="1547">
        <f>'4.DL Finansiālā ilgtspēja'!G8</f>
        <v>360</v>
      </c>
      <c r="H6" s="1547">
        <f>'4.DL Finansiālā ilgtspēja'!H8</f>
        <v>360</v>
      </c>
      <c r="I6" s="1547">
        <f>'4.DL Finansiālā ilgtspēja'!I8</f>
        <v>360</v>
      </c>
      <c r="J6" s="1547">
        <f>'4.DL Finansiālā ilgtspēja'!J8</f>
        <v>360</v>
      </c>
      <c r="K6" s="1547">
        <f>'4.DL Finansiālā ilgtspēja'!K8</f>
        <v>360</v>
      </c>
      <c r="L6" s="1547">
        <f>'4.DL Finansiālā ilgtspēja'!L8</f>
        <v>360</v>
      </c>
      <c r="M6" s="1547">
        <f>'4.DL Finansiālā ilgtspēja'!M8</f>
        <v>360</v>
      </c>
      <c r="N6" s="1547">
        <f>'4.DL Finansiālā ilgtspēja'!N8</f>
        <v>360</v>
      </c>
      <c r="O6" s="1547">
        <f>'4.DL Finansiālā ilgtspēja'!O8</f>
        <v>360</v>
      </c>
      <c r="P6" s="1547">
        <f>'4.DL Finansiālā ilgtspēja'!P8</f>
        <v>360</v>
      </c>
      <c r="Q6" s="1547">
        <f>'4.DL Finansiālā ilgtspēja'!Q8</f>
        <v>360</v>
      </c>
      <c r="R6" s="1547">
        <f>'4.DL Finansiālā ilgtspēja'!R8</f>
        <v>360</v>
      </c>
      <c r="S6" s="1547">
        <f>'4.DL Finansiālā ilgtspēja'!S8</f>
        <v>360</v>
      </c>
      <c r="T6" s="1547">
        <f>'4.DL Finansiālā ilgtspēja'!T8</f>
        <v>360</v>
      </c>
      <c r="U6" s="1440">
        <f t="shared" ref="U6:U12" si="0">SUM(F6:T6)</f>
        <v>5400</v>
      </c>
      <c r="V6" s="804" t="b">
        <f>U6='3. DL invest.n.pl.AR pr.'!U9</f>
        <v>1</v>
      </c>
    </row>
    <row r="7" spans="1:26" s="775" customFormat="1">
      <c r="A7" s="1362"/>
      <c r="B7" s="775" t="s">
        <v>5</v>
      </c>
      <c r="C7" s="775" t="s">
        <v>10</v>
      </c>
      <c r="E7" s="1394" t="s">
        <v>873</v>
      </c>
      <c r="F7" s="1424">
        <f>'4.DL Finansiālā ilgtspēja'!F12</f>
        <v>0</v>
      </c>
      <c r="G7" s="1425">
        <f>'4.DL Finansiālā ilgtspēja'!G12</f>
        <v>0</v>
      </c>
      <c r="H7" s="1425">
        <f>'4.DL Finansiālā ilgtspēja'!H12</f>
        <v>0</v>
      </c>
      <c r="I7" s="1425">
        <f>'4.DL Finansiālā ilgtspēja'!I12</f>
        <v>0</v>
      </c>
      <c r="J7" s="1425">
        <f>'4.DL Finansiālā ilgtspēja'!J12</f>
        <v>0</v>
      </c>
      <c r="K7" s="1425">
        <f>'4.DL Finansiālā ilgtspēja'!K12</f>
        <v>0</v>
      </c>
      <c r="L7" s="1425">
        <f>'4.DL Finansiālā ilgtspēja'!L12</f>
        <v>0</v>
      </c>
      <c r="M7" s="1425">
        <f>'4.DL Finansiālā ilgtspēja'!M12</f>
        <v>0</v>
      </c>
      <c r="N7" s="1425">
        <f>'4.DL Finansiālā ilgtspēja'!N12</f>
        <v>0</v>
      </c>
      <c r="O7" s="1425">
        <f>'4.DL Finansiālā ilgtspēja'!O12</f>
        <v>0</v>
      </c>
      <c r="P7" s="1425">
        <f>'4.DL Finansiālā ilgtspēja'!P12</f>
        <v>0</v>
      </c>
      <c r="Q7" s="1425">
        <f>'4.DL Finansiālā ilgtspēja'!Q12</f>
        <v>0</v>
      </c>
      <c r="R7" s="1425">
        <f>'4.DL Finansiālā ilgtspēja'!R12</f>
        <v>0</v>
      </c>
      <c r="S7" s="1425">
        <f>'4.DL Finansiālā ilgtspēja'!S12</f>
        <v>0</v>
      </c>
      <c r="T7" s="1425">
        <f>'4.DL Finansiālā ilgtspēja'!T12</f>
        <v>1000</v>
      </c>
      <c r="U7" s="1441">
        <f t="shared" si="0"/>
        <v>1000</v>
      </c>
      <c r="V7" s="804"/>
    </row>
    <row r="8" spans="1:26" s="775" customFormat="1">
      <c r="A8" s="1362"/>
      <c r="B8" s="775" t="s">
        <v>7</v>
      </c>
      <c r="C8" s="775" t="s">
        <v>1015</v>
      </c>
      <c r="E8" s="1394" t="s">
        <v>873</v>
      </c>
      <c r="F8" s="1424">
        <f>'12. RL Investīciju n.pl.'!E7</f>
        <v>-400</v>
      </c>
      <c r="G8" s="1425">
        <f>'12. RL Investīciju n.pl.'!F7</f>
        <v>-400</v>
      </c>
      <c r="H8" s="1425">
        <f>'12. RL Investīciju n.pl.'!G7</f>
        <v>-400</v>
      </c>
      <c r="I8" s="1425">
        <f>'12. RL Investīciju n.pl.'!H7</f>
        <v>-400</v>
      </c>
      <c r="J8" s="1425">
        <f>'12. RL Investīciju n.pl.'!I7</f>
        <v>-400</v>
      </c>
      <c r="K8" s="1425">
        <f>'12. RL Investīciju n.pl.'!J7</f>
        <v>-400</v>
      </c>
      <c r="L8" s="1425">
        <f>'12. RL Investīciju n.pl.'!K7</f>
        <v>-400</v>
      </c>
      <c r="M8" s="1425">
        <f>'12. RL Investīciju n.pl.'!L7</f>
        <v>-400</v>
      </c>
      <c r="N8" s="1425">
        <f>'12. RL Investīciju n.pl.'!M7</f>
        <v>-400</v>
      </c>
      <c r="O8" s="1425">
        <f>'12. RL Investīciju n.pl.'!N7</f>
        <v>-400</v>
      </c>
      <c r="P8" s="1425">
        <f>'12. RL Investīciju n.pl.'!O7</f>
        <v>-400</v>
      </c>
      <c r="Q8" s="1425">
        <f>'12. RL Investīciju n.pl.'!P7</f>
        <v>-400</v>
      </c>
      <c r="R8" s="1425">
        <f>'12. RL Investīciju n.pl.'!Q7</f>
        <v>-400</v>
      </c>
      <c r="S8" s="1425">
        <f>'12. RL Investīciju n.pl.'!R7</f>
        <v>-400</v>
      </c>
      <c r="T8" s="1425">
        <f>'12. RL Investīciju n.pl.'!S7</f>
        <v>-400</v>
      </c>
      <c r="U8" s="1441">
        <f t="shared" si="0"/>
        <v>-6000</v>
      </c>
      <c r="V8" s="804" t="b">
        <f>U8='3. DL invest.n.pl.AR pr.'!U16-'2. DL invest.n.pl.BEZ pr.'!T16</f>
        <v>1</v>
      </c>
    </row>
    <row r="9" spans="1:26" s="775" customFormat="1">
      <c r="A9" s="1362"/>
      <c r="B9" s="775" t="s">
        <v>9</v>
      </c>
      <c r="C9" s="775" t="s">
        <v>45</v>
      </c>
      <c r="E9" s="1394" t="s">
        <v>873</v>
      </c>
      <c r="F9" s="1424">
        <f>'4.DL Finansiālā ilgtspēja'!F16</f>
        <v>0</v>
      </c>
      <c r="G9" s="1425">
        <f>'4.DL Finansiālā ilgtspēja'!G16</f>
        <v>0</v>
      </c>
      <c r="H9" s="1425">
        <f>'4.DL Finansiālā ilgtspēja'!H16</f>
        <v>0</v>
      </c>
      <c r="I9" s="1425">
        <f>'4.DL Finansiālā ilgtspēja'!I16</f>
        <v>0</v>
      </c>
      <c r="J9" s="1425">
        <f>'4.DL Finansiālā ilgtspēja'!J16</f>
        <v>0</v>
      </c>
      <c r="K9" s="1425">
        <f>'4.DL Finansiālā ilgtspēja'!K16</f>
        <v>0</v>
      </c>
      <c r="L9" s="1425">
        <f>'4.DL Finansiālā ilgtspēja'!L16</f>
        <v>0</v>
      </c>
      <c r="M9" s="1425">
        <f>'4.DL Finansiālā ilgtspēja'!M16</f>
        <v>0</v>
      </c>
      <c r="N9" s="1425">
        <f>'4.DL Finansiālā ilgtspēja'!N16</f>
        <v>0</v>
      </c>
      <c r="O9" s="1425">
        <f>'4.DL Finansiālā ilgtspēja'!O16</f>
        <v>0</v>
      </c>
      <c r="P9" s="1425">
        <f>'4.DL Finansiālā ilgtspēja'!P16</f>
        <v>0</v>
      </c>
      <c r="Q9" s="1425">
        <f>'4.DL Finansiālā ilgtspēja'!Q16</f>
        <v>0</v>
      </c>
      <c r="R9" s="1425">
        <f>'4.DL Finansiālā ilgtspēja'!R16</f>
        <v>0</v>
      </c>
      <c r="S9" s="1425">
        <f>'4.DL Finansiālā ilgtspēja'!S16</f>
        <v>0</v>
      </c>
      <c r="T9" s="1425">
        <f>'4.DL Finansiālā ilgtspēja'!T16</f>
        <v>0</v>
      </c>
      <c r="U9" s="1441">
        <f t="shared" si="0"/>
        <v>0</v>
      </c>
      <c r="V9" s="804"/>
    </row>
    <row r="10" spans="1:26" s="775" customFormat="1">
      <c r="A10" s="1362"/>
      <c r="B10" s="775" t="s">
        <v>11</v>
      </c>
      <c r="C10" s="775" t="s">
        <v>46</v>
      </c>
      <c r="E10" s="1394" t="s">
        <v>873</v>
      </c>
      <c r="F10" s="1424">
        <f>'4.DL Finansiālā ilgtspēja'!F17+'4.DL Finansiālā ilgtspēja'!F18</f>
        <v>0</v>
      </c>
      <c r="G10" s="1425">
        <f>'4.DL Finansiālā ilgtspēja'!G17+'4.DL Finansiālā ilgtspēja'!G18</f>
        <v>0</v>
      </c>
      <c r="H10" s="1425">
        <f>'4.DL Finansiālā ilgtspēja'!H17+'4.DL Finansiālā ilgtspēja'!H18</f>
        <v>0</v>
      </c>
      <c r="I10" s="1425">
        <f>'4.DL Finansiālā ilgtspēja'!I17+'4.DL Finansiālā ilgtspēja'!I18</f>
        <v>0</v>
      </c>
      <c r="J10" s="1425">
        <f>'4.DL Finansiālā ilgtspēja'!J17+'4.DL Finansiālā ilgtspēja'!J18</f>
        <v>0</v>
      </c>
      <c r="K10" s="1425">
        <f>'4.DL Finansiālā ilgtspēja'!K17+'4.DL Finansiālā ilgtspēja'!K18</f>
        <v>0</v>
      </c>
      <c r="L10" s="1425">
        <f>'4.DL Finansiālā ilgtspēja'!L17+'4.DL Finansiālā ilgtspēja'!L18</f>
        <v>0</v>
      </c>
      <c r="M10" s="1425">
        <f>'4.DL Finansiālā ilgtspēja'!M17+'4.DL Finansiālā ilgtspēja'!M18</f>
        <v>0</v>
      </c>
      <c r="N10" s="1425">
        <f>'4.DL Finansiālā ilgtspēja'!N17+'4.DL Finansiālā ilgtspēja'!N18</f>
        <v>0</v>
      </c>
      <c r="O10" s="1425">
        <f>'4.DL Finansiālā ilgtspēja'!O17+'4.DL Finansiālā ilgtspēja'!O18</f>
        <v>0</v>
      </c>
      <c r="P10" s="1425">
        <f>'4.DL Finansiālā ilgtspēja'!P17+'4.DL Finansiālā ilgtspēja'!P18</f>
        <v>0</v>
      </c>
      <c r="Q10" s="1425">
        <f>'4.DL Finansiālā ilgtspēja'!Q17+'4.DL Finansiālā ilgtspēja'!Q18</f>
        <v>0</v>
      </c>
      <c r="R10" s="1425">
        <f>'4.DL Finansiālā ilgtspēja'!R17+'4.DL Finansiālā ilgtspēja'!R18</f>
        <v>0</v>
      </c>
      <c r="S10" s="1425">
        <f>'4.DL Finansiālā ilgtspēja'!S17+'4.DL Finansiālā ilgtspēja'!S18</f>
        <v>0</v>
      </c>
      <c r="T10" s="1425">
        <f>'4.DL Finansiālā ilgtspēja'!T17+'4.DL Finansiālā ilgtspēja'!T18</f>
        <v>0</v>
      </c>
      <c r="U10" s="1441">
        <f t="shared" si="0"/>
        <v>0</v>
      </c>
      <c r="V10" s="804"/>
    </row>
    <row r="11" spans="1:26" s="775" customFormat="1">
      <c r="A11" s="1362"/>
      <c r="B11" s="775" t="s">
        <v>47</v>
      </c>
      <c r="C11" s="775" t="s">
        <v>1109</v>
      </c>
      <c r="E11" s="1394" t="s">
        <v>873</v>
      </c>
      <c r="F11" s="1424">
        <f>-('15. PIV 2.pielikums Fin. plāns'!B10)-('15. PIV 2.pielikums Fin. plāns'!C10)</f>
        <v>-34950</v>
      </c>
      <c r="G11" s="1425">
        <f>-('15. PIV 2.pielikums Fin. plāns'!D10)</f>
        <v>-9465</v>
      </c>
      <c r="H11" s="1425">
        <f>-('15. PIV 2.pielikums Fin. plāns'!E10)</f>
        <v>-28700</v>
      </c>
      <c r="I11" s="1425"/>
      <c r="J11" s="1425"/>
      <c r="K11" s="1425"/>
      <c r="L11" s="1425"/>
      <c r="M11" s="1425"/>
      <c r="N11" s="1425"/>
      <c r="O11" s="1425"/>
      <c r="P11" s="1425"/>
      <c r="Q11" s="1425"/>
      <c r="R11" s="1425"/>
      <c r="S11" s="1425"/>
      <c r="T11" s="1425"/>
      <c r="U11" s="1441">
        <f t="shared" si="0"/>
        <v>-73115</v>
      </c>
    </row>
    <row r="12" spans="1:26" s="775" customFormat="1">
      <c r="A12" s="1362"/>
      <c r="B12" s="775" t="s">
        <v>48</v>
      </c>
      <c r="C12" s="759" t="s">
        <v>12</v>
      </c>
      <c r="D12" s="759"/>
      <c r="E12" s="1394" t="s">
        <v>873</v>
      </c>
      <c r="F12" s="1424">
        <f>SUM(F6:F11)</f>
        <v>-34990</v>
      </c>
      <c r="G12" s="1425">
        <f t="shared" ref="G12:T12" si="1">SUM(G6:G11)</f>
        <v>-9505</v>
      </c>
      <c r="H12" s="1425">
        <f t="shared" si="1"/>
        <v>-28740</v>
      </c>
      <c r="I12" s="1425">
        <f t="shared" si="1"/>
        <v>-40</v>
      </c>
      <c r="J12" s="1425">
        <f t="shared" si="1"/>
        <v>-40</v>
      </c>
      <c r="K12" s="1425">
        <f t="shared" si="1"/>
        <v>-40</v>
      </c>
      <c r="L12" s="1425">
        <f t="shared" si="1"/>
        <v>-40</v>
      </c>
      <c r="M12" s="1425">
        <f t="shared" si="1"/>
        <v>-40</v>
      </c>
      <c r="N12" s="1425">
        <f t="shared" si="1"/>
        <v>-40</v>
      </c>
      <c r="O12" s="1425">
        <f t="shared" si="1"/>
        <v>-40</v>
      </c>
      <c r="P12" s="1425">
        <f t="shared" si="1"/>
        <v>-40</v>
      </c>
      <c r="Q12" s="1425">
        <f t="shared" si="1"/>
        <v>-40</v>
      </c>
      <c r="R12" s="1425">
        <f t="shared" si="1"/>
        <v>-40</v>
      </c>
      <c r="S12" s="1425">
        <f t="shared" si="1"/>
        <v>-40</v>
      </c>
      <c r="T12" s="1425">
        <f t="shared" si="1"/>
        <v>960</v>
      </c>
      <c r="U12" s="1441">
        <f t="shared" si="0"/>
        <v>-72715</v>
      </c>
    </row>
    <row r="13" spans="1:26" s="775" customFormat="1">
      <c r="E13" s="1343"/>
      <c r="F13" s="1349"/>
      <c r="G13" s="1554"/>
      <c r="H13" s="1554"/>
      <c r="I13" s="1554"/>
      <c r="J13" s="1554"/>
      <c r="K13" s="1554"/>
      <c r="L13" s="1554"/>
      <c r="M13" s="1554"/>
      <c r="N13" s="1554"/>
      <c r="O13" s="1554"/>
      <c r="P13" s="1554"/>
      <c r="Q13" s="1554"/>
      <c r="R13" s="1554"/>
      <c r="S13" s="1554"/>
      <c r="T13" s="1349"/>
      <c r="U13" s="1351"/>
      <c r="V13" s="1555"/>
    </row>
    <row r="14" spans="1:26" s="784" customFormat="1">
      <c r="A14" s="1420">
        <v>2</v>
      </c>
      <c r="B14" s="1421" t="s">
        <v>13</v>
      </c>
      <c r="C14" s="1421"/>
      <c r="D14" s="1421"/>
      <c r="E14" s="1421"/>
      <c r="F14" s="1422"/>
      <c r="G14" s="1422"/>
      <c r="H14" s="1422"/>
      <c r="I14" s="1422"/>
      <c r="J14" s="1422"/>
      <c r="K14" s="1422"/>
      <c r="L14" s="1422"/>
      <c r="M14" s="1422"/>
      <c r="N14" s="1422"/>
      <c r="O14" s="1422"/>
      <c r="P14" s="1422"/>
      <c r="Q14" s="1422"/>
      <c r="R14" s="1422"/>
      <c r="S14" s="1422"/>
      <c r="T14" s="1422"/>
      <c r="U14" s="1423"/>
      <c r="V14" s="804"/>
    </row>
    <row r="15" spans="1:26" s="775" customFormat="1" ht="15">
      <c r="A15" s="1368"/>
      <c r="B15" s="1538"/>
      <c r="C15" s="1539" t="s">
        <v>153</v>
      </c>
      <c r="D15" s="1539"/>
      <c r="E15" s="1540" t="s">
        <v>15</v>
      </c>
      <c r="F15" s="1543">
        <f>Titullapa!C82</f>
        <v>0.04</v>
      </c>
      <c r="H15" s="804"/>
      <c r="I15" s="807"/>
      <c r="J15" s="807"/>
      <c r="K15" s="807"/>
      <c r="L15" s="807"/>
      <c r="M15" s="807"/>
      <c r="N15" s="807"/>
      <c r="O15" s="807"/>
      <c r="P15" s="807"/>
      <c r="Q15" s="807"/>
      <c r="R15" s="807"/>
      <c r="S15" s="807"/>
      <c r="T15" s="807"/>
      <c r="U15" s="804"/>
      <c r="V15" s="804"/>
    </row>
    <row r="16" spans="1:26" s="775" customFormat="1">
      <c r="A16" s="1362"/>
      <c r="B16" s="1412"/>
      <c r="C16" s="1411" t="s">
        <v>17</v>
      </c>
      <c r="D16" s="1411"/>
      <c r="E16" s="1541" t="s">
        <v>18</v>
      </c>
      <c r="F16" s="1544">
        <v>0</v>
      </c>
      <c r="G16" s="1507">
        <v>1</v>
      </c>
      <c r="H16" s="1507">
        <f t="shared" ref="H16:T16" si="2">G16+1</f>
        <v>2</v>
      </c>
      <c r="I16" s="1507">
        <f t="shared" si="2"/>
        <v>3</v>
      </c>
      <c r="J16" s="1507">
        <f t="shared" si="2"/>
        <v>4</v>
      </c>
      <c r="K16" s="1507">
        <f t="shared" si="2"/>
        <v>5</v>
      </c>
      <c r="L16" s="1507">
        <f t="shared" si="2"/>
        <v>6</v>
      </c>
      <c r="M16" s="1507">
        <f t="shared" si="2"/>
        <v>7</v>
      </c>
      <c r="N16" s="1507">
        <f t="shared" si="2"/>
        <v>8</v>
      </c>
      <c r="O16" s="1507">
        <f t="shared" si="2"/>
        <v>9</v>
      </c>
      <c r="P16" s="1507">
        <f t="shared" si="2"/>
        <v>10</v>
      </c>
      <c r="Q16" s="1507">
        <f t="shared" si="2"/>
        <v>11</v>
      </c>
      <c r="R16" s="1507">
        <f t="shared" si="2"/>
        <v>12</v>
      </c>
      <c r="S16" s="1507">
        <f t="shared" si="2"/>
        <v>13</v>
      </c>
      <c r="T16" s="1507">
        <f t="shared" si="2"/>
        <v>14</v>
      </c>
      <c r="U16" s="804"/>
      <c r="V16" s="804"/>
    </row>
    <row r="17" spans="1:23" s="775" customFormat="1">
      <c r="A17" s="1370"/>
      <c r="B17" s="1416"/>
      <c r="C17" s="1417" t="s">
        <v>20</v>
      </c>
      <c r="D17" s="1417"/>
      <c r="E17" s="1542" t="s">
        <v>21</v>
      </c>
      <c r="F17" s="1545">
        <f t="shared" ref="F17:O17" si="3">1/(1+$F$15)^F16</f>
        <v>1</v>
      </c>
      <c r="G17" s="1509">
        <f t="shared" si="3"/>
        <v>0.96153846153846145</v>
      </c>
      <c r="H17" s="1509">
        <f t="shared" si="3"/>
        <v>0.92455621301775137</v>
      </c>
      <c r="I17" s="1509">
        <f t="shared" si="3"/>
        <v>0.88899635867091487</v>
      </c>
      <c r="J17" s="1509">
        <f t="shared" si="3"/>
        <v>0.85480419102972571</v>
      </c>
      <c r="K17" s="1509">
        <f t="shared" si="3"/>
        <v>0.82192710675935154</v>
      </c>
      <c r="L17" s="1509">
        <f t="shared" si="3"/>
        <v>0.79031452573014571</v>
      </c>
      <c r="M17" s="1509">
        <f t="shared" si="3"/>
        <v>0.75991781320206331</v>
      </c>
      <c r="N17" s="1509">
        <f t="shared" si="3"/>
        <v>0.73069020500198378</v>
      </c>
      <c r="O17" s="1509">
        <f t="shared" si="3"/>
        <v>0.70258673557883045</v>
      </c>
      <c r="P17" s="1509">
        <f t="shared" ref="P17:T17" si="4">1/(1+$F$15)^P16</f>
        <v>0.67556416882579851</v>
      </c>
      <c r="Q17" s="1509">
        <f t="shared" si="4"/>
        <v>0.6495809315632679</v>
      </c>
      <c r="R17" s="1509">
        <f t="shared" si="4"/>
        <v>0.62459704958006512</v>
      </c>
      <c r="S17" s="1509">
        <f t="shared" si="4"/>
        <v>0.600574086134678</v>
      </c>
      <c r="T17" s="1509">
        <f t="shared" si="4"/>
        <v>0.57747508282180582</v>
      </c>
      <c r="U17" s="804"/>
      <c r="V17" s="804"/>
    </row>
    <row r="18" spans="1:23" s="775" customFormat="1">
      <c r="A18" s="1368"/>
      <c r="B18" s="1369" t="s">
        <v>14</v>
      </c>
      <c r="C18" s="1369" t="s">
        <v>1016</v>
      </c>
      <c r="D18" s="1369"/>
      <c r="E18" s="1391" t="s">
        <v>873</v>
      </c>
      <c r="F18" s="1546">
        <f t="shared" ref="F18:T18" si="5">F6*F$17</f>
        <v>360</v>
      </c>
      <c r="G18" s="1547">
        <f t="shared" si="5"/>
        <v>346.15384615384613</v>
      </c>
      <c r="H18" s="1547">
        <f t="shared" si="5"/>
        <v>332.84023668639048</v>
      </c>
      <c r="I18" s="1547">
        <f t="shared" si="5"/>
        <v>320.03868912152933</v>
      </c>
      <c r="J18" s="1547">
        <f t="shared" si="5"/>
        <v>307.72950877070127</v>
      </c>
      <c r="K18" s="1547">
        <f t="shared" si="5"/>
        <v>295.89375843336654</v>
      </c>
      <c r="L18" s="1547">
        <f t="shared" si="5"/>
        <v>284.51322926285246</v>
      </c>
      <c r="M18" s="1547">
        <f t="shared" si="5"/>
        <v>273.57041275274281</v>
      </c>
      <c r="N18" s="1547">
        <f t="shared" si="5"/>
        <v>263.04847380071413</v>
      </c>
      <c r="O18" s="1547">
        <f t="shared" si="5"/>
        <v>252.93122480837897</v>
      </c>
      <c r="P18" s="1547">
        <f t="shared" si="5"/>
        <v>243.20310077728746</v>
      </c>
      <c r="Q18" s="1547">
        <f t="shared" si="5"/>
        <v>233.84913536277645</v>
      </c>
      <c r="R18" s="1547">
        <f t="shared" si="5"/>
        <v>224.85493784882345</v>
      </c>
      <c r="S18" s="1547">
        <f t="shared" si="5"/>
        <v>216.20667100848408</v>
      </c>
      <c r="T18" s="1547">
        <f t="shared" si="5"/>
        <v>207.89102981585009</v>
      </c>
      <c r="U18" s="1440">
        <f t="shared" ref="U18:U25" si="6">SUM(F18:T18)</f>
        <v>4162.7242546037432</v>
      </c>
      <c r="V18" s="804"/>
    </row>
    <row r="19" spans="1:23" s="775" customFormat="1" hidden="1">
      <c r="A19" s="1362"/>
      <c r="B19" s="775" t="s">
        <v>23</v>
      </c>
      <c r="C19" s="775" t="s">
        <v>82</v>
      </c>
      <c r="E19" s="1394" t="s">
        <v>0</v>
      </c>
      <c r="F19" s="1424" t="e">
        <f>#REF!*F$17</f>
        <v>#REF!</v>
      </c>
      <c r="G19" s="1425" t="e">
        <f>#REF!*G$17</f>
        <v>#REF!</v>
      </c>
      <c r="H19" s="1425" t="e">
        <f>#REF!*H$17</f>
        <v>#REF!</v>
      </c>
      <c r="I19" s="1425" t="e">
        <f>#REF!*I$17</f>
        <v>#REF!</v>
      </c>
      <c r="J19" s="1425" t="e">
        <f>#REF!*J$17</f>
        <v>#REF!</v>
      </c>
      <c r="K19" s="1425" t="e">
        <f>#REF!*K$17</f>
        <v>#REF!</v>
      </c>
      <c r="L19" s="1425" t="e">
        <f>#REF!*L$17</f>
        <v>#REF!</v>
      </c>
      <c r="M19" s="1425" t="e">
        <f>#REF!*M$17</f>
        <v>#REF!</v>
      </c>
      <c r="N19" s="1425" t="e">
        <f>#REF!*N$17</f>
        <v>#REF!</v>
      </c>
      <c r="O19" s="1425" t="e">
        <f>#REF!*O$17</f>
        <v>#REF!</v>
      </c>
      <c r="P19" s="1425" t="e">
        <f>#REF!*P$17</f>
        <v>#REF!</v>
      </c>
      <c r="Q19" s="1425" t="e">
        <f>#REF!*Q$17</f>
        <v>#REF!</v>
      </c>
      <c r="R19" s="1425" t="e">
        <f>#REF!*R$17</f>
        <v>#REF!</v>
      </c>
      <c r="S19" s="1425" t="e">
        <f>#REF!*S$17</f>
        <v>#REF!</v>
      </c>
      <c r="T19" s="1425" t="e">
        <f>#REF!*T$17</f>
        <v>#REF!</v>
      </c>
      <c r="U19" s="1441" t="e">
        <f t="shared" si="6"/>
        <v>#REF!</v>
      </c>
      <c r="V19" s="804"/>
    </row>
    <row r="20" spans="1:23" s="775" customFormat="1">
      <c r="A20" s="1362"/>
      <c r="B20" s="775" t="s">
        <v>16</v>
      </c>
      <c r="C20" s="775" t="s">
        <v>53</v>
      </c>
      <c r="E20" s="1394" t="s">
        <v>873</v>
      </c>
      <c r="F20" s="1424">
        <f t="shared" ref="F20:T20" si="7">F7*F$17</f>
        <v>0</v>
      </c>
      <c r="G20" s="1425">
        <f t="shared" si="7"/>
        <v>0</v>
      </c>
      <c r="H20" s="1425">
        <f t="shared" si="7"/>
        <v>0</v>
      </c>
      <c r="I20" s="1425">
        <f t="shared" si="7"/>
        <v>0</v>
      </c>
      <c r="J20" s="1425">
        <f t="shared" si="7"/>
        <v>0</v>
      </c>
      <c r="K20" s="1425">
        <f t="shared" si="7"/>
        <v>0</v>
      </c>
      <c r="L20" s="1425">
        <f t="shared" si="7"/>
        <v>0</v>
      </c>
      <c r="M20" s="1425">
        <f t="shared" si="7"/>
        <v>0</v>
      </c>
      <c r="N20" s="1425">
        <f t="shared" si="7"/>
        <v>0</v>
      </c>
      <c r="O20" s="1425">
        <f t="shared" si="7"/>
        <v>0</v>
      </c>
      <c r="P20" s="1425">
        <f t="shared" si="7"/>
        <v>0</v>
      </c>
      <c r="Q20" s="1425">
        <f t="shared" si="7"/>
        <v>0</v>
      </c>
      <c r="R20" s="1425">
        <f t="shared" si="7"/>
        <v>0</v>
      </c>
      <c r="S20" s="1425">
        <f t="shared" si="7"/>
        <v>0</v>
      </c>
      <c r="T20" s="1425">
        <f t="shared" si="7"/>
        <v>577.47508282180581</v>
      </c>
      <c r="U20" s="1441">
        <f t="shared" si="6"/>
        <v>577.47508282180581</v>
      </c>
      <c r="V20" s="804"/>
    </row>
    <row r="21" spans="1:23" s="775" customFormat="1">
      <c r="A21" s="1362"/>
      <c r="B21" s="775" t="s">
        <v>19</v>
      </c>
      <c r="C21" s="775" t="s">
        <v>1017</v>
      </c>
      <c r="E21" s="1394" t="s">
        <v>873</v>
      </c>
      <c r="F21" s="1424">
        <f t="shared" ref="F21:T21" si="8">F8*F$17</f>
        <v>-400</v>
      </c>
      <c r="G21" s="1425">
        <f t="shared" si="8"/>
        <v>-384.61538461538458</v>
      </c>
      <c r="H21" s="1425">
        <f t="shared" si="8"/>
        <v>-369.82248520710056</v>
      </c>
      <c r="I21" s="1425">
        <f t="shared" si="8"/>
        <v>-355.59854346836596</v>
      </c>
      <c r="J21" s="1425">
        <f t="shared" si="8"/>
        <v>-341.9216764118903</v>
      </c>
      <c r="K21" s="1425">
        <f t="shared" si="8"/>
        <v>-328.77084270374064</v>
      </c>
      <c r="L21" s="1425">
        <f t="shared" si="8"/>
        <v>-316.1258102920583</v>
      </c>
      <c r="M21" s="1425">
        <f t="shared" si="8"/>
        <v>-303.96712528082531</v>
      </c>
      <c r="N21" s="1425">
        <f t="shared" si="8"/>
        <v>-292.27608200079351</v>
      </c>
      <c r="O21" s="1425">
        <f t="shared" si="8"/>
        <v>-281.03469423153217</v>
      </c>
      <c r="P21" s="1425">
        <f t="shared" si="8"/>
        <v>-270.22566753031941</v>
      </c>
      <c r="Q21" s="1425">
        <f t="shared" si="8"/>
        <v>-259.83237262530719</v>
      </c>
      <c r="R21" s="1425">
        <f t="shared" si="8"/>
        <v>-249.83881983202605</v>
      </c>
      <c r="S21" s="1425">
        <f t="shared" si="8"/>
        <v>-240.2296344538712</v>
      </c>
      <c r="T21" s="1425">
        <f t="shared" si="8"/>
        <v>-230.99003312872233</v>
      </c>
      <c r="U21" s="1441">
        <f t="shared" si="6"/>
        <v>-4625.2491717819366</v>
      </c>
      <c r="V21" s="804"/>
    </row>
    <row r="22" spans="1:23" s="775" customFormat="1">
      <c r="A22" s="1362"/>
      <c r="B22" s="775" t="s">
        <v>22</v>
      </c>
      <c r="C22" s="775" t="s">
        <v>50</v>
      </c>
      <c r="E22" s="1394" t="s">
        <v>873</v>
      </c>
      <c r="F22" s="1424">
        <f t="shared" ref="F22:T22" si="9">F9*F$17</f>
        <v>0</v>
      </c>
      <c r="G22" s="1425">
        <f t="shared" si="9"/>
        <v>0</v>
      </c>
      <c r="H22" s="1425">
        <f t="shared" si="9"/>
        <v>0</v>
      </c>
      <c r="I22" s="1425">
        <f t="shared" si="9"/>
        <v>0</v>
      </c>
      <c r="J22" s="1425">
        <f t="shared" si="9"/>
        <v>0</v>
      </c>
      <c r="K22" s="1425">
        <f t="shared" si="9"/>
        <v>0</v>
      </c>
      <c r="L22" s="1425">
        <f t="shared" si="9"/>
        <v>0</v>
      </c>
      <c r="M22" s="1425">
        <f t="shared" si="9"/>
        <v>0</v>
      </c>
      <c r="N22" s="1425">
        <f t="shared" si="9"/>
        <v>0</v>
      </c>
      <c r="O22" s="1425">
        <f t="shared" si="9"/>
        <v>0</v>
      </c>
      <c r="P22" s="1425">
        <f t="shared" si="9"/>
        <v>0</v>
      </c>
      <c r="Q22" s="1425">
        <f t="shared" si="9"/>
        <v>0</v>
      </c>
      <c r="R22" s="1425">
        <f t="shared" si="9"/>
        <v>0</v>
      </c>
      <c r="S22" s="1425">
        <f t="shared" si="9"/>
        <v>0</v>
      </c>
      <c r="T22" s="1425">
        <f t="shared" si="9"/>
        <v>0</v>
      </c>
      <c r="U22" s="1441">
        <f t="shared" si="6"/>
        <v>0</v>
      </c>
      <c r="V22" s="804"/>
    </row>
    <row r="23" spans="1:23" s="775" customFormat="1">
      <c r="A23" s="1362"/>
      <c r="B23" s="775" t="s">
        <v>23</v>
      </c>
      <c r="C23" s="775" t="s">
        <v>51</v>
      </c>
      <c r="E23" s="1394" t="s">
        <v>873</v>
      </c>
      <c r="F23" s="1424">
        <f t="shared" ref="F23:T23" si="10">F10*F$17</f>
        <v>0</v>
      </c>
      <c r="G23" s="1425">
        <f t="shared" si="10"/>
        <v>0</v>
      </c>
      <c r="H23" s="1425">
        <f t="shared" si="10"/>
        <v>0</v>
      </c>
      <c r="I23" s="1425">
        <f t="shared" si="10"/>
        <v>0</v>
      </c>
      <c r="J23" s="1425">
        <f t="shared" si="10"/>
        <v>0</v>
      </c>
      <c r="K23" s="1425">
        <f t="shared" si="10"/>
        <v>0</v>
      </c>
      <c r="L23" s="1425">
        <f t="shared" si="10"/>
        <v>0</v>
      </c>
      <c r="M23" s="1425">
        <f t="shared" si="10"/>
        <v>0</v>
      </c>
      <c r="N23" s="1425">
        <f t="shared" si="10"/>
        <v>0</v>
      </c>
      <c r="O23" s="1425">
        <f t="shared" si="10"/>
        <v>0</v>
      </c>
      <c r="P23" s="1425">
        <f t="shared" si="10"/>
        <v>0</v>
      </c>
      <c r="Q23" s="1425">
        <f t="shared" si="10"/>
        <v>0</v>
      </c>
      <c r="R23" s="1425">
        <f t="shared" si="10"/>
        <v>0</v>
      </c>
      <c r="S23" s="1425">
        <f t="shared" si="10"/>
        <v>0</v>
      </c>
      <c r="T23" s="1425">
        <f t="shared" si="10"/>
        <v>0</v>
      </c>
      <c r="U23" s="1441">
        <f t="shared" si="6"/>
        <v>0</v>
      </c>
    </row>
    <row r="24" spans="1:23" s="775" customFormat="1">
      <c r="A24" s="1362"/>
      <c r="B24" s="775" t="s">
        <v>24</v>
      </c>
      <c r="C24" s="759" t="s">
        <v>1012</v>
      </c>
      <c r="D24" s="759"/>
      <c r="E24" s="1394" t="s">
        <v>873</v>
      </c>
      <c r="F24" s="1424">
        <f t="shared" ref="F24:T24" si="11">F11*F$17</f>
        <v>-34950</v>
      </c>
      <c r="G24" s="1425">
        <f t="shared" si="11"/>
        <v>-9100.9615384615372</v>
      </c>
      <c r="H24" s="1425">
        <f t="shared" si="11"/>
        <v>-26534.763313609463</v>
      </c>
      <c r="I24" s="1425">
        <f t="shared" si="11"/>
        <v>0</v>
      </c>
      <c r="J24" s="1425">
        <f t="shared" si="11"/>
        <v>0</v>
      </c>
      <c r="K24" s="1425">
        <f t="shared" si="11"/>
        <v>0</v>
      </c>
      <c r="L24" s="1425">
        <f t="shared" si="11"/>
        <v>0</v>
      </c>
      <c r="M24" s="1425">
        <f t="shared" si="11"/>
        <v>0</v>
      </c>
      <c r="N24" s="1425">
        <f t="shared" si="11"/>
        <v>0</v>
      </c>
      <c r="O24" s="1425">
        <f t="shared" si="11"/>
        <v>0</v>
      </c>
      <c r="P24" s="1425">
        <f t="shared" si="11"/>
        <v>0</v>
      </c>
      <c r="Q24" s="1425">
        <f t="shared" si="11"/>
        <v>0</v>
      </c>
      <c r="R24" s="1425">
        <f t="shared" si="11"/>
        <v>0</v>
      </c>
      <c r="S24" s="1425">
        <f t="shared" si="11"/>
        <v>0</v>
      </c>
      <c r="T24" s="1425">
        <f t="shared" si="11"/>
        <v>0</v>
      </c>
      <c r="U24" s="1441">
        <f t="shared" si="6"/>
        <v>-70585.724852070998</v>
      </c>
    </row>
    <row r="25" spans="1:23" s="775" customFormat="1">
      <c r="A25" s="1370"/>
      <c r="B25" s="1371" t="s">
        <v>26</v>
      </c>
      <c r="C25" s="1371" t="s">
        <v>29</v>
      </c>
      <c r="D25" s="1371"/>
      <c r="E25" s="1396" t="s">
        <v>873</v>
      </c>
      <c r="F25" s="1548">
        <f t="shared" ref="F25:T25" si="12">F12*F$17</f>
        <v>-34990</v>
      </c>
      <c r="G25" s="1549">
        <f t="shared" si="12"/>
        <v>-9139.4230769230762</v>
      </c>
      <c r="H25" s="1549">
        <f t="shared" si="12"/>
        <v>-26571.745562130174</v>
      </c>
      <c r="I25" s="1549">
        <f t="shared" si="12"/>
        <v>-35.559854346836595</v>
      </c>
      <c r="J25" s="1549">
        <f t="shared" si="12"/>
        <v>-34.19216764118903</v>
      </c>
      <c r="K25" s="1549">
        <f t="shared" si="12"/>
        <v>-32.877084270374063</v>
      </c>
      <c r="L25" s="1549">
        <f t="shared" si="12"/>
        <v>-31.612581029205828</v>
      </c>
      <c r="M25" s="1549">
        <f t="shared" si="12"/>
        <v>-30.396712528082531</v>
      </c>
      <c r="N25" s="1549">
        <f t="shared" si="12"/>
        <v>-29.227608200079352</v>
      </c>
      <c r="O25" s="1549">
        <f t="shared" si="12"/>
        <v>-28.103469423153218</v>
      </c>
      <c r="P25" s="1549">
        <f t="shared" si="12"/>
        <v>-27.022566753031938</v>
      </c>
      <c r="Q25" s="1549">
        <f t="shared" si="12"/>
        <v>-25.983237262530714</v>
      </c>
      <c r="R25" s="1549">
        <f t="shared" si="12"/>
        <v>-24.983881983202604</v>
      </c>
      <c r="S25" s="1549">
        <f t="shared" si="12"/>
        <v>-24.02296344538712</v>
      </c>
      <c r="T25" s="1549">
        <f t="shared" si="12"/>
        <v>554.37607950893357</v>
      </c>
      <c r="U25" s="1442">
        <f t="shared" si="6"/>
        <v>-70470.774686427365</v>
      </c>
    </row>
    <row r="26" spans="1:23" s="775" customFormat="1">
      <c r="A26" s="1370"/>
      <c r="B26" s="1371"/>
      <c r="C26" s="1371"/>
      <c r="D26" s="1371"/>
      <c r="E26" s="1556"/>
      <c r="F26" s="1398"/>
      <c r="G26" s="1398"/>
      <c r="H26" s="1398"/>
      <c r="I26" s="1398"/>
      <c r="J26" s="1398"/>
      <c r="K26" s="1398"/>
      <c r="L26" s="1398"/>
      <c r="M26" s="1398"/>
      <c r="N26" s="1398"/>
      <c r="O26" s="1398"/>
      <c r="P26" s="1398"/>
      <c r="Q26" s="1398"/>
      <c r="R26" s="1398"/>
      <c r="S26" s="1398"/>
      <c r="T26" s="1398"/>
      <c r="U26" s="1553"/>
    </row>
    <row r="27" spans="1:23" s="784" customFormat="1">
      <c r="A27" s="1420">
        <v>3</v>
      </c>
      <c r="B27" s="1421" t="s">
        <v>30</v>
      </c>
      <c r="C27" s="1421"/>
      <c r="D27" s="1421"/>
      <c r="E27" s="1421"/>
      <c r="F27" s="1421"/>
      <c r="G27" s="1422"/>
      <c r="H27" s="1422"/>
      <c r="I27" s="1422"/>
      <c r="J27" s="1422"/>
      <c r="K27" s="1422"/>
      <c r="L27" s="1422"/>
      <c r="M27" s="1422"/>
      <c r="N27" s="1422"/>
      <c r="O27" s="1422"/>
      <c r="P27" s="1422"/>
      <c r="Q27" s="1422"/>
      <c r="R27" s="1422"/>
      <c r="S27" s="1422"/>
      <c r="T27" s="1422"/>
      <c r="U27" s="1423"/>
      <c r="V27" s="1399"/>
      <c r="W27" s="750"/>
    </row>
    <row r="28" spans="1:23" s="1352" customFormat="1">
      <c r="A28" s="1527"/>
      <c r="B28" s="1528"/>
      <c r="C28" s="1528"/>
      <c r="D28" s="1528"/>
      <c r="G28" s="1427" t="s">
        <v>31</v>
      </c>
      <c r="H28" s="1426"/>
      <c r="I28" s="1499" t="s">
        <v>32</v>
      </c>
      <c r="J28" s="1399"/>
      <c r="K28" s="1399"/>
      <c r="L28" s="1399"/>
      <c r="M28" s="1399"/>
      <c r="N28" s="1399"/>
      <c r="O28" s="1399"/>
      <c r="P28" s="1399"/>
      <c r="Q28" s="1399"/>
      <c r="R28" s="1399"/>
      <c r="S28" s="1399"/>
      <c r="T28" s="1399"/>
      <c r="U28" s="1399"/>
      <c r="V28" s="1399"/>
      <c r="W28" s="804"/>
    </row>
    <row r="29" spans="1:23" s="775" customFormat="1">
      <c r="A29" s="1368"/>
      <c r="B29" s="1369" t="s">
        <v>33</v>
      </c>
      <c r="C29" s="1369" t="s">
        <v>974</v>
      </c>
      <c r="D29" s="1558"/>
      <c r="E29" s="1389"/>
      <c r="F29" s="1390"/>
      <c r="G29" s="1445">
        <f>U6</f>
        <v>5400</v>
      </c>
      <c r="H29" s="1377"/>
      <c r="I29" s="1445">
        <f t="shared" ref="I29:I35" si="13">U18</f>
        <v>4162.7242546037432</v>
      </c>
      <c r="J29" s="778"/>
      <c r="K29" s="804"/>
      <c r="L29" s="804"/>
      <c r="M29" s="804"/>
      <c r="N29" s="804"/>
      <c r="O29" s="804"/>
      <c r="P29" s="804"/>
      <c r="Q29" s="804"/>
      <c r="R29" s="804"/>
      <c r="S29" s="804"/>
      <c r="T29" s="804"/>
      <c r="U29" s="804"/>
      <c r="W29" s="804"/>
    </row>
    <row r="30" spans="1:23" s="775" customFormat="1" hidden="1">
      <c r="A30" s="1362"/>
      <c r="B30" s="775" t="s">
        <v>34</v>
      </c>
      <c r="C30" s="775" t="s">
        <v>71</v>
      </c>
      <c r="D30" s="1559"/>
      <c r="E30" s="1389"/>
      <c r="F30" s="1390"/>
      <c r="G30" s="1443" t="e">
        <f>#REF!</f>
        <v>#REF!</v>
      </c>
      <c r="H30" s="1377"/>
      <c r="I30" s="1443" t="e">
        <f t="shared" si="13"/>
        <v>#REF!</v>
      </c>
      <c r="J30" s="778"/>
      <c r="K30" s="804"/>
      <c r="L30" s="804"/>
      <c r="M30" s="804"/>
      <c r="N30" s="804"/>
      <c r="O30" s="804"/>
      <c r="P30" s="804"/>
      <c r="Q30" s="804"/>
      <c r="R30" s="804"/>
      <c r="S30" s="804"/>
      <c r="T30" s="804"/>
      <c r="U30" s="804"/>
      <c r="W30" s="804"/>
    </row>
    <row r="31" spans="1:23" s="775" customFormat="1">
      <c r="A31" s="1362"/>
      <c r="B31" s="775" t="s">
        <v>34</v>
      </c>
      <c r="C31" s="775" t="s">
        <v>10</v>
      </c>
      <c r="D31" s="1559"/>
      <c r="E31" s="1389"/>
      <c r="F31" s="1390"/>
      <c r="G31" s="1443">
        <f t="shared" ref="G31:G36" si="14">U7</f>
        <v>1000</v>
      </c>
      <c r="H31" s="1377"/>
      <c r="I31" s="1443">
        <f t="shared" si="13"/>
        <v>577.47508282180581</v>
      </c>
      <c r="J31" s="778"/>
      <c r="K31" s="804"/>
      <c r="L31" s="804"/>
      <c r="M31" s="804"/>
      <c r="N31" s="804"/>
      <c r="O31" s="804"/>
      <c r="P31" s="804"/>
      <c r="Q31" s="804"/>
      <c r="R31" s="804"/>
      <c r="S31" s="804"/>
      <c r="T31" s="804"/>
      <c r="U31" s="804"/>
      <c r="W31" s="804"/>
    </row>
    <row r="32" spans="1:23" s="775" customFormat="1">
      <c r="A32" s="1362"/>
      <c r="B32" s="775" t="s">
        <v>35</v>
      </c>
      <c r="C32" s="775" t="s">
        <v>1015</v>
      </c>
      <c r="D32" s="1559"/>
      <c r="E32" s="1389"/>
      <c r="F32" s="1390"/>
      <c r="G32" s="1443">
        <f t="shared" si="14"/>
        <v>-6000</v>
      </c>
      <c r="H32" s="1377"/>
      <c r="I32" s="1443">
        <f t="shared" si="13"/>
        <v>-4625.2491717819366</v>
      </c>
      <c r="J32" s="778"/>
      <c r="K32" s="804"/>
      <c r="L32" s="804"/>
      <c r="M32" s="804"/>
      <c r="N32" s="804"/>
      <c r="O32" s="804"/>
      <c r="P32" s="804"/>
      <c r="Q32" s="804"/>
      <c r="R32" s="804"/>
      <c r="S32" s="804"/>
      <c r="T32" s="804"/>
      <c r="U32" s="804"/>
      <c r="W32" s="804"/>
    </row>
    <row r="33" spans="1:23" s="775" customFormat="1">
      <c r="A33" s="1362"/>
      <c r="B33" s="775" t="s">
        <v>36</v>
      </c>
      <c r="C33" s="775" t="s">
        <v>45</v>
      </c>
      <c r="D33" s="1559"/>
      <c r="E33" s="1388"/>
      <c r="F33" s="1343"/>
      <c r="G33" s="1443">
        <f t="shared" si="14"/>
        <v>0</v>
      </c>
      <c r="H33" s="1377"/>
      <c r="I33" s="1443">
        <f t="shared" si="13"/>
        <v>0</v>
      </c>
      <c r="J33" s="778"/>
      <c r="K33" s="804"/>
      <c r="L33" s="804"/>
      <c r="M33" s="804"/>
      <c r="N33" s="804"/>
      <c r="O33" s="804"/>
      <c r="P33" s="804"/>
      <c r="Q33" s="804"/>
      <c r="R33" s="804"/>
      <c r="S33" s="804"/>
      <c r="T33" s="804"/>
      <c r="U33" s="804"/>
      <c r="W33" s="804"/>
    </row>
    <row r="34" spans="1:23" s="775" customFormat="1">
      <c r="A34" s="1362"/>
      <c r="B34" s="775" t="s">
        <v>37</v>
      </c>
      <c r="C34" s="775" t="s">
        <v>46</v>
      </c>
      <c r="D34" s="1559"/>
      <c r="E34" s="1388"/>
      <c r="F34" s="1343"/>
      <c r="G34" s="1443">
        <f t="shared" si="14"/>
        <v>0</v>
      </c>
      <c r="H34" s="1377"/>
      <c r="I34" s="1443">
        <f t="shared" si="13"/>
        <v>0</v>
      </c>
      <c r="J34" s="778"/>
      <c r="K34" s="804"/>
      <c r="L34" s="804"/>
      <c r="M34" s="804"/>
      <c r="N34" s="804"/>
      <c r="O34" s="804"/>
      <c r="P34" s="804"/>
      <c r="Q34" s="804"/>
      <c r="R34" s="804"/>
      <c r="S34" s="804"/>
      <c r="T34" s="804"/>
      <c r="U34" s="804"/>
      <c r="W34" s="804"/>
    </row>
    <row r="35" spans="1:23" s="775" customFormat="1">
      <c r="A35" s="1362"/>
      <c r="B35" s="775" t="s">
        <v>80</v>
      </c>
      <c r="C35" s="775" t="str">
        <f>C11</f>
        <v xml:space="preserve">Projektā ieguldītais kapitāls </v>
      </c>
      <c r="D35" s="1559"/>
      <c r="E35" s="1388"/>
      <c r="F35" s="1343"/>
      <c r="G35" s="1443">
        <f t="shared" si="14"/>
        <v>-73115</v>
      </c>
      <c r="H35" s="1377"/>
      <c r="I35" s="1443">
        <f t="shared" si="13"/>
        <v>-70585.724852070998</v>
      </c>
      <c r="J35" s="778"/>
      <c r="K35" s="804"/>
      <c r="L35" s="804"/>
      <c r="M35" s="804"/>
      <c r="N35" s="804"/>
      <c r="O35" s="804"/>
      <c r="P35" s="804"/>
      <c r="Q35" s="804"/>
      <c r="R35" s="804"/>
      <c r="S35" s="804"/>
      <c r="T35" s="804"/>
      <c r="U35" s="804"/>
      <c r="W35" s="804"/>
    </row>
    <row r="36" spans="1:23" s="775" customFormat="1">
      <c r="A36" s="1370"/>
      <c r="B36" s="1371" t="s">
        <v>63</v>
      </c>
      <c r="C36" s="1371" t="s">
        <v>12</v>
      </c>
      <c r="D36" s="1560"/>
      <c r="E36" s="1388"/>
      <c r="F36" s="1343"/>
      <c r="G36" s="1522">
        <f t="shared" si="14"/>
        <v>-72715</v>
      </c>
      <c r="H36" s="805"/>
      <c r="I36" s="1522">
        <f>U25</f>
        <v>-70470.774686427365</v>
      </c>
      <c r="J36" s="778"/>
      <c r="K36" s="804"/>
      <c r="L36" s="804"/>
      <c r="M36" s="804"/>
      <c r="N36" s="804"/>
      <c r="O36" s="804"/>
      <c r="P36" s="804"/>
      <c r="Q36" s="804"/>
      <c r="R36" s="804"/>
      <c r="S36" s="804"/>
      <c r="T36" s="804"/>
      <c r="U36" s="804"/>
      <c r="W36" s="804"/>
    </row>
    <row r="37" spans="1:23" s="775" customFormat="1">
      <c r="A37" s="804"/>
      <c r="B37" s="804"/>
      <c r="C37" s="804"/>
      <c r="D37" s="804"/>
      <c r="E37" s="1343"/>
      <c r="F37" s="1343"/>
      <c r="G37" s="1557"/>
      <c r="H37" s="805"/>
      <c r="I37" s="1557"/>
      <c r="J37" s="778"/>
      <c r="K37" s="804"/>
      <c r="L37" s="804"/>
      <c r="M37" s="804"/>
      <c r="N37" s="804"/>
      <c r="O37" s="804"/>
      <c r="P37" s="804"/>
      <c r="Q37" s="804"/>
      <c r="R37" s="804"/>
      <c r="S37" s="804"/>
      <c r="T37" s="804"/>
      <c r="U37" s="804"/>
      <c r="W37" s="804"/>
    </row>
    <row r="38" spans="1:23" s="784" customFormat="1">
      <c r="A38" s="1420">
        <v>4</v>
      </c>
      <c r="B38" s="1421" t="s">
        <v>38</v>
      </c>
      <c r="C38" s="1421"/>
      <c r="D38" s="1421"/>
      <c r="E38" s="1421"/>
      <c r="F38" s="1421"/>
      <c r="G38" s="1422"/>
      <c r="H38" s="1422"/>
      <c r="I38" s="1422"/>
      <c r="J38" s="1422"/>
      <c r="K38" s="1422"/>
      <c r="L38" s="1422"/>
      <c r="M38" s="1422"/>
      <c r="N38" s="1422"/>
      <c r="O38" s="1422"/>
      <c r="P38" s="1422"/>
      <c r="Q38" s="1422"/>
      <c r="R38" s="1422"/>
      <c r="S38" s="1422"/>
      <c r="T38" s="1422"/>
      <c r="U38" s="1423"/>
      <c r="V38" s="1399"/>
      <c r="W38" s="750"/>
    </row>
    <row r="39" spans="1:23" s="775" customFormat="1">
      <c r="A39" s="1368"/>
      <c r="B39" s="1369" t="s">
        <v>39</v>
      </c>
      <c r="C39" s="1369" t="s">
        <v>74</v>
      </c>
      <c r="D39" s="1558"/>
      <c r="E39" s="1386"/>
      <c r="F39" s="1387"/>
      <c r="G39" s="1445">
        <f>I36</f>
        <v>-70470.774686427365</v>
      </c>
      <c r="H39" s="804"/>
      <c r="I39" s="804"/>
      <c r="J39" s="804"/>
      <c r="K39" s="804"/>
      <c r="L39" s="804"/>
      <c r="M39" s="804"/>
      <c r="N39" s="1381"/>
      <c r="O39" s="804"/>
      <c r="P39" s="804"/>
      <c r="Q39" s="804"/>
      <c r="R39" s="804"/>
      <c r="S39" s="804"/>
      <c r="T39" s="804"/>
      <c r="U39" s="804"/>
      <c r="W39" s="804"/>
    </row>
    <row r="40" spans="1:23" s="775" customFormat="1">
      <c r="A40" s="1370"/>
      <c r="B40" s="1371" t="s">
        <v>55</v>
      </c>
      <c r="C40" s="1371" t="s">
        <v>75</v>
      </c>
      <c r="D40" s="1560"/>
      <c r="E40" s="1386"/>
      <c r="F40" s="1387"/>
      <c r="G40" s="1523">
        <f>IRR(F12:T12,H41)</f>
        <v>-0.29046440931111461</v>
      </c>
      <c r="H40" s="804"/>
      <c r="I40" s="804"/>
      <c r="J40" s="804"/>
      <c r="K40" s="804"/>
      <c r="L40" s="804"/>
      <c r="M40" s="804"/>
      <c r="N40" s="804"/>
      <c r="O40" s="804"/>
      <c r="P40" s="804"/>
      <c r="Q40" s="804"/>
      <c r="R40" s="804"/>
      <c r="S40" s="804"/>
      <c r="T40" s="804"/>
      <c r="U40" s="804"/>
      <c r="W40" s="804"/>
    </row>
    <row r="41" spans="1:23" s="775" customFormat="1">
      <c r="A41" s="1370"/>
      <c r="B41" s="1371"/>
      <c r="C41" s="1371"/>
      <c r="D41" s="775" t="s">
        <v>1206</v>
      </c>
      <c r="H41" s="2147">
        <f>'6.DL  jut. analīze-Inv.'!J55</f>
        <v>-0.6</v>
      </c>
      <c r="I41" s="804"/>
      <c r="J41" s="804"/>
      <c r="K41" s="804"/>
      <c r="L41" s="804"/>
      <c r="M41" s="804"/>
      <c r="N41" s="804"/>
      <c r="O41" s="804"/>
      <c r="P41" s="804"/>
      <c r="Q41" s="804"/>
      <c r="R41" s="804"/>
      <c r="S41" s="804"/>
      <c r="T41" s="804"/>
      <c r="U41" s="804"/>
      <c r="W41" s="804"/>
    </row>
    <row r="42" spans="1:23" s="784" customFormat="1">
      <c r="A42" s="1420"/>
      <c r="B42" s="1421"/>
      <c r="C42" s="1421"/>
      <c r="D42" s="1421"/>
      <c r="E42" s="1421"/>
      <c r="F42" s="1421"/>
      <c r="G42" s="1422"/>
      <c r="H42" s="1422"/>
      <c r="I42" s="1422"/>
      <c r="J42" s="1422"/>
      <c r="K42" s="1422"/>
      <c r="L42" s="1422"/>
      <c r="M42" s="1422"/>
      <c r="N42" s="1422"/>
      <c r="O42" s="1422"/>
      <c r="P42" s="1422"/>
      <c r="Q42" s="1422"/>
      <c r="R42" s="1422"/>
      <c r="S42" s="1422"/>
      <c r="T42" s="1422"/>
      <c r="U42" s="1423"/>
      <c r="V42" s="1399"/>
      <c r="W42" s="750"/>
    </row>
    <row r="43" spans="1:23" s="775" customFormat="1">
      <c r="A43" s="804"/>
      <c r="B43" s="804"/>
      <c r="C43" s="804"/>
      <c r="D43" s="804"/>
      <c r="E43" s="804"/>
      <c r="F43" s="804"/>
      <c r="G43" s="1382"/>
      <c r="H43" s="804"/>
      <c r="I43" s="804"/>
      <c r="J43" s="804"/>
      <c r="K43" s="804"/>
      <c r="L43" s="804"/>
      <c r="M43" s="804"/>
      <c r="N43" s="804"/>
      <c r="O43" s="804"/>
      <c r="P43" s="804"/>
      <c r="Q43" s="804"/>
      <c r="R43" s="804"/>
      <c r="S43" s="804"/>
      <c r="T43" s="804"/>
      <c r="U43" s="804"/>
      <c r="V43" s="804"/>
    </row>
    <row r="44" spans="1:23" s="775" customFormat="1">
      <c r="A44" s="804"/>
      <c r="B44" s="804"/>
      <c r="C44" s="1720"/>
      <c r="D44" s="805"/>
      <c r="E44" s="805"/>
      <c r="F44" s="804"/>
      <c r="G44" s="1382"/>
      <c r="H44" s="804"/>
      <c r="I44" s="804"/>
      <c r="J44" s="804"/>
      <c r="K44" s="804"/>
      <c r="L44" s="804"/>
      <c r="M44" s="804"/>
      <c r="N44" s="804"/>
      <c r="O44" s="804"/>
      <c r="P44" s="804"/>
      <c r="Q44" s="804"/>
      <c r="R44" s="804"/>
      <c r="S44" s="804"/>
      <c r="T44" s="804"/>
      <c r="U44" s="804"/>
      <c r="V44" s="804"/>
    </row>
    <row r="45" spans="1:23" s="775" customFormat="1">
      <c r="A45" s="804"/>
      <c r="B45" s="804"/>
      <c r="C45" s="804"/>
      <c r="D45" s="804"/>
      <c r="E45" s="804"/>
      <c r="F45" s="804"/>
      <c r="G45" s="1382"/>
      <c r="H45" s="804"/>
      <c r="I45" s="804"/>
      <c r="J45" s="804"/>
      <c r="K45" s="804"/>
      <c r="L45" s="804"/>
      <c r="M45" s="804"/>
      <c r="N45" s="804"/>
      <c r="O45" s="804"/>
      <c r="P45" s="804"/>
      <c r="Q45" s="804"/>
      <c r="R45" s="804"/>
      <c r="S45" s="804"/>
      <c r="T45" s="804"/>
      <c r="U45" s="804"/>
      <c r="V45" s="804"/>
    </row>
    <row r="46" spans="1:23" s="775" customFormat="1">
      <c r="A46" s="804"/>
      <c r="B46" s="804"/>
      <c r="C46" s="804"/>
      <c r="D46" s="804"/>
      <c r="E46" s="804"/>
      <c r="F46" s="804"/>
      <c r="G46" s="804"/>
      <c r="H46" s="804"/>
      <c r="I46" s="804"/>
      <c r="J46" s="804"/>
      <c r="K46" s="804"/>
      <c r="L46" s="804"/>
      <c r="M46" s="804"/>
      <c r="N46" s="804"/>
      <c r="O46" s="804"/>
      <c r="P46" s="804"/>
      <c r="Q46" s="804"/>
      <c r="R46" s="804"/>
      <c r="S46" s="804"/>
      <c r="T46" s="804"/>
      <c r="U46" s="804"/>
      <c r="V46" s="804"/>
    </row>
    <row r="47" spans="1:23" s="775" customFormat="1">
      <c r="A47" s="804"/>
      <c r="B47" s="804"/>
      <c r="C47" s="804"/>
      <c r="D47" s="804"/>
      <c r="E47" s="804"/>
      <c r="F47" s="804"/>
      <c r="G47" s="804"/>
      <c r="H47" s="804"/>
      <c r="I47" s="804"/>
      <c r="J47" s="804"/>
      <c r="K47" s="804"/>
      <c r="L47" s="804"/>
      <c r="M47" s="804"/>
      <c r="N47" s="804"/>
      <c r="O47" s="804"/>
      <c r="P47" s="804"/>
      <c r="Q47" s="804"/>
      <c r="R47" s="804"/>
      <c r="S47" s="804"/>
      <c r="T47" s="804"/>
      <c r="U47" s="804"/>
      <c r="V47" s="804"/>
    </row>
    <row r="48" spans="1:23" s="775" customFormat="1">
      <c r="A48" s="804"/>
      <c r="B48" s="804"/>
      <c r="C48" s="804"/>
      <c r="D48" s="804"/>
      <c r="E48" s="804"/>
      <c r="F48" s="804"/>
      <c r="G48" s="804"/>
      <c r="H48" s="804"/>
      <c r="I48" s="804"/>
      <c r="J48" s="804"/>
      <c r="K48" s="804"/>
      <c r="L48" s="804"/>
      <c r="M48" s="804"/>
      <c r="N48" s="804"/>
      <c r="O48" s="804"/>
      <c r="P48" s="804"/>
      <c r="Q48" s="804"/>
      <c r="R48" s="804"/>
      <c r="S48" s="804"/>
      <c r="T48" s="804"/>
      <c r="U48" s="804"/>
      <c r="V48" s="804"/>
    </row>
    <row r="49" spans="1:22" s="775" customFormat="1">
      <c r="A49" s="804"/>
      <c r="B49" s="804"/>
      <c r="C49" s="804"/>
      <c r="D49" s="804"/>
      <c r="E49" s="804"/>
      <c r="F49" s="804"/>
      <c r="G49" s="804"/>
      <c r="H49" s="804"/>
      <c r="I49" s="804"/>
      <c r="J49" s="804"/>
      <c r="K49" s="804"/>
      <c r="L49" s="804"/>
      <c r="M49" s="804"/>
      <c r="N49" s="804"/>
      <c r="O49" s="804"/>
      <c r="P49" s="804"/>
      <c r="Q49" s="804"/>
      <c r="R49" s="804"/>
      <c r="S49" s="804"/>
      <c r="T49" s="804"/>
      <c r="U49" s="804"/>
      <c r="V49" s="804"/>
    </row>
    <row r="50" spans="1:22" s="775" customFormat="1">
      <c r="A50" s="804"/>
      <c r="B50" s="804"/>
      <c r="C50" s="804"/>
      <c r="D50" s="804"/>
      <c r="E50" s="806"/>
      <c r="F50" s="804"/>
      <c r="G50" s="804"/>
      <c r="H50" s="804"/>
      <c r="I50" s="804"/>
      <c r="J50" s="804"/>
      <c r="K50" s="804"/>
      <c r="L50" s="804"/>
      <c r="M50" s="804"/>
      <c r="N50" s="804"/>
      <c r="O50" s="804"/>
      <c r="P50" s="804"/>
      <c r="Q50" s="804"/>
      <c r="R50" s="804"/>
      <c r="S50" s="804"/>
      <c r="T50" s="804"/>
      <c r="U50" s="804"/>
      <c r="V50" s="804"/>
    </row>
    <row r="51" spans="1:22" s="775" customFormat="1">
      <c r="A51" s="804"/>
      <c r="B51" s="804"/>
      <c r="C51" s="804"/>
      <c r="D51" s="804"/>
      <c r="E51" s="806"/>
      <c r="F51" s="804"/>
      <c r="G51" s="804"/>
      <c r="H51" s="804"/>
      <c r="I51" s="804"/>
      <c r="J51" s="804"/>
      <c r="K51" s="804"/>
      <c r="L51" s="804"/>
      <c r="M51" s="804"/>
      <c r="N51" s="804"/>
      <c r="O51" s="804"/>
      <c r="P51" s="804"/>
      <c r="Q51" s="804"/>
      <c r="R51" s="804"/>
      <c r="S51" s="804"/>
      <c r="T51" s="804"/>
      <c r="U51" s="804"/>
      <c r="V51" s="804"/>
    </row>
    <row r="52" spans="1:22" s="775" customFormat="1">
      <c r="A52" s="804"/>
      <c r="B52" s="804"/>
      <c r="C52" s="804"/>
      <c r="D52" s="804"/>
      <c r="E52" s="806"/>
      <c r="F52" s="804"/>
      <c r="G52" s="804"/>
      <c r="H52" s="804"/>
      <c r="I52" s="804"/>
      <c r="J52" s="804"/>
      <c r="K52" s="804"/>
      <c r="L52" s="804"/>
      <c r="M52" s="804"/>
      <c r="N52" s="804"/>
      <c r="O52" s="804"/>
      <c r="P52" s="804"/>
      <c r="Q52" s="804"/>
      <c r="R52" s="804"/>
      <c r="S52" s="804"/>
      <c r="T52" s="804"/>
      <c r="U52" s="804"/>
      <c r="V52" s="804"/>
    </row>
    <row r="53" spans="1:22" s="775" customFormat="1">
      <c r="A53" s="804"/>
      <c r="B53" s="804"/>
      <c r="C53" s="804"/>
      <c r="D53" s="804"/>
      <c r="E53" s="806"/>
      <c r="F53" s="804"/>
      <c r="G53" s="804"/>
      <c r="H53" s="804"/>
      <c r="I53" s="804"/>
      <c r="J53" s="804"/>
      <c r="K53" s="804"/>
      <c r="L53" s="804"/>
      <c r="M53" s="804"/>
      <c r="N53" s="804"/>
      <c r="O53" s="804"/>
      <c r="P53" s="804"/>
      <c r="Q53" s="804"/>
      <c r="R53" s="804"/>
      <c r="S53" s="804"/>
      <c r="T53" s="804"/>
      <c r="U53" s="804"/>
      <c r="V53" s="804"/>
    </row>
    <row r="54" spans="1:22" s="775" customFormat="1">
      <c r="A54" s="804"/>
      <c r="B54" s="804"/>
      <c r="C54" s="804"/>
      <c r="D54" s="804"/>
      <c r="E54" s="806"/>
      <c r="F54" s="804"/>
      <c r="G54" s="804"/>
      <c r="H54" s="804"/>
      <c r="I54" s="804"/>
      <c r="J54" s="804"/>
      <c r="K54" s="804"/>
      <c r="L54" s="804"/>
      <c r="M54" s="804"/>
      <c r="N54" s="804"/>
      <c r="O54" s="804"/>
      <c r="P54" s="804"/>
      <c r="Q54" s="804"/>
      <c r="R54" s="804"/>
      <c r="S54" s="804"/>
      <c r="T54" s="804"/>
      <c r="U54" s="804"/>
      <c r="V54" s="804"/>
    </row>
    <row r="55" spans="1:22" s="775" customFormat="1">
      <c r="A55" s="804"/>
      <c r="B55" s="804"/>
      <c r="C55" s="804"/>
      <c r="D55" s="804"/>
      <c r="E55" s="806"/>
      <c r="F55" s="804"/>
      <c r="G55" s="804"/>
      <c r="H55" s="804"/>
      <c r="I55" s="804"/>
      <c r="J55" s="804"/>
      <c r="K55" s="804"/>
      <c r="L55" s="804"/>
      <c r="M55" s="804"/>
      <c r="N55" s="804"/>
      <c r="O55" s="804"/>
      <c r="P55" s="804"/>
      <c r="Q55" s="804"/>
      <c r="R55" s="804"/>
      <c r="S55" s="804"/>
      <c r="T55" s="804"/>
      <c r="U55" s="804"/>
      <c r="V55" s="804"/>
    </row>
    <row r="56" spans="1:22" s="775" customFormat="1">
      <c r="A56" s="804"/>
      <c r="B56" s="804"/>
      <c r="C56" s="804"/>
      <c r="D56" s="804"/>
      <c r="E56" s="806"/>
      <c r="F56" s="804"/>
      <c r="G56" s="804"/>
      <c r="H56" s="804"/>
      <c r="I56" s="804"/>
      <c r="J56" s="804"/>
      <c r="K56" s="804"/>
      <c r="L56" s="804"/>
      <c r="M56" s="804"/>
      <c r="N56" s="804"/>
      <c r="O56" s="804"/>
      <c r="P56" s="804"/>
      <c r="Q56" s="804"/>
      <c r="R56" s="804"/>
      <c r="S56" s="804"/>
      <c r="T56" s="804"/>
      <c r="U56" s="804"/>
      <c r="V56" s="804"/>
    </row>
    <row r="57" spans="1:22" s="775" customFormat="1">
      <c r="A57" s="804"/>
      <c r="B57" s="804"/>
      <c r="C57" s="804"/>
      <c r="D57" s="804"/>
      <c r="E57" s="806"/>
      <c r="F57" s="804"/>
      <c r="G57" s="804"/>
      <c r="H57" s="804"/>
      <c r="I57" s="804"/>
      <c r="J57" s="804"/>
      <c r="K57" s="804"/>
      <c r="L57" s="804"/>
      <c r="M57" s="804"/>
      <c r="N57" s="804"/>
      <c r="O57" s="804"/>
      <c r="P57" s="804"/>
      <c r="Q57" s="804"/>
      <c r="R57" s="804"/>
      <c r="S57" s="804"/>
      <c r="T57" s="804"/>
      <c r="U57" s="804"/>
      <c r="V57" s="804"/>
    </row>
    <row r="58" spans="1:22" s="775" customFormat="1">
      <c r="A58" s="804"/>
      <c r="B58" s="804"/>
      <c r="C58" s="804"/>
      <c r="D58" s="804"/>
      <c r="E58" s="806"/>
      <c r="F58" s="804"/>
      <c r="G58" s="804"/>
      <c r="H58" s="804"/>
      <c r="I58" s="804"/>
      <c r="J58" s="804"/>
      <c r="K58" s="804"/>
      <c r="L58" s="804"/>
      <c r="M58" s="804"/>
      <c r="N58" s="804"/>
      <c r="O58" s="804"/>
      <c r="P58" s="804"/>
      <c r="Q58" s="804"/>
      <c r="R58" s="804"/>
      <c r="S58" s="804"/>
      <c r="T58" s="804"/>
      <c r="U58" s="804"/>
      <c r="V58" s="804"/>
    </row>
    <row r="59" spans="1:22" s="775" customFormat="1">
      <c r="A59" s="804"/>
      <c r="B59" s="804"/>
      <c r="C59" s="804"/>
      <c r="D59" s="804"/>
      <c r="E59" s="806"/>
      <c r="F59" s="804"/>
      <c r="G59" s="804"/>
      <c r="H59" s="804"/>
      <c r="I59" s="804"/>
      <c r="J59" s="804"/>
      <c r="K59" s="804"/>
      <c r="L59" s="804"/>
      <c r="M59" s="804"/>
      <c r="N59" s="804"/>
      <c r="O59" s="804"/>
      <c r="P59" s="804"/>
      <c r="Q59" s="804"/>
      <c r="R59" s="804"/>
      <c r="S59" s="804"/>
      <c r="T59" s="804"/>
      <c r="U59" s="804"/>
      <c r="V59" s="804"/>
    </row>
    <row r="60" spans="1:22" s="775" customFormat="1">
      <c r="A60" s="804"/>
      <c r="B60" s="804"/>
      <c r="C60" s="804"/>
      <c r="D60" s="804"/>
      <c r="E60" s="806"/>
      <c r="F60" s="804"/>
      <c r="G60" s="804"/>
      <c r="H60" s="804"/>
      <c r="I60" s="804"/>
      <c r="J60" s="804"/>
      <c r="K60" s="804"/>
      <c r="L60" s="804"/>
      <c r="M60" s="804"/>
      <c r="N60" s="804"/>
      <c r="O60" s="804"/>
      <c r="P60" s="804"/>
      <c r="Q60" s="804"/>
      <c r="R60" s="804"/>
      <c r="S60" s="804"/>
      <c r="T60" s="804"/>
      <c r="U60" s="804"/>
      <c r="V60" s="804"/>
    </row>
    <row r="61" spans="1:22" s="775" customFormat="1">
      <c r="A61" s="804"/>
      <c r="B61" s="804"/>
      <c r="C61" s="804"/>
      <c r="D61" s="804"/>
      <c r="E61" s="806"/>
      <c r="F61" s="804"/>
      <c r="G61" s="804"/>
      <c r="H61" s="804"/>
      <c r="I61" s="804"/>
      <c r="J61" s="804"/>
      <c r="K61" s="804"/>
      <c r="L61" s="804"/>
      <c r="M61" s="804"/>
      <c r="N61" s="804"/>
      <c r="O61" s="804"/>
      <c r="P61" s="804"/>
      <c r="Q61" s="804"/>
      <c r="R61" s="804"/>
      <c r="S61" s="804"/>
      <c r="T61" s="804"/>
      <c r="U61" s="804"/>
      <c r="V61" s="804"/>
    </row>
    <row r="62" spans="1:22" s="775" customFormat="1">
      <c r="A62" s="804"/>
      <c r="B62" s="804"/>
      <c r="C62" s="804"/>
      <c r="D62" s="804"/>
      <c r="E62" s="806"/>
      <c r="F62" s="804"/>
      <c r="G62" s="804"/>
      <c r="H62" s="804"/>
      <c r="I62" s="804"/>
      <c r="J62" s="804"/>
      <c r="K62" s="804"/>
      <c r="L62" s="804"/>
      <c r="M62" s="804"/>
      <c r="N62" s="804"/>
      <c r="O62" s="804"/>
      <c r="P62" s="804"/>
      <c r="Q62" s="804"/>
      <c r="R62" s="804"/>
      <c r="S62" s="804"/>
      <c r="T62" s="804"/>
      <c r="U62" s="804"/>
      <c r="V62" s="804"/>
    </row>
  </sheetData>
  <sheetProtection algorithmName="SHA-512" hashValue="+waQM3scmubF+7DolMP9iUlfRZsc+OmG6FWAWt4t19NNmBjOWqGt9aH1Ss4SG4bZ1h/30hk4LDZXWLcB+A+sXg==" saltValue="W2F2/u2FMkB1FFfsX/noLA==" spinCount="100000" sheet="1" objects="1" scenarios="1"/>
  <mergeCells count="1">
    <mergeCell ref="A1:F1"/>
  </mergeCells>
  <phoneticPr fontId="67" type="noConversion"/>
  <printOptions horizontalCentered="1"/>
  <pageMargins left="3.937007874015748E-2" right="3.937007874015748E-2" top="0.51181102362204722" bottom="0.51181102362204722" header="0.39370078740157483" footer="0.51181102362204722"/>
  <pageSetup paperSize="8" scale="52" orientation="landscape" r:id="rId1"/>
  <headerFooter alignWithMargins="0">
    <oddHeader>&amp;CKapitāla naudas plūsma&amp;R4.pielikums</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theme="3"/>
    <pageSetUpPr fitToPage="1"/>
  </sheetPr>
  <dimension ref="A1:Y93"/>
  <sheetViews>
    <sheetView zoomScale="85" zoomScaleNormal="85" workbookViewId="0">
      <pane xSplit="4" ySplit="2" topLeftCell="E6" activePane="bottomRight" state="frozen"/>
      <selection pane="topRight" activeCell="E1" sqref="E1"/>
      <selection pane="bottomLeft" activeCell="A3" sqref="A3"/>
      <selection pane="bottomRight" activeCell="C46" sqref="C46"/>
    </sheetView>
  </sheetViews>
  <sheetFormatPr defaultColWidth="11" defaultRowHeight="12.75"/>
  <cols>
    <col min="1" max="1" width="3" style="750" customWidth="1"/>
    <col min="2" max="2" width="7" style="750" customWidth="1"/>
    <col min="3" max="3" width="61.7109375" style="750" customWidth="1"/>
    <col min="4" max="4" width="8.140625" style="753" customWidth="1"/>
    <col min="5" max="5" width="10.5703125" style="750" customWidth="1"/>
    <col min="6" max="6" width="14.5703125" style="750" customWidth="1"/>
    <col min="7" max="7" width="12.140625" style="750" customWidth="1"/>
    <col min="8" max="8" width="12.42578125" style="750" customWidth="1"/>
    <col min="9" max="19" width="10.5703125" style="750" customWidth="1"/>
    <col min="20" max="20" width="11.85546875" style="750" customWidth="1"/>
    <col min="21" max="21" width="14.85546875" style="804" customWidth="1"/>
    <col min="22" max="16384" width="11" style="751"/>
  </cols>
  <sheetData>
    <row r="1" spans="1:25" ht="27" customHeight="1">
      <c r="A1" s="2221" t="s">
        <v>985</v>
      </c>
      <c r="B1" s="2221"/>
      <c r="C1" s="2221"/>
      <c r="D1" s="2221"/>
      <c r="E1" s="2221"/>
      <c r="F1" s="2221"/>
      <c r="G1" s="775"/>
      <c r="H1" s="804"/>
      <c r="I1" s="804"/>
      <c r="J1" s="804"/>
      <c r="K1" s="804"/>
      <c r="L1" s="804"/>
      <c r="M1" s="804"/>
      <c r="N1" s="804"/>
      <c r="O1" s="804"/>
      <c r="P1" s="804"/>
      <c r="Q1" s="804"/>
      <c r="R1" s="804"/>
      <c r="S1" s="804"/>
      <c r="T1" s="804"/>
      <c r="V1" s="775"/>
    </row>
    <row r="2" spans="1:25" ht="24.95" customHeight="1">
      <c r="A2" s="2222" t="s">
        <v>840</v>
      </c>
      <c r="B2" s="2222"/>
      <c r="C2" s="2222"/>
      <c r="D2" s="2222"/>
      <c r="E2" s="2223"/>
      <c r="F2" s="2223"/>
      <c r="G2" s="775"/>
      <c r="H2" s="804"/>
      <c r="I2" s="804"/>
      <c r="J2" s="804"/>
      <c r="K2" s="804"/>
      <c r="L2" s="804"/>
      <c r="M2" s="804"/>
      <c r="N2" s="804"/>
      <c r="O2" s="804"/>
      <c r="P2" s="804"/>
      <c r="Q2" s="804"/>
      <c r="R2" s="804"/>
      <c r="S2" s="804"/>
      <c r="T2" s="804"/>
      <c r="V2" s="775"/>
    </row>
    <row r="3" spans="1:25" ht="12.75" customHeight="1">
      <c r="A3" s="1571"/>
      <c r="B3" s="1539"/>
      <c r="C3" s="1407"/>
      <c r="D3" s="1572"/>
      <c r="E3" s="1551" t="str">
        <f>'3. DL invest.n.pl.AR pr.'!F4</f>
        <v>0 / 1</v>
      </c>
      <c r="F3" s="1551">
        <f>'3. DL invest.n.pl.AR pr.'!G4</f>
        <v>2</v>
      </c>
      <c r="G3" s="1551">
        <f>'3. DL invest.n.pl.AR pr.'!H4</f>
        <v>3</v>
      </c>
      <c r="H3" s="1551">
        <f>'3. DL invest.n.pl.AR pr.'!I4</f>
        <v>4</v>
      </c>
      <c r="I3" s="1551">
        <f>'3. DL invest.n.pl.AR pr.'!J4</f>
        <v>5</v>
      </c>
      <c r="J3" s="1551">
        <f>'3. DL invest.n.pl.AR pr.'!K4</f>
        <v>6</v>
      </c>
      <c r="K3" s="1551">
        <f>'3. DL invest.n.pl.AR pr.'!L4</f>
        <v>7</v>
      </c>
      <c r="L3" s="1551">
        <f>'3. DL invest.n.pl.AR pr.'!M4</f>
        <v>8</v>
      </c>
      <c r="M3" s="1551">
        <f>'3. DL invest.n.pl.AR pr.'!N4</f>
        <v>9</v>
      </c>
      <c r="N3" s="1551">
        <f>'3. DL invest.n.pl.AR pr.'!O4</f>
        <v>10</v>
      </c>
      <c r="O3" s="1551">
        <f>'3. DL invest.n.pl.AR pr.'!P4</f>
        <v>11</v>
      </c>
      <c r="P3" s="1551">
        <f>'3. DL invest.n.pl.AR pr.'!Q4</f>
        <v>12</v>
      </c>
      <c r="Q3" s="1551">
        <f>'3. DL invest.n.pl.AR pr.'!R4</f>
        <v>13</v>
      </c>
      <c r="R3" s="1551">
        <f>'3. DL invest.n.pl.AR pr.'!S4</f>
        <v>14</v>
      </c>
      <c r="S3" s="1551">
        <f>'3. DL invest.n.pl.AR pr.'!T4</f>
        <v>15</v>
      </c>
      <c r="T3" s="1409"/>
    </row>
    <row r="4" spans="1:25">
      <c r="A4" s="1415"/>
      <c r="B4" s="1416"/>
      <c r="C4" s="1416"/>
      <c r="D4" s="1417" t="s">
        <v>1</v>
      </c>
      <c r="E4" s="1418">
        <f>'3. DL invest.n.pl.AR pr.'!F5</f>
        <v>2017</v>
      </c>
      <c r="F4" s="1418">
        <f>'3. DL invest.n.pl.AR pr.'!G5</f>
        <v>2018</v>
      </c>
      <c r="G4" s="1418">
        <f>'3. DL invest.n.pl.AR pr.'!H5</f>
        <v>2019</v>
      </c>
      <c r="H4" s="1418">
        <f>'3. DL invest.n.pl.AR pr.'!I5</f>
        <v>2020</v>
      </c>
      <c r="I4" s="1418">
        <f>'3. DL invest.n.pl.AR pr.'!J5</f>
        <v>2021</v>
      </c>
      <c r="J4" s="1418">
        <f>'3. DL invest.n.pl.AR pr.'!K5</f>
        <v>2022</v>
      </c>
      <c r="K4" s="1418">
        <f>'3. DL invest.n.pl.AR pr.'!L5</f>
        <v>2023</v>
      </c>
      <c r="L4" s="1418">
        <f>'3. DL invest.n.pl.AR pr.'!M5</f>
        <v>2024</v>
      </c>
      <c r="M4" s="1418">
        <f>'3. DL invest.n.pl.AR pr.'!N5</f>
        <v>2025</v>
      </c>
      <c r="N4" s="1418">
        <f>'3. DL invest.n.pl.AR pr.'!O5</f>
        <v>2026</v>
      </c>
      <c r="O4" s="1418">
        <f>'3. DL invest.n.pl.AR pr.'!P5</f>
        <v>2027</v>
      </c>
      <c r="P4" s="1418">
        <f>'3. DL invest.n.pl.AR pr.'!Q5</f>
        <v>2028</v>
      </c>
      <c r="Q4" s="1418">
        <f>'3. DL invest.n.pl.AR pr.'!R5</f>
        <v>2029</v>
      </c>
      <c r="R4" s="1418">
        <f>'3. DL invest.n.pl.AR pr.'!S5</f>
        <v>2030</v>
      </c>
      <c r="S4" s="1418">
        <f>'3. DL invest.n.pl.AR pr.'!T5</f>
        <v>2031</v>
      </c>
      <c r="T4" s="1419" t="s">
        <v>2</v>
      </c>
      <c r="V4" s="752"/>
      <c r="W4" s="752"/>
      <c r="X4" s="752"/>
      <c r="Y4" s="752"/>
    </row>
    <row r="5" spans="1:25" s="754" customFormat="1" ht="15">
      <c r="A5" s="1561">
        <v>1</v>
      </c>
      <c r="B5" s="1562" t="s">
        <v>126</v>
      </c>
      <c r="C5" s="1562"/>
      <c r="D5" s="1562"/>
      <c r="E5" s="1563"/>
      <c r="F5" s="1563"/>
      <c r="G5" s="1563"/>
      <c r="H5" s="1563"/>
      <c r="I5" s="1563"/>
      <c r="J5" s="1563"/>
      <c r="K5" s="1563"/>
      <c r="L5" s="1563"/>
      <c r="M5" s="1563"/>
      <c r="N5" s="1563"/>
      <c r="O5" s="1563"/>
      <c r="P5" s="1563"/>
      <c r="Q5" s="1563"/>
      <c r="R5" s="1563"/>
      <c r="S5" s="1563"/>
      <c r="T5" s="1564"/>
      <c r="U5" s="1477"/>
    </row>
    <row r="6" spans="1:25" s="775" customFormat="1">
      <c r="A6" s="1368"/>
      <c r="B6" s="2057" t="s">
        <v>3</v>
      </c>
      <c r="C6" s="1369" t="s">
        <v>974</v>
      </c>
      <c r="D6" s="1369" t="s">
        <v>873</v>
      </c>
      <c r="E6" s="1715">
        <f>'9. AL alternatīvu anal.'!B16</f>
        <v>360</v>
      </c>
      <c r="F6" s="1716">
        <f>'9. AL alternatīvu anal.'!C16</f>
        <v>360</v>
      </c>
      <c r="G6" s="1716">
        <f>'9. AL alternatīvu anal.'!D16</f>
        <v>360</v>
      </c>
      <c r="H6" s="1716">
        <f>'9. AL alternatīvu anal.'!E16</f>
        <v>360</v>
      </c>
      <c r="I6" s="1716">
        <f>'9. AL alternatīvu anal.'!F16</f>
        <v>360</v>
      </c>
      <c r="J6" s="1716">
        <f>'9. AL alternatīvu anal.'!G16</f>
        <v>360</v>
      </c>
      <c r="K6" s="1716">
        <f>'9. AL alternatīvu anal.'!H16</f>
        <v>360</v>
      </c>
      <c r="L6" s="1716">
        <f>'9. AL alternatīvu anal.'!I16</f>
        <v>360</v>
      </c>
      <c r="M6" s="1716">
        <f>'9. AL alternatīvu anal.'!J16</f>
        <v>360</v>
      </c>
      <c r="N6" s="1716">
        <f>'9. AL alternatīvu anal.'!K16</f>
        <v>360</v>
      </c>
      <c r="O6" s="1716">
        <f>'9. AL alternatīvu anal.'!L16</f>
        <v>360</v>
      </c>
      <c r="P6" s="1716">
        <f>'9. AL alternatīvu anal.'!M16</f>
        <v>360</v>
      </c>
      <c r="Q6" s="1716">
        <f>'9. AL alternatīvu anal.'!N16</f>
        <v>360</v>
      </c>
      <c r="R6" s="1716">
        <f>'9. AL alternatīvu anal.'!O16</f>
        <v>360</v>
      </c>
      <c r="S6" s="1716">
        <f>'9. AL alternatīvu anal.'!P16</f>
        <v>360</v>
      </c>
      <c r="T6" s="1579">
        <f>SUM(E6:S6)</f>
        <v>5400</v>
      </c>
      <c r="U6" s="1477" t="b">
        <f>T6='3. DL invest.n.pl.AR pr.'!U9</f>
        <v>1</v>
      </c>
      <c r="V6" s="1354"/>
    </row>
    <row r="7" spans="1:25" s="775" customFormat="1">
      <c r="A7" s="1362"/>
      <c r="B7" s="1379" t="s">
        <v>5</v>
      </c>
      <c r="C7" s="775" t="s">
        <v>1015</v>
      </c>
      <c r="D7" s="775" t="s">
        <v>873</v>
      </c>
      <c r="E7" s="1713">
        <f>'9. AL alternatīvu anal.'!B15</f>
        <v>-400</v>
      </c>
      <c r="F7" s="1714">
        <f>'9. AL alternatīvu anal.'!C15</f>
        <v>-400</v>
      </c>
      <c r="G7" s="1714">
        <f>'9. AL alternatīvu anal.'!D15</f>
        <v>-400</v>
      </c>
      <c r="H7" s="1714">
        <f>'9. AL alternatīvu anal.'!E15</f>
        <v>-400</v>
      </c>
      <c r="I7" s="1714">
        <f>'9. AL alternatīvu anal.'!F15</f>
        <v>-400</v>
      </c>
      <c r="J7" s="1714">
        <f>'9. AL alternatīvu anal.'!G15</f>
        <v>-400</v>
      </c>
      <c r="K7" s="1714">
        <f>'9. AL alternatīvu anal.'!H15</f>
        <v>-400</v>
      </c>
      <c r="L7" s="1714">
        <f>'9. AL alternatīvu anal.'!I15</f>
        <v>-400</v>
      </c>
      <c r="M7" s="1714">
        <f>'9. AL alternatīvu anal.'!J15</f>
        <v>-400</v>
      </c>
      <c r="N7" s="1714">
        <f>'9. AL alternatīvu anal.'!K15</f>
        <v>-400</v>
      </c>
      <c r="O7" s="1714">
        <f>'9. AL alternatīvu anal.'!L15</f>
        <v>-400</v>
      </c>
      <c r="P7" s="1714">
        <f>'9. AL alternatīvu anal.'!M15</f>
        <v>-400</v>
      </c>
      <c r="Q7" s="1714">
        <f>'9. AL alternatīvu anal.'!N15</f>
        <v>-400</v>
      </c>
      <c r="R7" s="1714">
        <f>'9. AL alternatīvu anal.'!O15</f>
        <v>-400</v>
      </c>
      <c r="S7" s="1714">
        <f>'9. AL alternatīvu anal.'!P15</f>
        <v>-400</v>
      </c>
      <c r="T7" s="1582">
        <f>SUM(E7:S7)</f>
        <v>-6000</v>
      </c>
      <c r="U7" s="1477" t="b">
        <f>'3. DL invest.n.pl.AR pr.'!U16-'2. DL invest.n.pl.BEZ pr.'!T16=T7</f>
        <v>1</v>
      </c>
    </row>
    <row r="8" spans="1:25" s="775" customFormat="1">
      <c r="A8" s="1362"/>
      <c r="B8" s="1379" t="s">
        <v>7</v>
      </c>
      <c r="C8" s="1379" t="s">
        <v>8</v>
      </c>
      <c r="D8" s="1379" t="s">
        <v>873</v>
      </c>
      <c r="E8" s="1713">
        <f>'3. DL invest.n.pl.AR pr.'!F23</f>
        <v>-34950</v>
      </c>
      <c r="F8" s="1714">
        <f>'3. DL invest.n.pl.AR pr.'!G23</f>
        <v>-9465</v>
      </c>
      <c r="G8" s="1714">
        <f>'3. DL invest.n.pl.AR pr.'!H23</f>
        <v>-28700</v>
      </c>
      <c r="H8" s="1714">
        <f>'3. DL invest.n.pl.AR pr.'!I23</f>
        <v>0</v>
      </c>
      <c r="I8" s="1714">
        <f>'3. DL invest.n.pl.AR pr.'!J23</f>
        <v>0</v>
      </c>
      <c r="J8" s="1714">
        <f>'3. DL invest.n.pl.AR pr.'!K23</f>
        <v>0</v>
      </c>
      <c r="K8" s="1714">
        <f>'3. DL invest.n.pl.AR pr.'!L23</f>
        <v>0</v>
      </c>
      <c r="L8" s="1714">
        <f>'3. DL invest.n.pl.AR pr.'!M23</f>
        <v>0</v>
      </c>
      <c r="M8" s="1714">
        <f>'3. DL invest.n.pl.AR pr.'!N23</f>
        <v>0</v>
      </c>
      <c r="N8" s="1714">
        <f>'3. DL invest.n.pl.AR pr.'!O23</f>
        <v>0</v>
      </c>
      <c r="O8" s="1714">
        <f>'3. DL invest.n.pl.AR pr.'!P23</f>
        <v>0</v>
      </c>
      <c r="P8" s="1714">
        <f>'3. DL invest.n.pl.AR pr.'!Q23</f>
        <v>0</v>
      </c>
      <c r="Q8" s="1714">
        <f>'3. DL invest.n.pl.AR pr.'!R23</f>
        <v>0</v>
      </c>
      <c r="R8" s="1714">
        <f>'3. DL invest.n.pl.AR pr.'!S23</f>
        <v>0</v>
      </c>
      <c r="S8" s="1714">
        <f>'3. DL invest.n.pl.AR pr.'!T23</f>
        <v>0</v>
      </c>
      <c r="T8" s="1582">
        <f>SUM(E8:S8)</f>
        <v>-73115</v>
      </c>
      <c r="U8" s="1477" t="b">
        <f>T8='3. DL invest.n.pl.AR pr.'!U23</f>
        <v>1</v>
      </c>
      <c r="V8" s="1349"/>
    </row>
    <row r="9" spans="1:25" s="1677" customFormat="1">
      <c r="A9" s="1433"/>
      <c r="B9" s="1671" t="s">
        <v>59</v>
      </c>
      <c r="C9" s="1671" t="s">
        <v>1026</v>
      </c>
      <c r="D9" s="1672" t="s">
        <v>873</v>
      </c>
      <c r="E9" s="1673">
        <f>'3. DL invest.n.pl.AR pr.'!F25</f>
        <v>-31450</v>
      </c>
      <c r="F9" s="1674">
        <f>'3. DL invest.n.pl.AR pr.'!G25</f>
        <v>-5965</v>
      </c>
      <c r="G9" s="1674">
        <f>'3. DL invest.n.pl.AR pr.'!H25</f>
        <v>-25200</v>
      </c>
      <c r="H9" s="1674">
        <f>'3. DL invest.n.pl.AR pr.'!I25</f>
        <v>0</v>
      </c>
      <c r="I9" s="1674">
        <f>'3. DL invest.n.pl.AR pr.'!J25</f>
        <v>0</v>
      </c>
      <c r="J9" s="1674">
        <f>'3. DL invest.n.pl.AR pr.'!K25</f>
        <v>0</v>
      </c>
      <c r="K9" s="1674">
        <f>'3. DL invest.n.pl.AR pr.'!L25</f>
        <v>0</v>
      </c>
      <c r="L9" s="1674">
        <f>'3. DL invest.n.pl.AR pr.'!M25</f>
        <v>0</v>
      </c>
      <c r="M9" s="1674">
        <f>'3. DL invest.n.pl.AR pr.'!N25</f>
        <v>0</v>
      </c>
      <c r="N9" s="1674">
        <f>'3. DL invest.n.pl.AR pr.'!O25</f>
        <v>0</v>
      </c>
      <c r="O9" s="1674">
        <f>'3. DL invest.n.pl.AR pr.'!P25</f>
        <v>0</v>
      </c>
      <c r="P9" s="1674">
        <f>'3. DL invest.n.pl.AR pr.'!Q25</f>
        <v>0</v>
      </c>
      <c r="Q9" s="1674">
        <f>'3. DL invest.n.pl.AR pr.'!R25</f>
        <v>0</v>
      </c>
      <c r="R9" s="1674">
        <f>'3. DL invest.n.pl.AR pr.'!S25</f>
        <v>0</v>
      </c>
      <c r="S9" s="1674">
        <f>'3. DL invest.n.pl.AR pr.'!T25</f>
        <v>0</v>
      </c>
      <c r="T9" s="1670">
        <f>'3. DL invest.n.pl.AR pr.'!U25</f>
        <v>-62615</v>
      </c>
      <c r="U9" s="1675"/>
      <c r="V9" s="1676"/>
    </row>
    <row r="10" spans="1:25" s="1677" customFormat="1">
      <c r="A10" s="1433"/>
      <c r="B10" s="1671" t="s">
        <v>1194</v>
      </c>
      <c r="C10" s="1671" t="str">
        <f>'3. DL invest.n.pl.AR pr.'!C26</f>
        <v>Investīciju attiecināmās izmaksas bez neparedzētajām izmaksām</v>
      </c>
      <c r="D10" s="1672" t="s">
        <v>873</v>
      </c>
      <c r="E10" s="1673">
        <f>'3. DL invest.n.pl.AR pr.'!F26</f>
        <v>-30750</v>
      </c>
      <c r="F10" s="1674">
        <f>'3. DL invest.n.pl.AR pr.'!G26</f>
        <v>-5765</v>
      </c>
      <c r="G10" s="1674">
        <f>'3. DL invest.n.pl.AR pr.'!H26</f>
        <v>-25000</v>
      </c>
      <c r="H10" s="1674">
        <f>'3. DL invest.n.pl.AR pr.'!I26</f>
        <v>0</v>
      </c>
      <c r="I10" s="1674">
        <f>'3. DL invest.n.pl.AR pr.'!J26</f>
        <v>0</v>
      </c>
      <c r="J10" s="1674">
        <f>'3. DL invest.n.pl.AR pr.'!K26</f>
        <v>0</v>
      </c>
      <c r="K10" s="1674">
        <f>'3. DL invest.n.pl.AR pr.'!L26</f>
        <v>0</v>
      </c>
      <c r="L10" s="1674">
        <f>'3. DL invest.n.pl.AR pr.'!M26</f>
        <v>0</v>
      </c>
      <c r="M10" s="1674">
        <f>'3. DL invest.n.pl.AR pr.'!N26</f>
        <v>0</v>
      </c>
      <c r="N10" s="1674">
        <f>'3. DL invest.n.pl.AR pr.'!O26</f>
        <v>0</v>
      </c>
      <c r="O10" s="1674">
        <f>'3. DL invest.n.pl.AR pr.'!P26</f>
        <v>0</v>
      </c>
      <c r="P10" s="1674">
        <f>'3. DL invest.n.pl.AR pr.'!Q26</f>
        <v>0</v>
      </c>
      <c r="Q10" s="1674">
        <f>'3. DL invest.n.pl.AR pr.'!R26</f>
        <v>0</v>
      </c>
      <c r="R10" s="1674">
        <f>'3. DL invest.n.pl.AR pr.'!S26</f>
        <v>0</v>
      </c>
      <c r="S10" s="1674">
        <f>'3. DL invest.n.pl.AR pr.'!T26</f>
        <v>0</v>
      </c>
      <c r="T10" s="1670">
        <f>'3. DL invest.n.pl.AR pr.'!U26</f>
        <v>-61515</v>
      </c>
      <c r="U10" s="1675"/>
      <c r="V10" s="1676"/>
    </row>
    <row r="11" spans="1:25" s="1677" customFormat="1">
      <c r="A11" s="1433"/>
      <c r="B11" s="1671" t="s">
        <v>1195</v>
      </c>
      <c r="C11" s="1671" t="str">
        <f>'3. DL invest.n.pl.AR pr.'!C27</f>
        <v>Investīciju neattiecināmās izmaksas bez neparedzētajām izmaksām</v>
      </c>
      <c r="D11" s="1672" t="s">
        <v>873</v>
      </c>
      <c r="E11" s="1673">
        <f>'3. DL invest.n.pl.AR pr.'!F27</f>
        <v>-700</v>
      </c>
      <c r="F11" s="1674">
        <f>'3. DL invest.n.pl.AR pr.'!G27</f>
        <v>-200</v>
      </c>
      <c r="G11" s="1674">
        <f>'3. DL invest.n.pl.AR pr.'!H27</f>
        <v>-200</v>
      </c>
      <c r="H11" s="1674">
        <f>'3. DL invest.n.pl.AR pr.'!I27</f>
        <v>0</v>
      </c>
      <c r="I11" s="1674">
        <f>'3. DL invest.n.pl.AR pr.'!J27</f>
        <v>0</v>
      </c>
      <c r="J11" s="1674">
        <f>'3. DL invest.n.pl.AR pr.'!K27</f>
        <v>0</v>
      </c>
      <c r="K11" s="1674">
        <f>'3. DL invest.n.pl.AR pr.'!L27</f>
        <v>0</v>
      </c>
      <c r="L11" s="1674">
        <f>'3. DL invest.n.pl.AR pr.'!M27</f>
        <v>0</v>
      </c>
      <c r="M11" s="1674">
        <f>'3. DL invest.n.pl.AR pr.'!N27</f>
        <v>0</v>
      </c>
      <c r="N11" s="1674">
        <f>'3. DL invest.n.pl.AR pr.'!O27</f>
        <v>0</v>
      </c>
      <c r="O11" s="1674">
        <f>'3. DL invest.n.pl.AR pr.'!P27</f>
        <v>0</v>
      </c>
      <c r="P11" s="1674">
        <f>'3. DL invest.n.pl.AR pr.'!Q27</f>
        <v>0</v>
      </c>
      <c r="Q11" s="1674">
        <f>'3. DL invest.n.pl.AR pr.'!R27</f>
        <v>0</v>
      </c>
      <c r="R11" s="1674">
        <f>'3. DL invest.n.pl.AR pr.'!S27</f>
        <v>0</v>
      </c>
      <c r="S11" s="1674">
        <f>'3. DL invest.n.pl.AR pr.'!T27</f>
        <v>0</v>
      </c>
      <c r="T11" s="1670">
        <f>'3. DL invest.n.pl.AR pr.'!U27</f>
        <v>-1100</v>
      </c>
      <c r="U11" s="1675"/>
      <c r="V11" s="1676"/>
    </row>
    <row r="12" spans="1:25" s="778" customFormat="1">
      <c r="A12" s="1363"/>
      <c r="B12" s="775" t="s">
        <v>9</v>
      </c>
      <c r="C12" s="1379" t="s">
        <v>10</v>
      </c>
      <c r="D12" s="1379" t="s">
        <v>873</v>
      </c>
      <c r="E12" s="1580">
        <f>'3. DL invest.n.pl.AR pr.'!F30</f>
        <v>0</v>
      </c>
      <c r="F12" s="1581">
        <f>'3. DL invest.n.pl.AR pr.'!G30</f>
        <v>0</v>
      </c>
      <c r="G12" s="1581">
        <f>'3. DL invest.n.pl.AR pr.'!H30</f>
        <v>0</v>
      </c>
      <c r="H12" s="1581">
        <f>'3. DL invest.n.pl.AR pr.'!I30</f>
        <v>0</v>
      </c>
      <c r="I12" s="1581">
        <f>'3. DL invest.n.pl.AR pr.'!J30</f>
        <v>0</v>
      </c>
      <c r="J12" s="1581">
        <f>'3. DL invest.n.pl.AR pr.'!K30</f>
        <v>0</v>
      </c>
      <c r="K12" s="1581">
        <f>'3. DL invest.n.pl.AR pr.'!L30</f>
        <v>0</v>
      </c>
      <c r="L12" s="1581">
        <f>'3. DL invest.n.pl.AR pr.'!M30</f>
        <v>0</v>
      </c>
      <c r="M12" s="1581">
        <f>'3. DL invest.n.pl.AR pr.'!N30</f>
        <v>0</v>
      </c>
      <c r="N12" s="1581">
        <f>'3. DL invest.n.pl.AR pr.'!O30</f>
        <v>0</v>
      </c>
      <c r="O12" s="1581">
        <f>'3. DL invest.n.pl.AR pr.'!P30</f>
        <v>0</v>
      </c>
      <c r="P12" s="1581">
        <f>'3. DL invest.n.pl.AR pr.'!Q30</f>
        <v>0</v>
      </c>
      <c r="Q12" s="1581">
        <f>'3. DL invest.n.pl.AR pr.'!R30</f>
        <v>0</v>
      </c>
      <c r="R12" s="1581">
        <f>'3. DL invest.n.pl.AR pr.'!S30</f>
        <v>0</v>
      </c>
      <c r="S12" s="1581">
        <f>'3. DL invest.n.pl.AR pr.'!T30</f>
        <v>1000</v>
      </c>
      <c r="T12" s="1582">
        <f>SUM(E12:S12)</f>
        <v>1000</v>
      </c>
      <c r="U12" s="1478"/>
    </row>
    <row r="13" spans="1:25" s="778" customFormat="1">
      <c r="A13" s="1401"/>
      <c r="B13" s="1371" t="s">
        <v>11</v>
      </c>
      <c r="C13" s="1371" t="s">
        <v>12</v>
      </c>
      <c r="D13" s="1371" t="s">
        <v>873</v>
      </c>
      <c r="E13" s="1583">
        <f>E6+E7+E8+E12</f>
        <v>-34990</v>
      </c>
      <c r="F13" s="1584">
        <f t="shared" ref="F13:R13" si="0">F6+F7+F8+F12</f>
        <v>-9505</v>
      </c>
      <c r="G13" s="1584">
        <f>G6+G7+G8+G12</f>
        <v>-28740</v>
      </c>
      <c r="H13" s="1584">
        <f t="shared" si="0"/>
        <v>-40</v>
      </c>
      <c r="I13" s="1584">
        <f t="shared" si="0"/>
        <v>-40</v>
      </c>
      <c r="J13" s="1584">
        <f t="shared" si="0"/>
        <v>-40</v>
      </c>
      <c r="K13" s="1584">
        <f t="shared" si="0"/>
        <v>-40</v>
      </c>
      <c r="L13" s="1584">
        <f t="shared" si="0"/>
        <v>-40</v>
      </c>
      <c r="M13" s="1584">
        <f t="shared" si="0"/>
        <v>-40</v>
      </c>
      <c r="N13" s="1584">
        <f t="shared" si="0"/>
        <v>-40</v>
      </c>
      <c r="O13" s="1584">
        <f t="shared" si="0"/>
        <v>-40</v>
      </c>
      <c r="P13" s="1584">
        <f t="shared" si="0"/>
        <v>-40</v>
      </c>
      <c r="Q13" s="1584">
        <f t="shared" si="0"/>
        <v>-40</v>
      </c>
      <c r="R13" s="1584">
        <f t="shared" si="0"/>
        <v>-40</v>
      </c>
      <c r="S13" s="1584">
        <f t="shared" ref="S13" si="1">S6+S7+S8+S12</f>
        <v>960</v>
      </c>
      <c r="T13" s="1585">
        <f>SUM(E13:S13)</f>
        <v>-72715</v>
      </c>
      <c r="U13" s="1478"/>
    </row>
    <row r="14" spans="1:25" s="778" customFormat="1">
      <c r="E14" s="1400"/>
      <c r="F14" s="1400"/>
      <c r="G14" s="1400"/>
      <c r="H14" s="1400"/>
      <c r="I14" s="1400"/>
      <c r="J14" s="1400"/>
      <c r="K14" s="1400"/>
      <c r="L14" s="1400"/>
      <c r="M14" s="1400"/>
      <c r="N14" s="1400"/>
      <c r="O14" s="1400"/>
      <c r="P14" s="1400"/>
      <c r="Q14" s="1400"/>
      <c r="R14" s="1400"/>
      <c r="S14" s="1400"/>
      <c r="T14" s="1400"/>
      <c r="U14" s="1478"/>
    </row>
    <row r="15" spans="1:25" s="754" customFormat="1" ht="15">
      <c r="A15" s="1577">
        <v>2</v>
      </c>
      <c r="B15" s="1578" t="s">
        <v>13</v>
      </c>
      <c r="C15" s="1578"/>
      <c r="D15" s="1578"/>
      <c r="E15" s="1563"/>
      <c r="F15" s="1563"/>
      <c r="G15" s="1563"/>
      <c r="H15" s="1563"/>
      <c r="I15" s="1563"/>
      <c r="J15" s="1563"/>
      <c r="K15" s="1563"/>
      <c r="L15" s="1563"/>
      <c r="M15" s="1563"/>
      <c r="N15" s="1563"/>
      <c r="O15" s="1563"/>
      <c r="P15" s="1563"/>
      <c r="Q15" s="1563"/>
      <c r="R15" s="1563"/>
      <c r="S15" s="1563"/>
      <c r="T15" s="1564"/>
      <c r="U15" s="804"/>
    </row>
    <row r="16" spans="1:25" s="775" customFormat="1">
      <c r="A16" s="1574"/>
      <c r="B16" s="1575"/>
      <c r="C16" s="1539" t="s">
        <v>153</v>
      </c>
      <c r="D16" s="1540" t="s">
        <v>15</v>
      </c>
      <c r="E16" s="2058">
        <f>Titullapa!C82</f>
        <v>0.04</v>
      </c>
      <c r="H16" s="1569"/>
      <c r="I16" s="1569"/>
      <c r="J16" s="1569"/>
      <c r="K16" s="1569"/>
      <c r="L16" s="1569"/>
      <c r="M16" s="1569"/>
      <c r="N16" s="1569"/>
      <c r="O16" s="1569"/>
      <c r="P16" s="1569"/>
      <c r="Q16" s="1569"/>
      <c r="R16" s="1569"/>
      <c r="S16" s="1569"/>
      <c r="U16" s="804"/>
    </row>
    <row r="17" spans="1:22" s="778" customFormat="1">
      <c r="A17" s="1566"/>
      <c r="B17" s="2059"/>
      <c r="C17" s="1411" t="s">
        <v>17</v>
      </c>
      <c r="D17" s="1444" t="s">
        <v>18</v>
      </c>
      <c r="E17" s="1565">
        <v>0</v>
      </c>
      <c r="F17" s="1565">
        <v>1</v>
      </c>
      <c r="G17" s="1565">
        <v>2</v>
      </c>
      <c r="H17" s="1565">
        <v>3</v>
      </c>
      <c r="I17" s="1565">
        <v>4</v>
      </c>
      <c r="J17" s="1565">
        <v>5</v>
      </c>
      <c r="K17" s="1565">
        <v>6</v>
      </c>
      <c r="L17" s="1565">
        <v>7</v>
      </c>
      <c r="M17" s="1565">
        <v>8</v>
      </c>
      <c r="N17" s="1565">
        <v>9</v>
      </c>
      <c r="O17" s="1565">
        <v>10</v>
      </c>
      <c r="P17" s="1565">
        <v>11</v>
      </c>
      <c r="Q17" s="1565">
        <v>12</v>
      </c>
      <c r="R17" s="1565">
        <v>13</v>
      </c>
      <c r="S17" s="1565">
        <v>14</v>
      </c>
      <c r="T17" s="1402"/>
      <c r="U17" s="805"/>
      <c r="V17" s="1355"/>
    </row>
    <row r="18" spans="1:22" s="778" customFormat="1">
      <c r="A18" s="1573"/>
      <c r="B18" s="2060"/>
      <c r="C18" s="1417" t="s">
        <v>20</v>
      </c>
      <c r="D18" s="1576" t="s">
        <v>21</v>
      </c>
      <c r="E18" s="1696">
        <f t="shared" ref="E18:L18" si="2">1/(1+$E$16)^E17</f>
        <v>1</v>
      </c>
      <c r="F18" s="1696">
        <f t="shared" si="2"/>
        <v>0.96153846153846145</v>
      </c>
      <c r="G18" s="1696">
        <f t="shared" si="2"/>
        <v>0.92455621301775137</v>
      </c>
      <c r="H18" s="1696">
        <f t="shared" si="2"/>
        <v>0.88899635867091487</v>
      </c>
      <c r="I18" s="1696">
        <f t="shared" si="2"/>
        <v>0.85480419102972571</v>
      </c>
      <c r="J18" s="1696">
        <f t="shared" si="2"/>
        <v>0.82192710675935154</v>
      </c>
      <c r="K18" s="1696">
        <f t="shared" si="2"/>
        <v>0.79031452573014571</v>
      </c>
      <c r="L18" s="1696">
        <f t="shared" si="2"/>
        <v>0.75991781320206331</v>
      </c>
      <c r="M18" s="1696">
        <f t="shared" ref="M18:S18" si="3">1/(1+$E$16)^M17</f>
        <v>0.73069020500198378</v>
      </c>
      <c r="N18" s="1696">
        <f t="shared" si="3"/>
        <v>0.70258673557883045</v>
      </c>
      <c r="O18" s="1696">
        <f t="shared" si="3"/>
        <v>0.67556416882579851</v>
      </c>
      <c r="P18" s="1696">
        <f t="shared" si="3"/>
        <v>0.6495809315632679</v>
      </c>
      <c r="Q18" s="1696">
        <f t="shared" si="3"/>
        <v>0.62459704958006512</v>
      </c>
      <c r="R18" s="1696">
        <f t="shared" si="3"/>
        <v>0.600574086134678</v>
      </c>
      <c r="S18" s="1696">
        <f t="shared" si="3"/>
        <v>0.57747508282180582</v>
      </c>
      <c r="T18" s="1404"/>
      <c r="U18" s="805"/>
    </row>
    <row r="19" spans="1:22" s="775" customFormat="1">
      <c r="A19" s="1368"/>
      <c r="B19" s="2057" t="s">
        <v>14</v>
      </c>
      <c r="C19" s="1369" t="s">
        <v>1016</v>
      </c>
      <c r="D19" s="1558" t="s">
        <v>873</v>
      </c>
      <c r="E19" s="1715">
        <f t="shared" ref="E19:S19" si="4">E6*E18</f>
        <v>360</v>
      </c>
      <c r="F19" s="1716">
        <f t="shared" si="4"/>
        <v>346.15384615384613</v>
      </c>
      <c r="G19" s="1716">
        <f t="shared" si="4"/>
        <v>332.84023668639048</v>
      </c>
      <c r="H19" s="1716">
        <f t="shared" si="4"/>
        <v>320.03868912152933</v>
      </c>
      <c r="I19" s="1716">
        <f t="shared" si="4"/>
        <v>307.72950877070127</v>
      </c>
      <c r="J19" s="1716">
        <f t="shared" si="4"/>
        <v>295.89375843336654</v>
      </c>
      <c r="K19" s="1716">
        <f t="shared" si="4"/>
        <v>284.51322926285246</v>
      </c>
      <c r="L19" s="1716">
        <f t="shared" si="4"/>
        <v>273.57041275274281</v>
      </c>
      <c r="M19" s="1716">
        <f t="shared" si="4"/>
        <v>263.04847380071413</v>
      </c>
      <c r="N19" s="1716">
        <f t="shared" si="4"/>
        <v>252.93122480837897</v>
      </c>
      <c r="O19" s="1716">
        <f t="shared" si="4"/>
        <v>243.20310077728746</v>
      </c>
      <c r="P19" s="1716">
        <f t="shared" si="4"/>
        <v>233.84913536277645</v>
      </c>
      <c r="Q19" s="1716">
        <f t="shared" si="4"/>
        <v>224.85493784882345</v>
      </c>
      <c r="R19" s="1716">
        <f t="shared" si="4"/>
        <v>216.20667100848408</v>
      </c>
      <c r="S19" s="1716">
        <f t="shared" si="4"/>
        <v>207.89102981585009</v>
      </c>
      <c r="T19" s="1579">
        <f t="shared" ref="T19:T26" si="5">SUM(E19:S19)</f>
        <v>4162.7242546037432</v>
      </c>
      <c r="U19" s="804"/>
      <c r="V19" s="1354"/>
    </row>
    <row r="20" spans="1:22" s="775" customFormat="1">
      <c r="A20" s="1362"/>
      <c r="B20" s="1379" t="s">
        <v>16</v>
      </c>
      <c r="C20" s="775" t="s">
        <v>1017</v>
      </c>
      <c r="D20" s="1559" t="s">
        <v>873</v>
      </c>
      <c r="E20" s="1713">
        <f t="shared" ref="E20:S20" si="6">E7*E18</f>
        <v>-400</v>
      </c>
      <c r="F20" s="1714">
        <f t="shared" si="6"/>
        <v>-384.61538461538458</v>
      </c>
      <c r="G20" s="1714">
        <f t="shared" si="6"/>
        <v>-369.82248520710056</v>
      </c>
      <c r="H20" s="1714">
        <f t="shared" si="6"/>
        <v>-355.59854346836596</v>
      </c>
      <c r="I20" s="1714">
        <f t="shared" si="6"/>
        <v>-341.9216764118903</v>
      </c>
      <c r="J20" s="1714">
        <f t="shared" si="6"/>
        <v>-328.77084270374064</v>
      </c>
      <c r="K20" s="1714">
        <f t="shared" si="6"/>
        <v>-316.1258102920583</v>
      </c>
      <c r="L20" s="1714">
        <f t="shared" si="6"/>
        <v>-303.96712528082531</v>
      </c>
      <c r="M20" s="1714">
        <f t="shared" si="6"/>
        <v>-292.27608200079351</v>
      </c>
      <c r="N20" s="1714">
        <f t="shared" si="6"/>
        <v>-281.03469423153217</v>
      </c>
      <c r="O20" s="1714">
        <f t="shared" si="6"/>
        <v>-270.22566753031941</v>
      </c>
      <c r="P20" s="1714">
        <f t="shared" si="6"/>
        <v>-259.83237262530719</v>
      </c>
      <c r="Q20" s="1714">
        <f t="shared" si="6"/>
        <v>-249.83881983202605</v>
      </c>
      <c r="R20" s="1714">
        <f t="shared" si="6"/>
        <v>-240.2296344538712</v>
      </c>
      <c r="S20" s="1714">
        <f t="shared" si="6"/>
        <v>-230.99003312872233</v>
      </c>
      <c r="T20" s="1582">
        <f t="shared" si="5"/>
        <v>-4625.2491717819366</v>
      </c>
      <c r="U20" s="804"/>
    </row>
    <row r="21" spans="1:22" s="775" customFormat="1">
      <c r="A21" s="1362"/>
      <c r="B21" s="1379" t="s">
        <v>19</v>
      </c>
      <c r="C21" s="1379" t="s">
        <v>25</v>
      </c>
      <c r="D21" s="1686" t="s">
        <v>873</v>
      </c>
      <c r="E21" s="1713">
        <f>E8*E18</f>
        <v>-34950</v>
      </c>
      <c r="F21" s="1714">
        <f t="shared" ref="F21:S21" si="7">F8*F18</f>
        <v>-9100.9615384615372</v>
      </c>
      <c r="G21" s="1714">
        <f t="shared" si="7"/>
        <v>-26534.763313609463</v>
      </c>
      <c r="H21" s="1714">
        <f t="shared" si="7"/>
        <v>0</v>
      </c>
      <c r="I21" s="1714">
        <f t="shared" si="7"/>
        <v>0</v>
      </c>
      <c r="J21" s="1714">
        <f t="shared" si="7"/>
        <v>0</v>
      </c>
      <c r="K21" s="1714">
        <f t="shared" si="7"/>
        <v>0</v>
      </c>
      <c r="L21" s="1714">
        <f t="shared" si="7"/>
        <v>0</v>
      </c>
      <c r="M21" s="1714">
        <f t="shared" si="7"/>
        <v>0</v>
      </c>
      <c r="N21" s="1714">
        <f t="shared" si="7"/>
        <v>0</v>
      </c>
      <c r="O21" s="1714">
        <f t="shared" si="7"/>
        <v>0</v>
      </c>
      <c r="P21" s="1714">
        <f t="shared" si="7"/>
        <v>0</v>
      </c>
      <c r="Q21" s="1714">
        <f t="shared" si="7"/>
        <v>0</v>
      </c>
      <c r="R21" s="1714">
        <f t="shared" si="7"/>
        <v>0</v>
      </c>
      <c r="S21" s="1714">
        <f t="shared" si="7"/>
        <v>0</v>
      </c>
      <c r="T21" s="1582">
        <f t="shared" si="5"/>
        <v>-70585.724852070998</v>
      </c>
      <c r="U21" s="804"/>
      <c r="V21" s="1349"/>
    </row>
    <row r="22" spans="1:22" s="1677" customFormat="1">
      <c r="A22" s="1433"/>
      <c r="B22" s="1671" t="s">
        <v>206</v>
      </c>
      <c r="C22" s="1671" t="s">
        <v>1003</v>
      </c>
      <c r="D22" s="1672" t="s">
        <v>873</v>
      </c>
      <c r="E22" s="1673">
        <f>'3. DL invest.n.pl.AR pr.'!F25*E18</f>
        <v>-31450</v>
      </c>
      <c r="F22" s="1674">
        <f>'3. DL invest.n.pl.AR pr.'!G25*F18</f>
        <v>-5735.5769230769229</v>
      </c>
      <c r="G22" s="1674">
        <f>'3. DL invest.n.pl.AR pr.'!H25*G18</f>
        <v>-23298.816568047336</v>
      </c>
      <c r="H22" s="1674">
        <f>'3. DL invest.n.pl.AR pr.'!I25*H18</f>
        <v>0</v>
      </c>
      <c r="I22" s="1674">
        <f>'3. DL invest.n.pl.AR pr.'!J25*I18</f>
        <v>0</v>
      </c>
      <c r="J22" s="1674">
        <f>'3. DL invest.n.pl.AR pr.'!K25*J18</f>
        <v>0</v>
      </c>
      <c r="K22" s="1674">
        <f>'3. DL invest.n.pl.AR pr.'!L25*K18</f>
        <v>0</v>
      </c>
      <c r="L22" s="1674">
        <f>'3. DL invest.n.pl.AR pr.'!M25*L18</f>
        <v>0</v>
      </c>
      <c r="M22" s="1674">
        <f>'3. DL invest.n.pl.AR pr.'!N25*M18</f>
        <v>0</v>
      </c>
      <c r="N22" s="1674">
        <f>'3. DL invest.n.pl.AR pr.'!O25*N18</f>
        <v>0</v>
      </c>
      <c r="O22" s="1674">
        <f>'3. DL invest.n.pl.AR pr.'!P25*O18</f>
        <v>0</v>
      </c>
      <c r="P22" s="1674">
        <f>'3. DL invest.n.pl.AR pr.'!Q25*P18</f>
        <v>0</v>
      </c>
      <c r="Q22" s="1674">
        <f>'3. DL invest.n.pl.AR pr.'!R25*Q18</f>
        <v>0</v>
      </c>
      <c r="R22" s="1674">
        <f>'3. DL invest.n.pl.AR pr.'!S25*R18</f>
        <v>0</v>
      </c>
      <c r="S22" s="1674">
        <f>'3. DL invest.n.pl.AR pr.'!T25*S18</f>
        <v>0</v>
      </c>
      <c r="T22" s="1670">
        <f t="shared" si="5"/>
        <v>-60484.393491124254</v>
      </c>
      <c r="U22" s="1675"/>
      <c r="V22" s="1676"/>
    </row>
    <row r="23" spans="1:22" s="1677" customFormat="1">
      <c r="A23" s="1433"/>
      <c r="B23" s="1671" t="s">
        <v>1196</v>
      </c>
      <c r="C23" s="1671" t="s">
        <v>1198</v>
      </c>
      <c r="D23" s="1672" t="s">
        <v>873</v>
      </c>
      <c r="E23" s="1673">
        <f>E10*E18</f>
        <v>-30750</v>
      </c>
      <c r="F23" s="1674">
        <f>F10*F18</f>
        <v>-5543.2692307692305</v>
      </c>
      <c r="G23" s="1674">
        <f t="shared" ref="G23:S23" si="8">G10*G18</f>
        <v>-23113.905325443786</v>
      </c>
      <c r="H23" s="1674">
        <f t="shared" si="8"/>
        <v>0</v>
      </c>
      <c r="I23" s="1674">
        <f t="shared" si="8"/>
        <v>0</v>
      </c>
      <c r="J23" s="1674">
        <f t="shared" si="8"/>
        <v>0</v>
      </c>
      <c r="K23" s="1674">
        <f t="shared" si="8"/>
        <v>0</v>
      </c>
      <c r="L23" s="1674">
        <f t="shared" si="8"/>
        <v>0</v>
      </c>
      <c r="M23" s="1674">
        <f t="shared" si="8"/>
        <v>0</v>
      </c>
      <c r="N23" s="1674">
        <f t="shared" si="8"/>
        <v>0</v>
      </c>
      <c r="O23" s="1674">
        <f t="shared" si="8"/>
        <v>0</v>
      </c>
      <c r="P23" s="1674">
        <f t="shared" si="8"/>
        <v>0</v>
      </c>
      <c r="Q23" s="1674">
        <f t="shared" si="8"/>
        <v>0</v>
      </c>
      <c r="R23" s="1674">
        <f t="shared" si="8"/>
        <v>0</v>
      </c>
      <c r="S23" s="1674">
        <f t="shared" si="8"/>
        <v>0</v>
      </c>
      <c r="T23" s="1670">
        <f t="shared" si="5"/>
        <v>-59407.174556213024</v>
      </c>
      <c r="U23" s="1675"/>
      <c r="V23" s="1676"/>
    </row>
    <row r="24" spans="1:22" s="1677" customFormat="1">
      <c r="A24" s="1433"/>
      <c r="B24" s="1671" t="s">
        <v>1197</v>
      </c>
      <c r="C24" s="1671" t="s">
        <v>1199</v>
      </c>
      <c r="D24" s="1672" t="s">
        <v>873</v>
      </c>
      <c r="E24" s="1673">
        <f>E11*E18</f>
        <v>-700</v>
      </c>
      <c r="F24" s="1674">
        <f>F11*F18</f>
        <v>-192.30769230769229</v>
      </c>
      <c r="G24" s="1674">
        <f t="shared" ref="G24:S24" si="9">G11*G18</f>
        <v>-184.91124260355028</v>
      </c>
      <c r="H24" s="1674">
        <f t="shared" si="9"/>
        <v>0</v>
      </c>
      <c r="I24" s="1674">
        <f t="shared" si="9"/>
        <v>0</v>
      </c>
      <c r="J24" s="1674">
        <f t="shared" si="9"/>
        <v>0</v>
      </c>
      <c r="K24" s="1674">
        <f t="shared" si="9"/>
        <v>0</v>
      </c>
      <c r="L24" s="1674">
        <f t="shared" si="9"/>
        <v>0</v>
      </c>
      <c r="M24" s="1674">
        <f t="shared" si="9"/>
        <v>0</v>
      </c>
      <c r="N24" s="1674">
        <f t="shared" si="9"/>
        <v>0</v>
      </c>
      <c r="O24" s="1674">
        <f t="shared" si="9"/>
        <v>0</v>
      </c>
      <c r="P24" s="1674">
        <f t="shared" si="9"/>
        <v>0</v>
      </c>
      <c r="Q24" s="1674">
        <f t="shared" si="9"/>
        <v>0</v>
      </c>
      <c r="R24" s="1674">
        <f t="shared" si="9"/>
        <v>0</v>
      </c>
      <c r="S24" s="1674">
        <f t="shared" si="9"/>
        <v>0</v>
      </c>
      <c r="T24" s="1670">
        <f t="shared" si="5"/>
        <v>-1077.2189349112425</v>
      </c>
      <c r="U24" s="1675"/>
      <c r="V24" s="1676"/>
    </row>
    <row r="25" spans="1:22" s="778" customFormat="1">
      <c r="A25" s="1363"/>
      <c r="B25" s="775" t="s">
        <v>22</v>
      </c>
      <c r="C25" s="1379" t="s">
        <v>27</v>
      </c>
      <c r="D25" s="1686" t="s">
        <v>873</v>
      </c>
      <c r="E25" s="1580">
        <f t="shared" ref="E25:S25" si="10">E12*E18</f>
        <v>0</v>
      </c>
      <c r="F25" s="1581">
        <f t="shared" si="10"/>
        <v>0</v>
      </c>
      <c r="G25" s="1581">
        <f t="shared" si="10"/>
        <v>0</v>
      </c>
      <c r="H25" s="1581">
        <f t="shared" si="10"/>
        <v>0</v>
      </c>
      <c r="I25" s="1581">
        <f t="shared" si="10"/>
        <v>0</v>
      </c>
      <c r="J25" s="1581">
        <f t="shared" si="10"/>
        <v>0</v>
      </c>
      <c r="K25" s="1581">
        <f t="shared" si="10"/>
        <v>0</v>
      </c>
      <c r="L25" s="1581">
        <f t="shared" si="10"/>
        <v>0</v>
      </c>
      <c r="M25" s="1581">
        <f t="shared" si="10"/>
        <v>0</v>
      </c>
      <c r="N25" s="1581">
        <f t="shared" si="10"/>
        <v>0</v>
      </c>
      <c r="O25" s="1581">
        <f t="shared" si="10"/>
        <v>0</v>
      </c>
      <c r="P25" s="1581">
        <f t="shared" si="10"/>
        <v>0</v>
      </c>
      <c r="Q25" s="1581">
        <f t="shared" si="10"/>
        <v>0</v>
      </c>
      <c r="R25" s="1581">
        <f t="shared" si="10"/>
        <v>0</v>
      </c>
      <c r="S25" s="1581">
        <f t="shared" si="10"/>
        <v>577.47508282180581</v>
      </c>
      <c r="T25" s="1582">
        <f t="shared" si="5"/>
        <v>577.47508282180581</v>
      </c>
      <c r="U25" s="805"/>
    </row>
    <row r="26" spans="1:22" s="778" customFormat="1">
      <c r="A26" s="1401"/>
      <c r="B26" s="1371" t="s">
        <v>23</v>
      </c>
      <c r="C26" s="1371" t="s">
        <v>29</v>
      </c>
      <c r="D26" s="1560" t="s">
        <v>873</v>
      </c>
      <c r="E26" s="1583">
        <f t="shared" ref="E26:S26" si="11">E13*E18</f>
        <v>-34990</v>
      </c>
      <c r="F26" s="1584">
        <f t="shared" si="11"/>
        <v>-9139.4230769230762</v>
      </c>
      <c r="G26" s="1584">
        <f t="shared" si="11"/>
        <v>-26571.745562130174</v>
      </c>
      <c r="H26" s="1584">
        <f t="shared" si="11"/>
        <v>-35.559854346836595</v>
      </c>
      <c r="I26" s="1584">
        <f t="shared" si="11"/>
        <v>-34.19216764118903</v>
      </c>
      <c r="J26" s="1584">
        <f t="shared" si="11"/>
        <v>-32.877084270374063</v>
      </c>
      <c r="K26" s="1584">
        <f t="shared" si="11"/>
        <v>-31.612581029205828</v>
      </c>
      <c r="L26" s="1584">
        <f t="shared" si="11"/>
        <v>-30.396712528082531</v>
      </c>
      <c r="M26" s="1584">
        <f t="shared" si="11"/>
        <v>-29.227608200079352</v>
      </c>
      <c r="N26" s="1584">
        <f t="shared" si="11"/>
        <v>-28.103469423153218</v>
      </c>
      <c r="O26" s="1584">
        <f t="shared" si="11"/>
        <v>-27.022566753031938</v>
      </c>
      <c r="P26" s="1584">
        <f t="shared" si="11"/>
        <v>-25.983237262530714</v>
      </c>
      <c r="Q26" s="1584">
        <f t="shared" si="11"/>
        <v>-24.983881983202604</v>
      </c>
      <c r="R26" s="1584">
        <f t="shared" si="11"/>
        <v>-24.02296344538712</v>
      </c>
      <c r="S26" s="1584">
        <f t="shared" si="11"/>
        <v>554.37607950893357</v>
      </c>
      <c r="T26" s="1585">
        <f t="shared" si="5"/>
        <v>-70470.774686427365</v>
      </c>
      <c r="U26" s="1377"/>
    </row>
    <row r="27" spans="1:22" s="778" customFormat="1">
      <c r="E27" s="1400"/>
      <c r="F27" s="1400"/>
      <c r="G27" s="1400"/>
      <c r="H27" s="1400"/>
      <c r="I27" s="1400"/>
      <c r="J27" s="1400"/>
      <c r="K27" s="1400"/>
      <c r="L27" s="1400"/>
      <c r="M27" s="1400"/>
      <c r="N27" s="1400"/>
      <c r="O27" s="1400"/>
      <c r="P27" s="1400"/>
      <c r="Q27" s="1400"/>
      <c r="R27" s="1400"/>
      <c r="S27" s="1400"/>
      <c r="T27" s="1400"/>
      <c r="U27" s="805"/>
    </row>
    <row r="28" spans="1:22" s="754" customFormat="1" ht="15">
      <c r="A28" s="1561">
        <v>3</v>
      </c>
      <c r="B28" s="1562" t="s">
        <v>30</v>
      </c>
      <c r="C28" s="1562"/>
      <c r="D28" s="1562"/>
      <c r="E28" s="1563"/>
      <c r="F28" s="1563"/>
      <c r="G28" s="1563"/>
      <c r="H28" s="1563"/>
      <c r="I28" s="1563"/>
      <c r="J28" s="1563"/>
      <c r="K28" s="1563"/>
      <c r="L28" s="1563"/>
      <c r="M28" s="1563"/>
      <c r="N28" s="1563"/>
      <c r="O28" s="1563"/>
      <c r="P28" s="1563"/>
      <c r="Q28" s="1563"/>
      <c r="R28" s="1563"/>
      <c r="S28" s="1563"/>
      <c r="T28" s="1564"/>
      <c r="U28" s="804"/>
    </row>
    <row r="29" spans="1:22">
      <c r="A29" s="775"/>
      <c r="B29" s="775"/>
      <c r="C29" s="775"/>
      <c r="D29" s="1390"/>
      <c r="E29" s="1390"/>
      <c r="F29" s="1427" t="s">
        <v>31</v>
      </c>
      <c r="G29" s="1426"/>
      <c r="H29" s="1499" t="s">
        <v>32</v>
      </c>
      <c r="I29" s="775"/>
      <c r="J29" s="775"/>
      <c r="K29" s="775"/>
      <c r="L29" s="775"/>
      <c r="M29" s="775"/>
      <c r="N29" s="775"/>
      <c r="O29" s="775"/>
      <c r="P29" s="775"/>
      <c r="Q29" s="775"/>
      <c r="R29" s="775"/>
      <c r="S29" s="775"/>
      <c r="T29" s="775"/>
      <c r="V29" s="750"/>
    </row>
    <row r="30" spans="1:22" s="757" customFormat="1">
      <c r="A30" s="778"/>
      <c r="B30" s="1379" t="s">
        <v>33</v>
      </c>
      <c r="C30" s="775" t="s">
        <v>974</v>
      </c>
      <c r="D30" s="775" t="s">
        <v>873</v>
      </c>
      <c r="E30" s="1402"/>
      <c r="F30" s="2061">
        <f>T6</f>
        <v>5400</v>
      </c>
      <c r="G30" s="1400"/>
      <c r="H30" s="2061">
        <f>T19</f>
        <v>4162.7242546037432</v>
      </c>
      <c r="I30" s="775"/>
      <c r="J30" s="775"/>
      <c r="K30" s="775"/>
      <c r="L30" s="775"/>
      <c r="M30" s="775"/>
      <c r="N30" s="775"/>
      <c r="O30" s="775"/>
      <c r="P30" s="775"/>
      <c r="Q30" s="775"/>
      <c r="R30" s="775"/>
      <c r="S30" s="775"/>
      <c r="T30" s="778"/>
      <c r="U30" s="778"/>
      <c r="V30" s="756"/>
    </row>
    <row r="31" spans="1:22" s="757" customFormat="1">
      <c r="A31" s="778"/>
      <c r="B31" s="1379" t="s">
        <v>34</v>
      </c>
      <c r="C31" s="775" t="s">
        <v>1015</v>
      </c>
      <c r="D31" s="775" t="s">
        <v>873</v>
      </c>
      <c r="E31" s="1402"/>
      <c r="F31" s="2062">
        <f>T7</f>
        <v>-6000</v>
      </c>
      <c r="G31" s="1400"/>
      <c r="H31" s="2062">
        <f>T20</f>
        <v>-4625.2491717819366</v>
      </c>
      <c r="I31" s="775"/>
      <c r="J31" s="775"/>
      <c r="K31" s="775"/>
      <c r="L31" s="775"/>
      <c r="M31" s="775"/>
      <c r="N31" s="775"/>
      <c r="O31" s="775"/>
      <c r="P31" s="775"/>
      <c r="Q31" s="775"/>
      <c r="R31" s="775"/>
      <c r="S31" s="775"/>
      <c r="T31" s="778"/>
      <c r="U31" s="778"/>
    </row>
    <row r="32" spans="1:22" s="757" customFormat="1">
      <c r="A32" s="778"/>
      <c r="B32" s="1379" t="s">
        <v>35</v>
      </c>
      <c r="C32" s="1699" t="s">
        <v>1026</v>
      </c>
      <c r="D32" s="1379" t="s">
        <v>873</v>
      </c>
      <c r="E32" s="1402"/>
      <c r="F32" s="2062">
        <f>T9</f>
        <v>-62615</v>
      </c>
      <c r="G32" s="1400"/>
      <c r="H32" s="2062">
        <f>T22</f>
        <v>-60484.393491124254</v>
      </c>
      <c r="I32" s="775"/>
      <c r="J32" s="775"/>
      <c r="K32" s="775"/>
      <c r="L32" s="775"/>
      <c r="M32" s="775"/>
      <c r="N32" s="775"/>
      <c r="O32" s="775"/>
      <c r="P32" s="775"/>
      <c r="Q32" s="775"/>
      <c r="R32" s="775"/>
      <c r="S32" s="775"/>
      <c r="T32" s="778"/>
      <c r="U32" s="778"/>
      <c r="V32" s="760"/>
    </row>
    <row r="33" spans="1:22" s="757" customFormat="1">
      <c r="A33" s="778"/>
      <c r="B33" s="775" t="s">
        <v>36</v>
      </c>
      <c r="C33" s="1379" t="s">
        <v>10</v>
      </c>
      <c r="D33" s="1379" t="s">
        <v>873</v>
      </c>
      <c r="E33" s="1402"/>
      <c r="F33" s="2062">
        <f>T12</f>
        <v>1000</v>
      </c>
      <c r="G33" s="1400"/>
      <c r="H33" s="2062">
        <f>T25</f>
        <v>577.47508282180581</v>
      </c>
      <c r="I33" s="775"/>
      <c r="J33" s="775"/>
      <c r="K33" s="775"/>
      <c r="L33" s="775"/>
      <c r="M33" s="775"/>
      <c r="N33" s="775"/>
      <c r="O33" s="775"/>
      <c r="P33" s="775"/>
      <c r="Q33" s="775"/>
      <c r="R33" s="775"/>
      <c r="S33" s="775"/>
      <c r="T33" s="778"/>
      <c r="U33" s="778"/>
    </row>
    <row r="34" spans="1:22" s="757" customFormat="1">
      <c r="A34" s="778"/>
      <c r="B34" s="775" t="s">
        <v>80</v>
      </c>
      <c r="C34" s="775" t="s">
        <v>12</v>
      </c>
      <c r="D34" s="775" t="s">
        <v>873</v>
      </c>
      <c r="E34" s="1402"/>
      <c r="F34" s="2062">
        <f>T13</f>
        <v>-72715</v>
      </c>
      <c r="G34" s="1400"/>
      <c r="H34" s="2062">
        <f>T26</f>
        <v>-70470.774686427365</v>
      </c>
      <c r="I34" s="775"/>
      <c r="J34" s="775"/>
      <c r="K34" s="775"/>
      <c r="L34" s="775"/>
      <c r="M34" s="775"/>
      <c r="N34" s="775"/>
      <c r="O34" s="775"/>
      <c r="P34" s="775"/>
      <c r="Q34" s="775"/>
      <c r="R34" s="775"/>
      <c r="S34" s="775"/>
      <c r="T34" s="778"/>
      <c r="U34" s="778"/>
    </row>
    <row r="35" spans="1:22" s="778" customFormat="1">
      <c r="E35" s="1402"/>
      <c r="F35" s="1971"/>
      <c r="G35" s="1400"/>
      <c r="H35" s="1971"/>
      <c r="I35" s="775"/>
      <c r="J35" s="775"/>
      <c r="K35" s="775"/>
      <c r="L35" s="775"/>
      <c r="M35" s="775"/>
      <c r="N35" s="775"/>
      <c r="O35" s="775"/>
      <c r="P35" s="775"/>
      <c r="Q35" s="775"/>
      <c r="R35" s="775"/>
      <c r="S35" s="775"/>
    </row>
    <row r="36" spans="1:22" s="754" customFormat="1" ht="15">
      <c r="A36" s="1561">
        <v>4</v>
      </c>
      <c r="B36" s="1562" t="s">
        <v>38</v>
      </c>
      <c r="C36" s="1562"/>
      <c r="D36" s="1563"/>
      <c r="E36" s="1563"/>
      <c r="F36" s="1563"/>
      <c r="G36" s="1563"/>
      <c r="H36" s="1564"/>
      <c r="I36" s="775"/>
      <c r="J36" s="775"/>
      <c r="K36" s="775"/>
      <c r="L36" s="775"/>
      <c r="M36" s="775"/>
      <c r="N36" s="775"/>
      <c r="O36" s="775"/>
      <c r="P36" s="775"/>
      <c r="Q36" s="775"/>
      <c r="R36" s="775"/>
      <c r="S36" s="775"/>
      <c r="T36" s="778"/>
      <c r="U36" s="778"/>
      <c r="V36" s="804"/>
    </row>
    <row r="37" spans="1:22" s="775" customFormat="1" ht="38.25">
      <c r="D37" s="1390"/>
      <c r="E37" s="1390"/>
      <c r="F37" s="1586" t="s">
        <v>1039</v>
      </c>
      <c r="G37" s="1587" t="s">
        <v>1040</v>
      </c>
      <c r="H37" s="1390"/>
      <c r="T37" s="778"/>
      <c r="U37" s="778"/>
      <c r="V37" s="804"/>
    </row>
    <row r="38" spans="1:22" s="778" customFormat="1">
      <c r="B38" s="2063" t="s">
        <v>39</v>
      </c>
      <c r="C38" s="1369" t="s">
        <v>72</v>
      </c>
      <c r="D38" s="1687"/>
      <c r="E38" s="1687"/>
      <c r="F38" s="2064">
        <f>H34</f>
        <v>-70470.774686427365</v>
      </c>
      <c r="G38" s="1966">
        <f>F38</f>
        <v>-70470.774686427365</v>
      </c>
      <c r="H38" s="1570"/>
      <c r="I38" s="775"/>
      <c r="J38" s="775"/>
      <c r="K38" s="775"/>
      <c r="L38" s="775"/>
      <c r="M38" s="775"/>
      <c r="N38" s="775"/>
      <c r="O38" s="775"/>
      <c r="P38" s="775"/>
      <c r="Q38" s="775"/>
      <c r="R38" s="775"/>
      <c r="S38" s="775"/>
    </row>
    <row r="39" spans="1:22" s="778" customFormat="1">
      <c r="B39" s="1378" t="s">
        <v>55</v>
      </c>
      <c r="C39" s="1379" t="s">
        <v>73</v>
      </c>
      <c r="D39" s="1387"/>
      <c r="E39" s="1387"/>
      <c r="F39" s="2065">
        <f>IRR(E13:S13,G46)</f>
        <v>-0.29046440931111461</v>
      </c>
      <c r="G39" s="2066">
        <f>F39</f>
        <v>-0.29046440931111461</v>
      </c>
      <c r="H39" s="1570"/>
      <c r="I39" s="775"/>
      <c r="J39" s="775"/>
      <c r="K39" s="775"/>
      <c r="L39" s="775"/>
      <c r="M39" s="775"/>
      <c r="N39" s="775"/>
      <c r="O39" s="775"/>
      <c r="P39" s="775"/>
      <c r="Q39" s="775"/>
      <c r="R39" s="775"/>
      <c r="S39" s="775"/>
      <c r="V39" s="815"/>
    </row>
    <row r="40" spans="1:22" s="778" customFormat="1">
      <c r="B40" s="1378" t="s">
        <v>41</v>
      </c>
      <c r="C40" s="775" t="s">
        <v>1038</v>
      </c>
      <c r="D40" s="1387"/>
      <c r="E40" s="1387"/>
      <c r="F40" s="2067">
        <f>$H$30+$H$31+$H$33</f>
        <v>114.95016564361242</v>
      </c>
      <c r="G40" s="1967">
        <f>F40</f>
        <v>114.95016564361242</v>
      </c>
      <c r="H40" s="775"/>
      <c r="I40" s="775"/>
      <c r="J40" s="775"/>
      <c r="K40" s="775"/>
      <c r="L40" s="775"/>
      <c r="M40" s="775"/>
      <c r="N40" s="775"/>
      <c r="O40" s="775"/>
      <c r="P40" s="775"/>
      <c r="Q40" s="775"/>
      <c r="R40" s="775"/>
      <c r="S40" s="775"/>
    </row>
    <row r="41" spans="1:22" s="778" customFormat="1">
      <c r="B41" s="1378" t="s">
        <v>54</v>
      </c>
      <c r="C41" s="1379" t="s">
        <v>105</v>
      </c>
      <c r="D41" s="1387"/>
      <c r="E41" s="1387"/>
      <c r="F41" s="2067">
        <f>H32+$F$40</f>
        <v>-60369.443325480643</v>
      </c>
      <c r="G41" s="1967">
        <f>H32</f>
        <v>-60484.393491124254</v>
      </c>
      <c r="H41" s="775"/>
      <c r="I41" s="775"/>
      <c r="J41" s="775"/>
      <c r="K41" s="775"/>
      <c r="L41" s="775"/>
      <c r="M41" s="775"/>
      <c r="N41" s="775"/>
      <c r="O41" s="775"/>
      <c r="P41" s="775"/>
      <c r="Q41" s="775"/>
      <c r="R41" s="775"/>
      <c r="S41" s="775"/>
      <c r="V41" s="815"/>
    </row>
    <row r="42" spans="1:22" s="778" customFormat="1">
      <c r="B42" s="1378" t="s">
        <v>43</v>
      </c>
      <c r="C42" s="775" t="s">
        <v>106</v>
      </c>
      <c r="D42" s="1387"/>
      <c r="E42" s="1387"/>
      <c r="F42" s="2065">
        <f>IF(HIDDEN!B2=2,IF(F41/H32&lt;0%,0%,F41/H32),100%)</f>
        <v>0.99809950701315242</v>
      </c>
      <c r="G42" s="2066">
        <f>G41/H32</f>
        <v>1</v>
      </c>
      <c r="H42" s="1570" t="s">
        <v>1046</v>
      </c>
      <c r="I42" s="775"/>
      <c r="J42" s="775"/>
      <c r="K42" s="775"/>
      <c r="L42" s="775"/>
      <c r="M42" s="775"/>
      <c r="N42" s="775"/>
      <c r="O42" s="775"/>
      <c r="P42" s="775"/>
      <c r="Q42" s="775"/>
      <c r="R42" s="775"/>
      <c r="S42" s="775"/>
    </row>
    <row r="43" spans="1:22" s="778" customFormat="1">
      <c r="B43" s="1378" t="s">
        <v>44</v>
      </c>
      <c r="C43" s="1379" t="s">
        <v>107</v>
      </c>
      <c r="D43" s="1387"/>
      <c r="E43" s="1387"/>
      <c r="F43" s="2067">
        <f>'8. AL budžets kopā'!F16</f>
        <v>70515</v>
      </c>
      <c r="G43" s="1967">
        <f>F43</f>
        <v>70515</v>
      </c>
      <c r="H43" s="775"/>
      <c r="I43" s="775"/>
      <c r="J43" s="775"/>
      <c r="K43" s="775"/>
      <c r="L43" s="775"/>
      <c r="M43" s="775"/>
      <c r="N43" s="775"/>
      <c r="O43" s="775"/>
      <c r="P43" s="775"/>
      <c r="Q43" s="775"/>
      <c r="R43" s="775"/>
      <c r="S43" s="775"/>
      <c r="V43" s="815"/>
    </row>
    <row r="44" spans="1:22" s="778" customFormat="1">
      <c r="B44" s="1378" t="s">
        <v>76</v>
      </c>
      <c r="C44" s="775" t="s">
        <v>108</v>
      </c>
      <c r="D44" s="1387"/>
      <c r="E44" s="1387"/>
      <c r="F44" s="2067">
        <f>IF(F40&gt;0, F43*F42, 0)</f>
        <v>70380.98673703245</v>
      </c>
      <c r="G44" s="1967">
        <f>IF(G40&lt;=0, G43*G42, 0)</f>
        <v>0</v>
      </c>
      <c r="H44" s="775"/>
      <c r="I44" s="775"/>
      <c r="J44" s="775"/>
      <c r="K44" s="775"/>
      <c r="L44" s="775"/>
      <c r="M44" s="775"/>
      <c r="N44" s="775"/>
      <c r="O44" s="775"/>
      <c r="P44" s="775"/>
      <c r="Q44" s="775"/>
      <c r="R44" s="775"/>
      <c r="S44" s="775"/>
    </row>
    <row r="45" spans="1:22" s="778" customFormat="1">
      <c r="B45" s="2068" t="s">
        <v>77</v>
      </c>
      <c r="C45" s="1688" t="s">
        <v>886</v>
      </c>
      <c r="D45" s="1689"/>
      <c r="E45" s="1689"/>
      <c r="F45" s="2069">
        <f>F44*'8. AL budžets kopā'!C16</f>
        <v>59823.838726477588</v>
      </c>
      <c r="G45" s="1970">
        <f>G44*'8. AL budžets kopā'!C16</f>
        <v>0</v>
      </c>
      <c r="H45" s="775"/>
      <c r="I45" s="775"/>
      <c r="J45" s="775"/>
      <c r="K45" s="775"/>
      <c r="L45" s="775"/>
      <c r="M45" s="775"/>
      <c r="N45" s="775"/>
      <c r="O45" s="775"/>
      <c r="P45" s="775"/>
      <c r="Q45" s="775"/>
      <c r="R45" s="775"/>
      <c r="S45" s="775"/>
      <c r="V45" s="815"/>
    </row>
    <row r="46" spans="1:22" s="778" customFormat="1">
      <c r="B46" s="796"/>
      <c r="C46" s="775" t="s">
        <v>1208</v>
      </c>
      <c r="D46" s="775"/>
      <c r="E46" s="775"/>
      <c r="F46" s="775"/>
      <c r="G46" s="2147">
        <f>'6.DL  jut. analīze-Inv.'!J55</f>
        <v>-0.6</v>
      </c>
      <c r="H46" s="775"/>
      <c r="I46" s="775"/>
      <c r="J46" s="775"/>
      <c r="K46" s="775"/>
      <c r="L46" s="775"/>
      <c r="M46" s="775"/>
      <c r="N46" s="775"/>
      <c r="O46" s="775"/>
      <c r="P46" s="775"/>
      <c r="Q46" s="775"/>
      <c r="R46" s="775"/>
      <c r="S46" s="775"/>
      <c r="V46" s="815"/>
    </row>
    <row r="47" spans="1:22" s="775" customFormat="1" ht="15">
      <c r="A47" s="1561"/>
      <c r="B47" s="1562"/>
      <c r="C47" s="1562"/>
      <c r="D47" s="1562"/>
      <c r="E47" s="1563"/>
      <c r="F47" s="1563"/>
      <c r="G47" s="1563"/>
      <c r="H47" s="1563"/>
      <c r="I47" s="1563"/>
      <c r="J47" s="1563"/>
      <c r="K47" s="1563"/>
      <c r="L47" s="1563"/>
      <c r="M47" s="1563"/>
      <c r="N47" s="1563"/>
      <c r="O47" s="1563"/>
      <c r="P47" s="1563"/>
      <c r="Q47" s="1563"/>
      <c r="R47" s="1563"/>
      <c r="S47" s="1563"/>
      <c r="T47" s="1564"/>
      <c r="U47" s="804"/>
    </row>
    <row r="48" spans="1:22" s="775" customFormat="1">
      <c r="C48" s="2070"/>
      <c r="D48" s="1343"/>
      <c r="U48" s="804"/>
    </row>
    <row r="49" spans="1:21" s="775" customFormat="1">
      <c r="C49" s="2070"/>
      <c r="D49" s="1343"/>
      <c r="U49" s="804"/>
    </row>
    <row r="50" spans="1:21" s="775" customFormat="1">
      <c r="A50" s="804"/>
      <c r="B50" s="804"/>
      <c r="C50" s="1765"/>
      <c r="D50" s="806"/>
      <c r="E50" s="804"/>
      <c r="F50" s="804"/>
      <c r="G50" s="804"/>
      <c r="H50" s="804"/>
      <c r="I50" s="804"/>
      <c r="J50" s="804"/>
      <c r="K50" s="804"/>
      <c r="L50" s="804"/>
      <c r="M50" s="804"/>
      <c r="N50" s="804"/>
      <c r="O50" s="804"/>
      <c r="P50" s="804"/>
      <c r="Q50" s="804"/>
      <c r="R50" s="804"/>
      <c r="S50" s="804"/>
      <c r="T50" s="804"/>
      <c r="U50" s="804"/>
    </row>
    <row r="51" spans="1:21" s="775" customFormat="1">
      <c r="A51" s="804"/>
      <c r="B51" s="804"/>
      <c r="C51" s="1765"/>
      <c r="D51" s="806"/>
      <c r="E51" s="804"/>
      <c r="F51" s="804"/>
      <c r="G51" s="804"/>
      <c r="H51" s="804"/>
      <c r="I51" s="804"/>
      <c r="J51" s="804"/>
      <c r="K51" s="804"/>
      <c r="L51" s="804"/>
      <c r="M51" s="804"/>
      <c r="N51" s="804"/>
      <c r="O51" s="804"/>
      <c r="P51" s="804"/>
      <c r="Q51" s="804"/>
      <c r="R51" s="804"/>
      <c r="S51" s="804"/>
      <c r="T51" s="804"/>
      <c r="U51" s="804"/>
    </row>
    <row r="52" spans="1:21" s="775" customFormat="1">
      <c r="A52" s="804"/>
      <c r="B52" s="804"/>
      <c r="C52" s="1765"/>
      <c r="D52" s="806"/>
      <c r="E52" s="804"/>
      <c r="F52" s="804"/>
      <c r="G52" s="804"/>
      <c r="H52" s="804"/>
      <c r="I52" s="804"/>
      <c r="J52" s="804"/>
      <c r="K52" s="804"/>
      <c r="L52" s="804"/>
      <c r="M52" s="804"/>
      <c r="N52" s="804"/>
      <c r="O52" s="804"/>
      <c r="P52" s="804"/>
      <c r="Q52" s="804"/>
      <c r="R52" s="804"/>
      <c r="S52" s="804"/>
      <c r="T52" s="804"/>
      <c r="U52" s="804"/>
    </row>
    <row r="53" spans="1:21" s="775" customFormat="1">
      <c r="A53" s="804"/>
      <c r="B53" s="804"/>
      <c r="C53" s="804"/>
      <c r="D53" s="806"/>
      <c r="E53" s="804"/>
      <c r="F53" s="804"/>
      <c r="G53" s="804"/>
      <c r="H53" s="804"/>
      <c r="I53" s="804"/>
      <c r="J53" s="804"/>
      <c r="K53" s="804"/>
      <c r="L53" s="804"/>
      <c r="M53" s="804"/>
      <c r="N53" s="804"/>
      <c r="O53" s="804"/>
      <c r="P53" s="804"/>
      <c r="Q53" s="804"/>
      <c r="R53" s="804"/>
      <c r="S53" s="804"/>
      <c r="T53" s="804"/>
      <c r="U53" s="804"/>
    </row>
    <row r="54" spans="1:21" s="775" customFormat="1">
      <c r="A54" s="804"/>
      <c r="B54" s="1962"/>
      <c r="C54" s="804"/>
      <c r="D54" s="806"/>
      <c r="E54" s="804"/>
      <c r="F54" s="804"/>
      <c r="G54" s="804"/>
      <c r="H54" s="804"/>
      <c r="I54" s="804"/>
      <c r="J54" s="804"/>
      <c r="K54" s="804"/>
      <c r="L54" s="804"/>
      <c r="M54" s="804"/>
      <c r="N54" s="804"/>
      <c r="O54" s="804"/>
      <c r="P54" s="804"/>
      <c r="Q54" s="804"/>
      <c r="R54" s="804"/>
      <c r="S54" s="804"/>
      <c r="T54" s="804"/>
      <c r="U54" s="804"/>
    </row>
    <row r="55" spans="1:21" s="775" customFormat="1">
      <c r="A55" s="804"/>
      <c r="B55" s="1963"/>
      <c r="C55" s="804"/>
      <c r="D55" s="806"/>
      <c r="E55" s="804"/>
      <c r="F55" s="804"/>
      <c r="G55" s="804"/>
      <c r="H55" s="804"/>
      <c r="I55" s="804"/>
      <c r="J55" s="804"/>
      <c r="K55" s="804"/>
      <c r="L55" s="804"/>
      <c r="M55" s="804"/>
      <c r="N55" s="804"/>
      <c r="O55" s="804"/>
      <c r="P55" s="804"/>
      <c r="Q55" s="804"/>
      <c r="R55" s="804"/>
      <c r="S55" s="804"/>
      <c r="T55" s="804"/>
      <c r="U55" s="804"/>
    </row>
    <row r="56" spans="1:21" s="775" customFormat="1">
      <c r="A56" s="804"/>
      <c r="B56" s="1964"/>
      <c r="C56" s="804"/>
      <c r="D56" s="806"/>
      <c r="E56" s="804"/>
      <c r="F56" s="804"/>
      <c r="G56" s="804"/>
      <c r="H56" s="804"/>
      <c r="I56" s="804"/>
      <c r="J56" s="804"/>
      <c r="K56" s="804"/>
      <c r="L56" s="804"/>
      <c r="M56" s="804"/>
      <c r="N56" s="804"/>
      <c r="O56" s="804"/>
      <c r="P56" s="804"/>
      <c r="Q56" s="804"/>
      <c r="R56" s="804"/>
      <c r="S56" s="804"/>
      <c r="T56" s="804"/>
      <c r="U56" s="804"/>
    </row>
    <row r="57" spans="1:21" s="775" customFormat="1">
      <c r="A57" s="804"/>
      <c r="B57" s="804"/>
      <c r="C57" s="804"/>
      <c r="D57" s="806"/>
      <c r="E57" s="804"/>
      <c r="F57" s="804"/>
      <c r="G57" s="804"/>
      <c r="H57" s="804"/>
      <c r="I57" s="804"/>
      <c r="J57" s="804"/>
      <c r="K57" s="804"/>
      <c r="L57" s="804"/>
      <c r="M57" s="804"/>
      <c r="N57" s="804"/>
      <c r="O57" s="804"/>
      <c r="P57" s="804"/>
      <c r="Q57" s="804"/>
      <c r="R57" s="804"/>
      <c r="S57" s="804"/>
      <c r="T57" s="804"/>
      <c r="U57" s="804"/>
    </row>
    <row r="58" spans="1:21" s="775" customFormat="1">
      <c r="A58" s="804"/>
      <c r="B58" s="804"/>
      <c r="C58" s="804"/>
      <c r="D58" s="1403"/>
      <c r="E58" s="1382"/>
      <c r="F58" s="1382"/>
      <c r="G58" s="1382"/>
      <c r="H58" s="804"/>
      <c r="I58" s="804"/>
      <c r="J58" s="804"/>
      <c r="K58" s="804"/>
      <c r="L58" s="804"/>
      <c r="M58" s="804"/>
      <c r="N58" s="804"/>
      <c r="O58" s="804"/>
      <c r="P58" s="804"/>
      <c r="Q58" s="804"/>
      <c r="R58" s="804"/>
      <c r="S58" s="804"/>
      <c r="T58" s="804"/>
      <c r="U58" s="804"/>
    </row>
    <row r="59" spans="1:21" s="775" customFormat="1">
      <c r="A59" s="804"/>
      <c r="B59" s="804"/>
      <c r="C59" s="804"/>
      <c r="D59" s="1403"/>
      <c r="E59" s="1382"/>
      <c r="F59" s="1382"/>
      <c r="G59" s="1382"/>
      <c r="H59" s="804"/>
      <c r="I59" s="804"/>
      <c r="J59" s="804"/>
      <c r="K59" s="804"/>
      <c r="L59" s="804"/>
      <c r="M59" s="804"/>
      <c r="N59" s="804"/>
      <c r="O59" s="804"/>
      <c r="P59" s="804"/>
      <c r="Q59" s="804"/>
      <c r="R59" s="804"/>
      <c r="S59" s="804"/>
      <c r="T59" s="804"/>
      <c r="U59" s="804"/>
    </row>
    <row r="60" spans="1:21" s="775" customFormat="1">
      <c r="A60" s="804"/>
      <c r="B60" s="804"/>
      <c r="C60" s="804"/>
      <c r="D60" s="1403"/>
      <c r="E60" s="1382"/>
      <c r="F60" s="1382"/>
      <c r="G60" s="1382"/>
      <c r="H60" s="804"/>
      <c r="I60" s="804"/>
      <c r="J60" s="804"/>
      <c r="K60" s="804"/>
      <c r="L60" s="804"/>
      <c r="M60" s="804"/>
      <c r="N60" s="804"/>
      <c r="O60" s="804"/>
      <c r="P60" s="804"/>
      <c r="Q60" s="804"/>
      <c r="R60" s="804"/>
      <c r="S60" s="804"/>
      <c r="T60" s="804"/>
      <c r="U60" s="804"/>
    </row>
    <row r="61" spans="1:21" s="775" customFormat="1">
      <c r="A61" s="804"/>
      <c r="B61" s="804"/>
      <c r="C61" s="804"/>
      <c r="D61" s="1403"/>
      <c r="E61" s="1382"/>
      <c r="F61" s="1382"/>
      <c r="G61" s="1382"/>
      <c r="H61" s="804"/>
      <c r="I61" s="804"/>
      <c r="J61" s="804"/>
      <c r="K61" s="804"/>
      <c r="L61" s="804"/>
      <c r="M61" s="804"/>
      <c r="N61" s="804"/>
      <c r="O61" s="804"/>
      <c r="P61" s="804"/>
      <c r="Q61" s="804"/>
      <c r="R61" s="804"/>
      <c r="S61" s="804"/>
      <c r="T61" s="804"/>
      <c r="U61" s="804"/>
    </row>
    <row r="62" spans="1:21" s="775" customFormat="1">
      <c r="A62" s="804"/>
      <c r="B62" s="804"/>
      <c r="C62" s="804"/>
      <c r="D62" s="1403"/>
      <c r="E62" s="1382"/>
      <c r="F62" s="1382"/>
      <c r="G62" s="1382"/>
      <c r="H62" s="804"/>
      <c r="I62" s="804"/>
      <c r="J62" s="804"/>
      <c r="K62" s="804"/>
      <c r="L62" s="804"/>
      <c r="M62" s="804"/>
      <c r="N62" s="804"/>
      <c r="O62" s="804"/>
      <c r="P62" s="804"/>
      <c r="Q62" s="804"/>
      <c r="R62" s="804"/>
      <c r="S62" s="804"/>
      <c r="T62" s="804"/>
      <c r="U62" s="804"/>
    </row>
    <row r="63" spans="1:21" s="775" customFormat="1">
      <c r="A63" s="804"/>
      <c r="B63" s="804"/>
      <c r="C63" s="804"/>
      <c r="D63" s="1403"/>
      <c r="E63" s="1382"/>
      <c r="F63" s="1382"/>
      <c r="G63" s="1382"/>
      <c r="H63" s="804"/>
      <c r="I63" s="804"/>
      <c r="J63" s="804"/>
      <c r="K63" s="804"/>
      <c r="L63" s="804"/>
      <c r="M63" s="804"/>
      <c r="N63" s="804"/>
      <c r="O63" s="804"/>
      <c r="P63" s="804"/>
      <c r="Q63" s="804"/>
      <c r="R63" s="804"/>
      <c r="S63" s="804"/>
      <c r="T63" s="804"/>
      <c r="U63" s="804"/>
    </row>
    <row r="64" spans="1:21" s="775" customFormat="1">
      <c r="A64" s="804"/>
      <c r="B64" s="804"/>
      <c r="C64" s="804"/>
      <c r="D64" s="1403"/>
      <c r="E64" s="1382"/>
      <c r="F64" s="1382"/>
      <c r="G64" s="1382"/>
      <c r="H64" s="804"/>
      <c r="I64" s="804"/>
      <c r="J64" s="804"/>
      <c r="K64" s="804"/>
      <c r="L64" s="804"/>
      <c r="M64" s="804"/>
      <c r="N64" s="804"/>
      <c r="O64" s="804"/>
      <c r="P64" s="804"/>
      <c r="Q64" s="804"/>
      <c r="R64" s="804"/>
      <c r="S64" s="804"/>
      <c r="T64" s="804"/>
      <c r="U64" s="804"/>
    </row>
    <row r="65" spans="1:21" s="775" customFormat="1">
      <c r="A65" s="804"/>
      <c r="B65" s="804"/>
      <c r="C65" s="804"/>
      <c r="D65" s="1403"/>
      <c r="E65" s="1382"/>
      <c r="F65" s="1382"/>
      <c r="G65" s="1382"/>
      <c r="H65" s="804"/>
      <c r="I65" s="804"/>
      <c r="J65" s="804"/>
      <c r="K65" s="804"/>
      <c r="L65" s="804"/>
      <c r="M65" s="804"/>
      <c r="N65" s="804"/>
      <c r="O65" s="804"/>
      <c r="P65" s="804"/>
      <c r="Q65" s="804"/>
      <c r="R65" s="804"/>
      <c r="S65" s="804"/>
      <c r="T65" s="804"/>
      <c r="U65" s="804"/>
    </row>
    <row r="66" spans="1:21" s="775" customFormat="1">
      <c r="A66" s="804"/>
      <c r="B66" s="804"/>
      <c r="C66" s="804"/>
      <c r="D66" s="1403"/>
      <c r="E66" s="1382"/>
      <c r="F66" s="1382"/>
      <c r="G66" s="1382"/>
      <c r="H66" s="804"/>
      <c r="I66" s="804"/>
      <c r="J66" s="804"/>
      <c r="K66" s="804"/>
      <c r="L66" s="804"/>
      <c r="M66" s="804"/>
      <c r="N66" s="804"/>
      <c r="O66" s="804"/>
      <c r="P66" s="804"/>
      <c r="Q66" s="804"/>
      <c r="R66" s="804"/>
      <c r="S66" s="804"/>
      <c r="T66" s="804"/>
      <c r="U66" s="804"/>
    </row>
    <row r="67" spans="1:21" s="775" customFormat="1">
      <c r="A67" s="804"/>
      <c r="B67" s="804"/>
      <c r="C67" s="804"/>
      <c r="D67" s="1403"/>
      <c r="E67" s="1382"/>
      <c r="F67" s="1382"/>
      <c r="G67" s="1382"/>
      <c r="H67" s="804"/>
      <c r="I67" s="804"/>
      <c r="J67" s="804"/>
      <c r="K67" s="804"/>
      <c r="L67" s="804"/>
      <c r="M67" s="804"/>
      <c r="N67" s="804"/>
      <c r="O67" s="804"/>
      <c r="P67" s="804"/>
      <c r="Q67" s="804"/>
      <c r="R67" s="804"/>
      <c r="S67" s="804"/>
      <c r="T67" s="804"/>
      <c r="U67" s="804"/>
    </row>
    <row r="68" spans="1:21" s="775" customFormat="1">
      <c r="A68" s="804"/>
      <c r="B68" s="804"/>
      <c r="C68" s="804"/>
      <c r="D68" s="1403"/>
      <c r="E68" s="1382"/>
      <c r="F68" s="1382"/>
      <c r="G68" s="1382"/>
      <c r="H68" s="804"/>
      <c r="I68" s="804"/>
      <c r="J68" s="804"/>
      <c r="K68" s="804"/>
      <c r="L68" s="804"/>
      <c r="M68" s="804"/>
      <c r="N68" s="804"/>
      <c r="O68" s="804"/>
      <c r="P68" s="804"/>
      <c r="Q68" s="804"/>
      <c r="R68" s="804"/>
      <c r="S68" s="804"/>
      <c r="T68" s="804"/>
      <c r="U68" s="804"/>
    </row>
    <row r="69" spans="1:21" s="775" customFormat="1">
      <c r="A69" s="804"/>
      <c r="B69" s="804"/>
      <c r="C69" s="804"/>
      <c r="D69" s="1403"/>
      <c r="E69" s="1382"/>
      <c r="F69" s="1382"/>
      <c r="G69" s="1382"/>
      <c r="H69" s="804"/>
      <c r="I69" s="804"/>
      <c r="J69" s="804"/>
      <c r="K69" s="804"/>
      <c r="L69" s="804"/>
      <c r="M69" s="804"/>
      <c r="N69" s="804"/>
      <c r="O69" s="804"/>
      <c r="P69" s="804"/>
      <c r="Q69" s="804"/>
      <c r="R69" s="804"/>
      <c r="S69" s="804"/>
      <c r="T69" s="804"/>
      <c r="U69" s="804"/>
    </row>
    <row r="70" spans="1:21" s="775" customFormat="1">
      <c r="A70" s="804"/>
      <c r="B70" s="804"/>
      <c r="C70" s="804"/>
      <c r="D70" s="1403"/>
      <c r="E70" s="1382"/>
      <c r="F70" s="1382"/>
      <c r="G70" s="1382"/>
      <c r="H70" s="804"/>
      <c r="I70" s="804"/>
      <c r="J70" s="804"/>
      <c r="K70" s="804"/>
      <c r="L70" s="804"/>
      <c r="M70" s="804"/>
      <c r="N70" s="804"/>
      <c r="O70" s="804"/>
      <c r="P70" s="804"/>
      <c r="Q70" s="804"/>
      <c r="R70" s="804"/>
      <c r="S70" s="804"/>
      <c r="T70" s="804"/>
      <c r="U70" s="804"/>
    </row>
    <row r="71" spans="1:21" s="775" customFormat="1">
      <c r="A71" s="804"/>
      <c r="B71" s="804"/>
      <c r="C71" s="804"/>
      <c r="D71" s="1403"/>
      <c r="E71" s="1382"/>
      <c r="F71" s="1382"/>
      <c r="G71" s="1382"/>
      <c r="H71" s="804"/>
      <c r="I71" s="804"/>
      <c r="J71" s="804"/>
      <c r="K71" s="804"/>
      <c r="L71" s="804"/>
      <c r="M71" s="804"/>
      <c r="N71" s="804"/>
      <c r="O71" s="804"/>
      <c r="P71" s="804"/>
      <c r="Q71" s="804"/>
      <c r="R71" s="804"/>
      <c r="S71" s="804"/>
      <c r="T71" s="804"/>
      <c r="U71" s="804"/>
    </row>
    <row r="72" spans="1:21" s="775" customFormat="1">
      <c r="A72" s="804"/>
      <c r="B72" s="804"/>
      <c r="C72" s="804"/>
      <c r="D72" s="1403"/>
      <c r="E72" s="1382"/>
      <c r="F72" s="1382"/>
      <c r="G72" s="1382"/>
      <c r="H72" s="804"/>
      <c r="I72" s="804"/>
      <c r="J72" s="804"/>
      <c r="K72" s="804"/>
      <c r="L72" s="804"/>
      <c r="M72" s="804"/>
      <c r="N72" s="804"/>
      <c r="O72" s="804"/>
      <c r="P72" s="804"/>
      <c r="Q72" s="804"/>
      <c r="R72" s="804"/>
      <c r="S72" s="804"/>
      <c r="T72" s="804"/>
      <c r="U72" s="804"/>
    </row>
    <row r="73" spans="1:21" s="775" customFormat="1">
      <c r="A73" s="804"/>
      <c r="B73" s="804"/>
      <c r="C73" s="804"/>
      <c r="D73" s="1403"/>
      <c r="E73" s="1382"/>
      <c r="F73" s="1382"/>
      <c r="G73" s="1382"/>
      <c r="H73" s="804"/>
      <c r="I73" s="804"/>
      <c r="J73" s="804"/>
      <c r="K73" s="804"/>
      <c r="L73" s="804"/>
      <c r="M73" s="804"/>
      <c r="N73" s="804"/>
      <c r="O73" s="804"/>
      <c r="P73" s="804"/>
      <c r="Q73" s="804"/>
      <c r="R73" s="804"/>
      <c r="S73" s="804"/>
      <c r="T73" s="804"/>
      <c r="U73" s="804"/>
    </row>
    <row r="74" spans="1:21" s="775" customFormat="1">
      <c r="A74" s="804"/>
      <c r="B74" s="804"/>
      <c r="C74" s="804"/>
      <c r="D74" s="1403"/>
      <c r="E74" s="1382"/>
      <c r="F74" s="1382"/>
      <c r="G74" s="1382"/>
      <c r="H74" s="804"/>
      <c r="I74" s="804"/>
      <c r="J74" s="804"/>
      <c r="K74" s="804"/>
      <c r="L74" s="804"/>
      <c r="M74" s="804"/>
      <c r="N74" s="804"/>
      <c r="O74" s="804"/>
      <c r="P74" s="804"/>
      <c r="Q74" s="804"/>
      <c r="R74" s="804"/>
      <c r="S74" s="804"/>
      <c r="T74" s="804"/>
      <c r="U74" s="804"/>
    </row>
    <row r="75" spans="1:21" s="775" customFormat="1">
      <c r="A75" s="804"/>
      <c r="B75" s="804"/>
      <c r="C75" s="804"/>
      <c r="D75" s="1403"/>
      <c r="E75" s="1382"/>
      <c r="F75" s="1382"/>
      <c r="G75" s="1382"/>
      <c r="H75" s="804"/>
      <c r="I75" s="804"/>
      <c r="J75" s="804"/>
      <c r="K75" s="804"/>
      <c r="L75" s="804"/>
      <c r="M75" s="804"/>
      <c r="N75" s="804"/>
      <c r="O75" s="804"/>
      <c r="P75" s="804"/>
      <c r="Q75" s="804"/>
      <c r="R75" s="804"/>
      <c r="S75" s="804"/>
      <c r="T75" s="804"/>
      <c r="U75" s="804"/>
    </row>
    <row r="76" spans="1:21" s="775" customFormat="1">
      <c r="A76" s="804"/>
      <c r="B76" s="804"/>
      <c r="C76" s="804"/>
      <c r="D76" s="1403"/>
      <c r="E76" s="1382"/>
      <c r="F76" s="1382"/>
      <c r="G76" s="1382"/>
      <c r="H76" s="804"/>
      <c r="I76" s="804"/>
      <c r="J76" s="804"/>
      <c r="K76" s="804"/>
      <c r="L76" s="804"/>
      <c r="M76" s="804"/>
      <c r="N76" s="804"/>
      <c r="O76" s="804"/>
      <c r="P76" s="804"/>
      <c r="Q76" s="804"/>
      <c r="R76" s="804"/>
      <c r="S76" s="804"/>
      <c r="T76" s="804"/>
      <c r="U76" s="804"/>
    </row>
    <row r="77" spans="1:21" s="775" customFormat="1">
      <c r="A77" s="804"/>
      <c r="B77" s="804"/>
      <c r="C77" s="804"/>
      <c r="D77" s="1403"/>
      <c r="E77" s="1382"/>
      <c r="F77" s="1382"/>
      <c r="G77" s="1382"/>
      <c r="H77" s="804"/>
      <c r="I77" s="804"/>
      <c r="J77" s="804"/>
      <c r="K77" s="804"/>
      <c r="L77" s="804"/>
      <c r="M77" s="804"/>
      <c r="N77" s="804"/>
      <c r="O77" s="804"/>
      <c r="P77" s="804"/>
      <c r="Q77" s="804"/>
      <c r="R77" s="804"/>
      <c r="S77" s="804"/>
      <c r="T77" s="804"/>
      <c r="U77" s="804"/>
    </row>
    <row r="78" spans="1:21" s="775" customFormat="1">
      <c r="A78" s="804"/>
      <c r="B78" s="804"/>
      <c r="C78" s="804"/>
      <c r="D78" s="1403"/>
      <c r="E78" s="1382"/>
      <c r="F78" s="1382"/>
      <c r="G78" s="1382"/>
      <c r="H78" s="804"/>
      <c r="I78" s="804"/>
      <c r="J78" s="804"/>
      <c r="K78" s="804"/>
      <c r="L78" s="804"/>
      <c r="M78" s="804"/>
      <c r="N78" s="804"/>
      <c r="O78" s="804"/>
      <c r="P78" s="804"/>
      <c r="Q78" s="804"/>
      <c r="R78" s="804"/>
      <c r="S78" s="804"/>
      <c r="T78" s="804"/>
      <c r="U78" s="804"/>
    </row>
    <row r="79" spans="1:21" s="775" customFormat="1">
      <c r="A79" s="804"/>
      <c r="B79" s="804"/>
      <c r="C79" s="804"/>
      <c r="D79" s="1403"/>
      <c r="E79" s="1382"/>
      <c r="F79" s="1382"/>
      <c r="G79" s="1382"/>
      <c r="H79" s="804"/>
      <c r="I79" s="804"/>
      <c r="J79" s="804"/>
      <c r="K79" s="804"/>
      <c r="L79" s="804"/>
      <c r="M79" s="804"/>
      <c r="N79" s="804"/>
      <c r="O79" s="804"/>
      <c r="P79" s="804"/>
      <c r="Q79" s="804"/>
      <c r="R79" s="804"/>
      <c r="S79" s="804"/>
      <c r="T79" s="804"/>
      <c r="U79" s="804"/>
    </row>
    <row r="80" spans="1:21" s="775" customFormat="1">
      <c r="A80" s="804"/>
      <c r="B80" s="804"/>
      <c r="C80" s="804"/>
      <c r="D80" s="1403"/>
      <c r="E80" s="1382"/>
      <c r="F80" s="1382"/>
      <c r="G80" s="1382"/>
      <c r="H80" s="804"/>
      <c r="I80" s="804"/>
      <c r="J80" s="804"/>
      <c r="K80" s="804"/>
      <c r="L80" s="804"/>
      <c r="M80" s="804"/>
      <c r="N80" s="804"/>
      <c r="O80" s="804"/>
      <c r="P80" s="804"/>
      <c r="Q80" s="804"/>
      <c r="R80" s="804"/>
      <c r="S80" s="804"/>
      <c r="T80" s="804"/>
      <c r="U80" s="804"/>
    </row>
    <row r="81" spans="1:21" s="775" customFormat="1">
      <c r="A81" s="804"/>
      <c r="B81" s="804"/>
      <c r="C81" s="804"/>
      <c r="D81" s="1403"/>
      <c r="E81" s="1382"/>
      <c r="F81" s="1382"/>
      <c r="G81" s="1382"/>
      <c r="H81" s="804"/>
      <c r="I81" s="804"/>
      <c r="J81" s="804"/>
      <c r="K81" s="804"/>
      <c r="L81" s="804"/>
      <c r="M81" s="804"/>
      <c r="N81" s="804"/>
      <c r="O81" s="804"/>
      <c r="P81" s="804"/>
      <c r="Q81" s="804"/>
      <c r="R81" s="804"/>
      <c r="S81" s="804"/>
      <c r="T81" s="804"/>
      <c r="U81" s="804"/>
    </row>
    <row r="82" spans="1:21" s="775" customFormat="1">
      <c r="A82" s="804"/>
      <c r="B82" s="804"/>
      <c r="C82" s="804"/>
      <c r="D82" s="1403"/>
      <c r="E82" s="1382"/>
      <c r="F82" s="1382"/>
      <c r="G82" s="1382"/>
      <c r="H82" s="804"/>
      <c r="I82" s="804"/>
      <c r="J82" s="804"/>
      <c r="K82" s="804"/>
      <c r="L82" s="804"/>
      <c r="M82" s="804"/>
      <c r="N82" s="804"/>
      <c r="O82" s="804"/>
      <c r="P82" s="804"/>
      <c r="Q82" s="804"/>
      <c r="R82" s="804"/>
      <c r="S82" s="804"/>
      <c r="T82" s="804"/>
      <c r="U82" s="804"/>
    </row>
    <row r="83" spans="1:21" s="775" customFormat="1">
      <c r="A83" s="804"/>
      <c r="B83" s="804"/>
      <c r="C83" s="804"/>
      <c r="D83" s="1403"/>
      <c r="E83" s="1382"/>
      <c r="F83" s="1382"/>
      <c r="G83" s="1382"/>
      <c r="H83" s="804"/>
      <c r="I83" s="804"/>
      <c r="J83" s="804"/>
      <c r="K83" s="804"/>
      <c r="L83" s="804"/>
      <c r="M83" s="804"/>
      <c r="N83" s="804"/>
      <c r="O83" s="804"/>
      <c r="P83" s="804"/>
      <c r="Q83" s="804"/>
      <c r="R83" s="804"/>
      <c r="S83" s="804"/>
      <c r="T83" s="804"/>
      <c r="U83" s="804"/>
    </row>
    <row r="84" spans="1:21" s="775" customFormat="1">
      <c r="A84" s="804"/>
      <c r="B84" s="804"/>
      <c r="C84" s="804"/>
      <c r="D84" s="1403"/>
      <c r="E84" s="1382"/>
      <c r="F84" s="1382"/>
      <c r="G84" s="1382"/>
      <c r="H84" s="804"/>
      <c r="I84" s="804"/>
      <c r="J84" s="804"/>
      <c r="K84" s="804"/>
      <c r="L84" s="804"/>
      <c r="M84" s="804"/>
      <c r="N84" s="804"/>
      <c r="O84" s="804"/>
      <c r="P84" s="804"/>
      <c r="Q84" s="804"/>
      <c r="R84" s="804"/>
      <c r="S84" s="804"/>
      <c r="T84" s="804"/>
      <c r="U84" s="804"/>
    </row>
    <row r="85" spans="1:21" s="775" customFormat="1">
      <c r="A85" s="804"/>
      <c r="B85" s="804"/>
      <c r="C85" s="804"/>
      <c r="D85" s="1403"/>
      <c r="E85" s="1382"/>
      <c r="F85" s="1382"/>
      <c r="G85" s="1382"/>
      <c r="H85" s="804"/>
      <c r="I85" s="804"/>
      <c r="J85" s="804"/>
      <c r="K85" s="804"/>
      <c r="L85" s="804"/>
      <c r="M85" s="804"/>
      <c r="N85" s="804"/>
      <c r="O85" s="804"/>
      <c r="P85" s="804"/>
      <c r="Q85" s="804"/>
      <c r="R85" s="804"/>
      <c r="S85" s="804"/>
      <c r="T85" s="804"/>
      <c r="U85" s="804"/>
    </row>
    <row r="86" spans="1:21" s="775" customFormat="1">
      <c r="A86" s="804"/>
      <c r="B86" s="804"/>
      <c r="C86" s="804"/>
      <c r="D86" s="1403"/>
      <c r="E86" s="1382"/>
      <c r="F86" s="1382"/>
      <c r="G86" s="1382"/>
      <c r="H86" s="804"/>
      <c r="I86" s="804"/>
      <c r="J86" s="804"/>
      <c r="K86" s="804"/>
      <c r="L86" s="804"/>
      <c r="M86" s="804"/>
      <c r="N86" s="804"/>
      <c r="O86" s="804"/>
      <c r="P86" s="804"/>
      <c r="Q86" s="804"/>
      <c r="R86" s="804"/>
      <c r="S86" s="804"/>
      <c r="T86" s="804"/>
      <c r="U86" s="804"/>
    </row>
    <row r="87" spans="1:21" s="775" customFormat="1">
      <c r="A87" s="804"/>
      <c r="B87" s="804"/>
      <c r="C87" s="804"/>
      <c r="D87" s="1403"/>
      <c r="E87" s="1382"/>
      <c r="F87" s="1382"/>
      <c r="G87" s="1382"/>
      <c r="H87" s="804"/>
      <c r="I87" s="804"/>
      <c r="J87" s="804"/>
      <c r="K87" s="804"/>
      <c r="L87" s="804"/>
      <c r="M87" s="804"/>
      <c r="N87" s="804"/>
      <c r="O87" s="804"/>
      <c r="P87" s="804"/>
      <c r="Q87" s="804"/>
      <c r="R87" s="804"/>
      <c r="S87" s="804"/>
      <c r="T87" s="804"/>
      <c r="U87" s="804"/>
    </row>
    <row r="88" spans="1:21" s="775" customFormat="1">
      <c r="A88" s="804"/>
      <c r="B88" s="804"/>
      <c r="C88" s="804"/>
      <c r="D88" s="1403"/>
      <c r="E88" s="1382"/>
      <c r="F88" s="1382"/>
      <c r="G88" s="1382"/>
      <c r="H88" s="804"/>
      <c r="I88" s="804"/>
      <c r="J88" s="804"/>
      <c r="K88" s="804"/>
      <c r="L88" s="804"/>
      <c r="M88" s="804"/>
      <c r="N88" s="804"/>
      <c r="O88" s="804"/>
      <c r="P88" s="804"/>
      <c r="Q88" s="804"/>
      <c r="R88" s="804"/>
      <c r="S88" s="804"/>
      <c r="T88" s="804"/>
      <c r="U88" s="804"/>
    </row>
    <row r="89" spans="1:21">
      <c r="D89" s="1345"/>
      <c r="E89" s="1340"/>
      <c r="F89" s="1340"/>
      <c r="G89" s="1340"/>
    </row>
    <row r="90" spans="1:21">
      <c r="D90" s="1345"/>
      <c r="E90" s="1340"/>
      <c r="F90" s="1340"/>
      <c r="G90" s="1340"/>
    </row>
    <row r="91" spans="1:21">
      <c r="D91" s="1345"/>
      <c r="E91" s="1340"/>
      <c r="F91" s="1340"/>
      <c r="G91" s="1340"/>
    </row>
    <row r="92" spans="1:21">
      <c r="D92" s="1345"/>
      <c r="E92" s="1340"/>
      <c r="F92" s="1340"/>
      <c r="G92" s="1340"/>
    </row>
    <row r="93" spans="1:21">
      <c r="D93" s="1345"/>
      <c r="E93" s="1340"/>
      <c r="F93" s="1340"/>
      <c r="G93" s="1340"/>
    </row>
  </sheetData>
  <sheetProtection algorithmName="SHA-512" hashValue="FmnbMfKBdTfBycAP9TdSVcvH9uBxhw652lVLRD5ZOZpTz3XGYWukTLX8tZr7IttuTgT1kB+1z7S6GFbV6avkGA==" saltValue="klpUpwI84VljQO+oKYaJyA==" spinCount="100000" sheet="1" objects="1" scenarios="1"/>
  <mergeCells count="2">
    <mergeCell ref="A1:F1"/>
    <mergeCell ref="A2:F2"/>
  </mergeCells>
  <phoneticPr fontId="67" type="noConversion"/>
  <dataValidations count="1">
    <dataValidation type="decimal" allowBlank="1" showInputMessage="1" showErrorMessage="1" sqref="E16">
      <formula1>0</formula1>
      <formula2>100</formula2>
    </dataValidation>
  </dataValidations>
  <printOptions horizontalCentered="1"/>
  <pageMargins left="0.11811023622047245" right="0.11811023622047245" top="0.51181102362204722" bottom="0.51181102362204722" header="0.39370078740157483" footer="0.51181102362204722"/>
  <pageSetup paperSize="8" scale="49" orientation="landscape" r:id="rId1"/>
  <headerFooter alignWithMargins="0">
    <oddHeader>&amp;CInvestīciju naudas plūsma&amp;R2.pielikums</oddHeader>
  </headerFooter>
  <colBreaks count="1" manualBreakCount="1">
    <brk id="20" max="1048575"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tabColor theme="3"/>
    <pageSetUpPr fitToPage="1"/>
  </sheetPr>
  <dimension ref="A1:V77"/>
  <sheetViews>
    <sheetView topLeftCell="A16" zoomScale="85" zoomScaleNormal="85" workbookViewId="0">
      <selection activeCell="K66" sqref="K66"/>
    </sheetView>
  </sheetViews>
  <sheetFormatPr defaultRowHeight="12.75"/>
  <cols>
    <col min="1" max="1" width="3" style="761" customWidth="1"/>
    <col min="2" max="2" width="8.28515625" style="761" customWidth="1"/>
    <col min="3" max="3" width="43.5703125" style="761" bestFit="1" customWidth="1"/>
    <col min="4" max="4" width="14.85546875" style="761" hidden="1" customWidth="1"/>
    <col min="5" max="5" width="9.28515625" style="761" bestFit="1" customWidth="1"/>
    <col min="6" max="6" width="12.28515625" style="761" customWidth="1"/>
    <col min="7" max="7" width="14.140625" style="761" customWidth="1"/>
    <col min="8" max="21" width="12.28515625" style="761" customWidth="1"/>
    <col min="22" max="16384" width="9.140625" style="761"/>
  </cols>
  <sheetData>
    <row r="1" spans="1:22" s="751" customFormat="1" ht="26.25">
      <c r="A1" s="2220" t="s">
        <v>986</v>
      </c>
      <c r="B1" s="2220"/>
      <c r="C1" s="2220"/>
      <c r="D1" s="2220"/>
      <c r="E1" s="2220"/>
      <c r="F1" s="2220"/>
      <c r="G1" s="804"/>
      <c r="H1" s="804"/>
      <c r="I1" s="804"/>
      <c r="J1" s="804"/>
      <c r="K1" s="804"/>
      <c r="L1" s="804"/>
      <c r="M1" s="804"/>
      <c r="N1" s="804"/>
      <c r="O1" s="804"/>
      <c r="P1" s="804"/>
      <c r="Q1" s="804"/>
      <c r="R1" s="804"/>
      <c r="S1" s="804"/>
      <c r="T1" s="804"/>
      <c r="U1" s="804"/>
      <c r="V1" s="758"/>
    </row>
    <row r="2" spans="1:22" s="751" customFormat="1" ht="21">
      <c r="A2" s="2222" t="s">
        <v>841</v>
      </c>
      <c r="B2" s="2222"/>
      <c r="C2" s="2222"/>
      <c r="D2" s="2222"/>
      <c r="E2" s="2222"/>
      <c r="F2" s="2223"/>
      <c r="G2" s="804"/>
      <c r="H2" s="804"/>
      <c r="I2" s="804"/>
      <c r="J2" s="804"/>
      <c r="K2" s="804"/>
      <c r="L2" s="804"/>
      <c r="M2" s="804"/>
      <c r="N2" s="804"/>
      <c r="O2" s="804"/>
      <c r="P2" s="804"/>
      <c r="Q2" s="804"/>
      <c r="R2" s="804"/>
      <c r="S2" s="804"/>
      <c r="T2" s="804"/>
      <c r="U2" s="804"/>
      <c r="V2" s="758"/>
    </row>
    <row r="3" spans="1:22" ht="15.75">
      <c r="A3" s="1406"/>
      <c r="B3" s="1588"/>
      <c r="C3" s="1588"/>
      <c r="D3" s="1588"/>
      <c r="E3" s="1589"/>
      <c r="F3" s="1551" t="str">
        <f>'3. DL invest.n.pl.AR pr.'!F4</f>
        <v>0 / 1</v>
      </c>
      <c r="G3" s="1551">
        <f>'3. DL invest.n.pl.AR pr.'!G4</f>
        <v>2</v>
      </c>
      <c r="H3" s="1551">
        <f>'3. DL invest.n.pl.AR pr.'!H4</f>
        <v>3</v>
      </c>
      <c r="I3" s="1551">
        <f>'3. DL invest.n.pl.AR pr.'!I4</f>
        <v>4</v>
      </c>
      <c r="J3" s="1551">
        <f>'3. DL invest.n.pl.AR pr.'!J4</f>
        <v>5</v>
      </c>
      <c r="K3" s="1551">
        <f>'3. DL invest.n.pl.AR pr.'!K4</f>
        <v>6</v>
      </c>
      <c r="L3" s="1551">
        <f>'3. DL invest.n.pl.AR pr.'!L4</f>
        <v>7</v>
      </c>
      <c r="M3" s="1551">
        <f>'3. DL invest.n.pl.AR pr.'!M4</f>
        <v>8</v>
      </c>
      <c r="N3" s="1551">
        <f>'3. DL invest.n.pl.AR pr.'!N4</f>
        <v>9</v>
      </c>
      <c r="O3" s="1551">
        <f>'3. DL invest.n.pl.AR pr.'!O4</f>
        <v>10</v>
      </c>
      <c r="P3" s="1551">
        <f>'3. DL invest.n.pl.AR pr.'!P4</f>
        <v>11</v>
      </c>
      <c r="Q3" s="1551">
        <f>'3. DL invest.n.pl.AR pr.'!Q4</f>
        <v>12</v>
      </c>
      <c r="R3" s="1551">
        <f>'3. DL invest.n.pl.AR pr.'!R4</f>
        <v>13</v>
      </c>
      <c r="S3" s="1551">
        <f>'3. DL invest.n.pl.AR pr.'!S4</f>
        <v>14</v>
      </c>
      <c r="T3" s="1551">
        <f>'3. DL invest.n.pl.AR pr.'!T4</f>
        <v>15</v>
      </c>
      <c r="U3" s="1590"/>
    </row>
    <row r="4" spans="1:22">
      <c r="A4" s="1415"/>
      <c r="B4" s="1416"/>
      <c r="C4" s="1416"/>
      <c r="D4" s="1417"/>
      <c r="E4" s="1591" t="s">
        <v>1</v>
      </c>
      <c r="F4" s="1418">
        <f>'3. DL invest.n.pl.AR pr.'!F5</f>
        <v>2017</v>
      </c>
      <c r="G4" s="1418">
        <f>'3. DL invest.n.pl.AR pr.'!G5</f>
        <v>2018</v>
      </c>
      <c r="H4" s="1418">
        <f>'3. DL invest.n.pl.AR pr.'!H5</f>
        <v>2019</v>
      </c>
      <c r="I4" s="1418">
        <f>'3. DL invest.n.pl.AR pr.'!I5</f>
        <v>2020</v>
      </c>
      <c r="J4" s="1418">
        <f>'3. DL invest.n.pl.AR pr.'!J5</f>
        <v>2021</v>
      </c>
      <c r="K4" s="1418">
        <f>'3. DL invest.n.pl.AR pr.'!K5</f>
        <v>2022</v>
      </c>
      <c r="L4" s="1418">
        <f>'3. DL invest.n.pl.AR pr.'!L5</f>
        <v>2023</v>
      </c>
      <c r="M4" s="1418">
        <f>'3. DL invest.n.pl.AR pr.'!M5</f>
        <v>2024</v>
      </c>
      <c r="N4" s="1418">
        <f>'3. DL invest.n.pl.AR pr.'!N5</f>
        <v>2025</v>
      </c>
      <c r="O4" s="1418">
        <f>'3. DL invest.n.pl.AR pr.'!O5</f>
        <v>2026</v>
      </c>
      <c r="P4" s="1418">
        <f>'3. DL invest.n.pl.AR pr.'!P5</f>
        <v>2027</v>
      </c>
      <c r="Q4" s="1418">
        <f>'3. DL invest.n.pl.AR pr.'!Q5</f>
        <v>2028</v>
      </c>
      <c r="R4" s="1418">
        <f>'3. DL invest.n.pl.AR pr.'!R5</f>
        <v>2029</v>
      </c>
      <c r="S4" s="1418">
        <f>'3. DL invest.n.pl.AR pr.'!S5</f>
        <v>2030</v>
      </c>
      <c r="T4" s="1418">
        <f>'3. DL invest.n.pl.AR pr.'!T5</f>
        <v>2031</v>
      </c>
      <c r="U4" s="1419" t="s">
        <v>2</v>
      </c>
    </row>
    <row r="5" spans="1:22" ht="15">
      <c r="A5" s="1561">
        <v>1</v>
      </c>
      <c r="B5" s="1562" t="s">
        <v>126</v>
      </c>
      <c r="C5" s="1562"/>
      <c r="D5" s="1562"/>
      <c r="E5" s="1562"/>
      <c r="F5" s="1563"/>
      <c r="G5" s="1563"/>
      <c r="H5" s="1563"/>
      <c r="I5" s="1563"/>
      <c r="J5" s="1563"/>
      <c r="K5" s="1563"/>
      <c r="L5" s="1563"/>
      <c r="M5" s="1563"/>
      <c r="N5" s="1563"/>
      <c r="O5" s="1563"/>
      <c r="P5" s="1563"/>
      <c r="Q5" s="1563"/>
      <c r="R5" s="1563"/>
      <c r="S5" s="1563"/>
      <c r="T5" s="1563"/>
      <c r="U5" s="1564"/>
    </row>
    <row r="6" spans="1:22">
      <c r="A6" s="765"/>
      <c r="B6" s="766" t="s">
        <v>3</v>
      </c>
      <c r="C6" s="766" t="s">
        <v>112</v>
      </c>
      <c r="D6" s="766"/>
      <c r="E6" s="767" t="s">
        <v>873</v>
      </c>
      <c r="F6" s="1594">
        <f>'10. AL soc.ekonom. anal.'!E8</f>
        <v>9000</v>
      </c>
      <c r="G6" s="1595">
        <f>'10. AL soc.ekonom. anal.'!F8</f>
        <v>9000</v>
      </c>
      <c r="H6" s="1595">
        <f>'10. AL soc.ekonom. anal.'!G8</f>
        <v>9000</v>
      </c>
      <c r="I6" s="1595">
        <f>'10. AL soc.ekonom. anal.'!H8</f>
        <v>9000</v>
      </c>
      <c r="J6" s="1595">
        <f>'10. AL soc.ekonom. anal.'!I8</f>
        <v>9000</v>
      </c>
      <c r="K6" s="1595">
        <f>'10. AL soc.ekonom. anal.'!J8</f>
        <v>9000</v>
      </c>
      <c r="L6" s="1595">
        <f>'10. AL soc.ekonom. anal.'!K8</f>
        <v>9000</v>
      </c>
      <c r="M6" s="1595">
        <f>'10. AL soc.ekonom. anal.'!L8</f>
        <v>9000</v>
      </c>
      <c r="N6" s="1595">
        <f>'10. AL soc.ekonom. anal.'!M8</f>
        <v>9000</v>
      </c>
      <c r="O6" s="1595">
        <f>'10. AL soc.ekonom. anal.'!N8</f>
        <v>9000</v>
      </c>
      <c r="P6" s="1595">
        <f>'10. AL soc.ekonom. anal.'!O8</f>
        <v>9000</v>
      </c>
      <c r="Q6" s="1595">
        <f>'10. AL soc.ekonom. anal.'!P8</f>
        <v>9000</v>
      </c>
      <c r="R6" s="1595">
        <f>'10. AL soc.ekonom. anal.'!Q8</f>
        <v>9000</v>
      </c>
      <c r="S6" s="1595">
        <f>'10. AL soc.ekonom. anal.'!R8</f>
        <v>9000</v>
      </c>
      <c r="T6" s="1595">
        <f>'10. AL soc.ekonom. anal.'!S8</f>
        <v>9000</v>
      </c>
      <c r="U6" s="1596">
        <f t="shared" ref="U6:U13" si="0">SUM(F6:T6)</f>
        <v>135000</v>
      </c>
      <c r="V6" s="1480" t="b">
        <f>U6='5. DL soc.econom. analīze'!S6</f>
        <v>1</v>
      </c>
    </row>
    <row r="7" spans="1:22">
      <c r="A7" s="768"/>
      <c r="B7" s="751" t="s">
        <v>5</v>
      </c>
      <c r="C7" s="751" t="str">
        <f>'10. AL soc.ekonom. anal.'!C9</f>
        <v>Finanšu ieguvumi</v>
      </c>
      <c r="D7" s="751"/>
      <c r="E7" s="769" t="s">
        <v>873</v>
      </c>
      <c r="F7" s="1456">
        <f>'10. AL soc.ekonom. anal.'!E9</f>
        <v>360</v>
      </c>
      <c r="G7" s="1457">
        <f>'10. AL soc.ekonom. anal.'!F9</f>
        <v>360</v>
      </c>
      <c r="H7" s="1457">
        <f>'10. AL soc.ekonom. anal.'!G9</f>
        <v>360</v>
      </c>
      <c r="I7" s="1457">
        <f>'10. AL soc.ekonom. anal.'!H9</f>
        <v>360</v>
      </c>
      <c r="J7" s="1457">
        <f>'10. AL soc.ekonom. anal.'!I9</f>
        <v>360</v>
      </c>
      <c r="K7" s="1457">
        <f>'10. AL soc.ekonom. anal.'!J9</f>
        <v>360</v>
      </c>
      <c r="L7" s="1457">
        <f>'10. AL soc.ekonom. anal.'!K9</f>
        <v>360</v>
      </c>
      <c r="M7" s="1457">
        <f>'10. AL soc.ekonom. anal.'!L9</f>
        <v>360</v>
      </c>
      <c r="N7" s="1457">
        <f>'10. AL soc.ekonom. anal.'!M9</f>
        <v>360</v>
      </c>
      <c r="O7" s="1457">
        <f>'10. AL soc.ekonom. anal.'!N9</f>
        <v>360</v>
      </c>
      <c r="P7" s="1457">
        <f>'10. AL soc.ekonom. anal.'!O9</f>
        <v>360</v>
      </c>
      <c r="Q7" s="1457">
        <f>'10. AL soc.ekonom. anal.'!P9</f>
        <v>360</v>
      </c>
      <c r="R7" s="1457">
        <f>'10. AL soc.ekonom. anal.'!Q9</f>
        <v>360</v>
      </c>
      <c r="S7" s="1457">
        <f>'10. AL soc.ekonom. anal.'!R9</f>
        <v>360</v>
      </c>
      <c r="T7" s="1457">
        <f>'10. AL soc.ekonom. anal.'!S9</f>
        <v>1360</v>
      </c>
      <c r="U7" s="1597">
        <f t="shared" si="0"/>
        <v>6400</v>
      </c>
      <c r="V7" s="1480" t="e">
        <f>U7=#REF!</f>
        <v>#REF!</v>
      </c>
    </row>
    <row r="8" spans="1:22">
      <c r="A8" s="768"/>
      <c r="B8" s="800">
        <v>1.3</v>
      </c>
      <c r="C8" s="757" t="str">
        <f>'10. AL soc.ekonom. anal.'!C12</f>
        <v>Sociālekonomiskie un finanšu ieguvumi</v>
      </c>
      <c r="D8" s="751"/>
      <c r="E8" s="769" t="s">
        <v>873</v>
      </c>
      <c r="F8" s="1456">
        <f>'10. AL soc.ekonom. anal.'!E12</f>
        <v>9360</v>
      </c>
      <c r="G8" s="1457">
        <f>'10. AL soc.ekonom. anal.'!F12</f>
        <v>9360</v>
      </c>
      <c r="H8" s="1457">
        <f>'10. AL soc.ekonom. anal.'!G12</f>
        <v>9360</v>
      </c>
      <c r="I8" s="1457">
        <f>'10. AL soc.ekonom. anal.'!H12</f>
        <v>9360</v>
      </c>
      <c r="J8" s="1457">
        <f>'10. AL soc.ekonom. anal.'!I12</f>
        <v>9360</v>
      </c>
      <c r="K8" s="1457">
        <f>'10. AL soc.ekonom. anal.'!J12</f>
        <v>9360</v>
      </c>
      <c r="L8" s="1457">
        <f>'10. AL soc.ekonom. anal.'!K12</f>
        <v>9360</v>
      </c>
      <c r="M8" s="1457">
        <f>'10. AL soc.ekonom. anal.'!L12</f>
        <v>9360</v>
      </c>
      <c r="N8" s="1457">
        <f>'10. AL soc.ekonom. anal.'!M12</f>
        <v>9360</v>
      </c>
      <c r="O8" s="1457">
        <f>'10. AL soc.ekonom. anal.'!N12</f>
        <v>9360</v>
      </c>
      <c r="P8" s="1457">
        <f>'10. AL soc.ekonom. anal.'!O12</f>
        <v>9360</v>
      </c>
      <c r="Q8" s="1457">
        <f>'10. AL soc.ekonom. anal.'!P12</f>
        <v>9360</v>
      </c>
      <c r="R8" s="1457">
        <f>'10. AL soc.ekonom. anal.'!Q12</f>
        <v>9360</v>
      </c>
      <c r="S8" s="1457">
        <f>'10. AL soc.ekonom. anal.'!R12</f>
        <v>9360</v>
      </c>
      <c r="T8" s="1457">
        <f>'10. AL soc.ekonom. anal.'!S12</f>
        <v>10360</v>
      </c>
      <c r="U8" s="1597">
        <f t="shared" si="0"/>
        <v>141400</v>
      </c>
    </row>
    <row r="9" spans="1:22">
      <c r="A9" s="768"/>
      <c r="B9" s="800">
        <v>1.4</v>
      </c>
      <c r="C9" s="751" t="str">
        <f>'10. AL soc.ekonom. anal.'!C13</f>
        <v>Sociālekonomiskie zaudējumi</v>
      </c>
      <c r="D9" s="751"/>
      <c r="E9" s="769" t="s">
        <v>873</v>
      </c>
      <c r="F9" s="1456">
        <f>'10. AL soc.ekonom. anal.'!E13</f>
        <v>-150</v>
      </c>
      <c r="G9" s="1457">
        <f>'10. AL soc.ekonom. anal.'!F13</f>
        <v>-150</v>
      </c>
      <c r="H9" s="1457">
        <f>'10. AL soc.ekonom. anal.'!G13</f>
        <v>-150</v>
      </c>
      <c r="I9" s="1457">
        <f>'10. AL soc.ekonom. anal.'!H13</f>
        <v>-150</v>
      </c>
      <c r="J9" s="1457">
        <f>'10. AL soc.ekonom. anal.'!I13</f>
        <v>-150</v>
      </c>
      <c r="K9" s="1457">
        <f>'10. AL soc.ekonom. anal.'!J13</f>
        <v>-150</v>
      </c>
      <c r="L9" s="1457">
        <f>'10. AL soc.ekonom. anal.'!K13</f>
        <v>-150</v>
      </c>
      <c r="M9" s="1457">
        <f>'10. AL soc.ekonom. anal.'!L13</f>
        <v>-150</v>
      </c>
      <c r="N9" s="1457">
        <f>'10. AL soc.ekonom. anal.'!M13</f>
        <v>-150</v>
      </c>
      <c r="O9" s="1457">
        <f>'10. AL soc.ekonom. anal.'!N13</f>
        <v>-150</v>
      </c>
      <c r="P9" s="1457">
        <f>'10. AL soc.ekonom. anal.'!O13</f>
        <v>-150</v>
      </c>
      <c r="Q9" s="1457">
        <f>'10. AL soc.ekonom. anal.'!P13</f>
        <v>-150</v>
      </c>
      <c r="R9" s="1457">
        <f>'10. AL soc.ekonom. anal.'!Q13</f>
        <v>-150</v>
      </c>
      <c r="S9" s="1457">
        <f>'10. AL soc.ekonom. anal.'!R13</f>
        <v>-150</v>
      </c>
      <c r="T9" s="1457">
        <f>'10. AL soc.ekonom. anal.'!S13</f>
        <v>-150</v>
      </c>
      <c r="U9" s="1597">
        <f t="shared" si="0"/>
        <v>-2250</v>
      </c>
    </row>
    <row r="10" spans="1:22">
      <c r="A10" s="768"/>
      <c r="B10" s="800">
        <v>1.5</v>
      </c>
      <c r="C10" s="751" t="str">
        <f>'10. AL soc.ekonom. anal.'!C14</f>
        <v>Finanšu izmaksas</v>
      </c>
      <c r="D10" s="751"/>
      <c r="E10" s="769" t="s">
        <v>873</v>
      </c>
      <c r="F10" s="1456">
        <f>'10. AL soc.ekonom. anal.'!E14</f>
        <v>-35350</v>
      </c>
      <c r="G10" s="1457">
        <f>'10. AL soc.ekonom. anal.'!F14</f>
        <v>-9865</v>
      </c>
      <c r="H10" s="1457">
        <f>'10. AL soc.ekonom. anal.'!G14</f>
        <v>-29100</v>
      </c>
      <c r="I10" s="1457">
        <f>'10. AL soc.ekonom. anal.'!H14</f>
        <v>-400</v>
      </c>
      <c r="J10" s="1457">
        <f>'10. AL soc.ekonom. anal.'!I14</f>
        <v>-400</v>
      </c>
      <c r="K10" s="1457">
        <f>'10. AL soc.ekonom. anal.'!J14</f>
        <v>-400</v>
      </c>
      <c r="L10" s="1457">
        <f>'10. AL soc.ekonom. anal.'!K14</f>
        <v>-400</v>
      </c>
      <c r="M10" s="1457">
        <f>'10. AL soc.ekonom. anal.'!L14</f>
        <v>-400</v>
      </c>
      <c r="N10" s="1457">
        <f>'10. AL soc.ekonom. anal.'!M14</f>
        <v>-400</v>
      </c>
      <c r="O10" s="1457">
        <f>'10. AL soc.ekonom. anal.'!N14</f>
        <v>-400</v>
      </c>
      <c r="P10" s="1457">
        <f>'10. AL soc.ekonom. anal.'!O14</f>
        <v>-400</v>
      </c>
      <c r="Q10" s="1457">
        <f>'10. AL soc.ekonom. anal.'!P14</f>
        <v>-400</v>
      </c>
      <c r="R10" s="1457">
        <f>'10. AL soc.ekonom. anal.'!Q14</f>
        <v>-400</v>
      </c>
      <c r="S10" s="1457">
        <f>'10. AL soc.ekonom. anal.'!R14</f>
        <v>-400</v>
      </c>
      <c r="T10" s="1457">
        <f>'10. AL soc.ekonom. anal.'!S14</f>
        <v>-400</v>
      </c>
      <c r="U10" s="1597">
        <f t="shared" si="0"/>
        <v>-79115</v>
      </c>
    </row>
    <row r="11" spans="1:22">
      <c r="A11" s="768"/>
      <c r="B11" s="751" t="s">
        <v>47</v>
      </c>
      <c r="C11" s="751" t="str">
        <f>'10. AL soc.ekonom. anal.'!C21</f>
        <v xml:space="preserve">Fiskālās korekcijas </v>
      </c>
      <c r="D11" s="751"/>
      <c r="E11" s="769" t="s">
        <v>873</v>
      </c>
      <c r="F11" s="1456">
        <f>'10. AL soc.ekonom. anal.'!E21</f>
        <v>50</v>
      </c>
      <c r="G11" s="1457">
        <f>'10. AL soc.ekonom. anal.'!F21</f>
        <v>50</v>
      </c>
      <c r="H11" s="1457">
        <f>'10. AL soc.ekonom. anal.'!G21</f>
        <v>50</v>
      </c>
      <c r="I11" s="1457">
        <f>'10. AL soc.ekonom. anal.'!H21</f>
        <v>50</v>
      </c>
      <c r="J11" s="1457">
        <f>'10. AL soc.ekonom. anal.'!I21</f>
        <v>50</v>
      </c>
      <c r="K11" s="1457">
        <f>'10. AL soc.ekonom. anal.'!J21</f>
        <v>50</v>
      </c>
      <c r="L11" s="1457">
        <f>'10. AL soc.ekonom. anal.'!K21</f>
        <v>50</v>
      </c>
      <c r="M11" s="1457">
        <f>'10. AL soc.ekonom. anal.'!L21</f>
        <v>50</v>
      </c>
      <c r="N11" s="1457">
        <f>'10. AL soc.ekonom. anal.'!M21</f>
        <v>50</v>
      </c>
      <c r="O11" s="1457">
        <f>'10. AL soc.ekonom. anal.'!N21</f>
        <v>50</v>
      </c>
      <c r="P11" s="1457">
        <f>'10. AL soc.ekonom. anal.'!O21</f>
        <v>50</v>
      </c>
      <c r="Q11" s="1457">
        <f>'10. AL soc.ekonom. anal.'!P21</f>
        <v>50</v>
      </c>
      <c r="R11" s="1457">
        <f>'10. AL soc.ekonom. anal.'!Q21</f>
        <v>50</v>
      </c>
      <c r="S11" s="1457">
        <f>'10. AL soc.ekonom. anal.'!R21</f>
        <v>50</v>
      </c>
      <c r="T11" s="1457">
        <f>'10. AL soc.ekonom. anal.'!S21</f>
        <v>50</v>
      </c>
      <c r="U11" s="1597">
        <f t="shared" si="0"/>
        <v>750</v>
      </c>
    </row>
    <row r="12" spans="1:22">
      <c r="A12" s="768"/>
      <c r="B12" s="751" t="s">
        <v>48</v>
      </c>
      <c r="C12" s="757" t="str">
        <f>'10. AL soc.ekonom. anal.'!C25</f>
        <v>Finanšu un sociālekonomiskās izmaksas</v>
      </c>
      <c r="D12" s="751"/>
      <c r="E12" s="769" t="s">
        <v>873</v>
      </c>
      <c r="F12" s="1512">
        <f>'10. AL soc.ekonom. anal.'!E25</f>
        <v>-35450</v>
      </c>
      <c r="G12" s="1513">
        <f>'10. AL soc.ekonom. anal.'!F25</f>
        <v>-9965</v>
      </c>
      <c r="H12" s="1513">
        <f>'10. AL soc.ekonom. anal.'!G25</f>
        <v>-29200</v>
      </c>
      <c r="I12" s="1513">
        <f>'10. AL soc.ekonom. anal.'!H25</f>
        <v>-500</v>
      </c>
      <c r="J12" s="1513">
        <f>'10. AL soc.ekonom. anal.'!I25</f>
        <v>-500</v>
      </c>
      <c r="K12" s="1513">
        <f>'10. AL soc.ekonom. anal.'!J25</f>
        <v>-500</v>
      </c>
      <c r="L12" s="1513">
        <f>'10. AL soc.ekonom. anal.'!K25</f>
        <v>-500</v>
      </c>
      <c r="M12" s="1513">
        <f>'10. AL soc.ekonom. anal.'!L25</f>
        <v>-500</v>
      </c>
      <c r="N12" s="1513">
        <f>'10. AL soc.ekonom. anal.'!M25</f>
        <v>-500</v>
      </c>
      <c r="O12" s="1513">
        <f>'10. AL soc.ekonom. anal.'!N25</f>
        <v>-500</v>
      </c>
      <c r="P12" s="1513">
        <f>'10. AL soc.ekonom. anal.'!O25</f>
        <v>-500</v>
      </c>
      <c r="Q12" s="1513">
        <f>'10. AL soc.ekonom. anal.'!P25</f>
        <v>-500</v>
      </c>
      <c r="R12" s="1513">
        <f>'10. AL soc.ekonom. anal.'!Q25</f>
        <v>-500</v>
      </c>
      <c r="S12" s="1513">
        <f>'10. AL soc.ekonom. anal.'!R25</f>
        <v>-500</v>
      </c>
      <c r="T12" s="1513">
        <f>'10. AL soc.ekonom. anal.'!S25</f>
        <v>-500</v>
      </c>
      <c r="U12" s="1597">
        <f t="shared" si="0"/>
        <v>-80615</v>
      </c>
    </row>
    <row r="13" spans="1:22">
      <c r="A13" s="751"/>
      <c r="B13" s="751" t="s">
        <v>49</v>
      </c>
      <c r="C13" s="757" t="s">
        <v>12</v>
      </c>
      <c r="D13" s="771"/>
      <c r="E13" s="769" t="s">
        <v>873</v>
      </c>
      <c r="F13" s="1514">
        <f>'10. AL soc.ekonom. anal.'!E26</f>
        <v>-26090</v>
      </c>
      <c r="G13" s="1515">
        <f>'10. AL soc.ekonom. anal.'!F26</f>
        <v>-605</v>
      </c>
      <c r="H13" s="1515">
        <f>'10. AL soc.ekonom. anal.'!G26</f>
        <v>-19840</v>
      </c>
      <c r="I13" s="1515">
        <f>'10. AL soc.ekonom. anal.'!H26</f>
        <v>8860</v>
      </c>
      <c r="J13" s="1515">
        <f>'10. AL soc.ekonom. anal.'!I26</f>
        <v>8860</v>
      </c>
      <c r="K13" s="1515">
        <f>'10. AL soc.ekonom. anal.'!J26</f>
        <v>8860</v>
      </c>
      <c r="L13" s="1515">
        <f>'10. AL soc.ekonom. anal.'!K26</f>
        <v>8860</v>
      </c>
      <c r="M13" s="1515">
        <f>'10. AL soc.ekonom. anal.'!L26</f>
        <v>8860</v>
      </c>
      <c r="N13" s="1515">
        <f>'10. AL soc.ekonom. anal.'!M26</f>
        <v>8860</v>
      </c>
      <c r="O13" s="1515">
        <f>'10. AL soc.ekonom. anal.'!N26</f>
        <v>8860</v>
      </c>
      <c r="P13" s="1515">
        <f>'10. AL soc.ekonom. anal.'!O26</f>
        <v>8860</v>
      </c>
      <c r="Q13" s="1515">
        <f>'10. AL soc.ekonom. anal.'!P26</f>
        <v>8860</v>
      </c>
      <c r="R13" s="1515">
        <f>'10. AL soc.ekonom. anal.'!Q26</f>
        <v>8860</v>
      </c>
      <c r="S13" s="1515">
        <f>'10. AL soc.ekonom. anal.'!R26</f>
        <v>8860</v>
      </c>
      <c r="T13" s="1515">
        <f>'10. AL soc.ekonom. anal.'!S26</f>
        <v>9860</v>
      </c>
      <c r="U13" s="1598">
        <f t="shared" si="0"/>
        <v>60785</v>
      </c>
      <c r="V13" s="761" t="b">
        <f>U13='10. AL soc.ekonom. anal.'!T26</f>
        <v>1</v>
      </c>
    </row>
    <row r="14" spans="1:22">
      <c r="A14" s="770"/>
      <c r="B14" s="771"/>
      <c r="C14" s="802"/>
      <c r="D14" s="771"/>
      <c r="E14" s="769"/>
      <c r="F14" s="1691"/>
      <c r="G14" s="1691"/>
      <c r="H14" s="1691"/>
      <c r="I14" s="1691"/>
      <c r="J14" s="1691"/>
      <c r="K14" s="1691"/>
      <c r="L14" s="1691"/>
      <c r="M14" s="1691"/>
      <c r="N14" s="1691"/>
      <c r="O14" s="1691"/>
      <c r="P14" s="1691"/>
      <c r="Q14" s="1691"/>
      <c r="R14" s="1691"/>
      <c r="S14" s="1691"/>
      <c r="T14" s="1691"/>
      <c r="U14" s="1692"/>
    </row>
    <row r="15" spans="1:22" ht="15">
      <c r="A15" s="1561">
        <v>2</v>
      </c>
      <c r="B15" s="1562" t="s">
        <v>13</v>
      </c>
      <c r="C15" s="1562"/>
      <c r="D15" s="1562"/>
      <c r="E15" s="1562"/>
      <c r="F15" s="1592"/>
      <c r="G15" s="1592"/>
      <c r="H15" s="1592"/>
      <c r="I15" s="1592"/>
      <c r="J15" s="1592"/>
      <c r="K15" s="1592"/>
      <c r="L15" s="1592"/>
      <c r="M15" s="1592"/>
      <c r="N15" s="1592"/>
      <c r="O15" s="1592"/>
      <c r="P15" s="1592"/>
      <c r="Q15" s="1592"/>
      <c r="R15" s="1592"/>
      <c r="S15" s="1592"/>
      <c r="T15" s="1592"/>
      <c r="U15" s="1593"/>
    </row>
    <row r="16" spans="1:22" s="808" customFormat="1" ht="15">
      <c r="A16" s="1534"/>
      <c r="B16" s="1536"/>
      <c r="C16" s="1535" t="s">
        <v>154</v>
      </c>
      <c r="D16" s="1535"/>
      <c r="E16" s="1502" t="s">
        <v>15</v>
      </c>
      <c r="F16" s="1537">
        <f>Titullapa!C81</f>
        <v>0.05</v>
      </c>
      <c r="H16" s="804"/>
      <c r="I16" s="807"/>
      <c r="J16" s="807"/>
      <c r="K16" s="807"/>
      <c r="L16" s="807"/>
      <c r="M16" s="807"/>
      <c r="N16" s="807"/>
      <c r="O16" s="807"/>
      <c r="P16" s="807"/>
      <c r="Q16" s="807"/>
      <c r="R16" s="807"/>
      <c r="S16" s="807"/>
      <c r="T16" s="807"/>
      <c r="U16" s="804"/>
    </row>
    <row r="17" spans="1:21">
      <c r="A17" s="1534"/>
      <c r="B17" s="1534"/>
      <c r="C17" s="1535" t="s">
        <v>17</v>
      </c>
      <c r="D17" s="1535"/>
      <c r="E17" s="1502" t="s">
        <v>18</v>
      </c>
      <c r="F17" s="1503">
        <v>0</v>
      </c>
      <c r="G17" s="1503">
        <v>1</v>
      </c>
      <c r="H17" s="1503">
        <v>2</v>
      </c>
      <c r="I17" s="1503">
        <v>3</v>
      </c>
      <c r="J17" s="1503">
        <v>4</v>
      </c>
      <c r="K17" s="1503">
        <v>5</v>
      </c>
      <c r="L17" s="1503">
        <v>6</v>
      </c>
      <c r="M17" s="1503">
        <v>7</v>
      </c>
      <c r="N17" s="1503">
        <v>8</v>
      </c>
      <c r="O17" s="1503">
        <v>9</v>
      </c>
      <c r="P17" s="1503">
        <v>10</v>
      </c>
      <c r="Q17" s="1503">
        <v>11</v>
      </c>
      <c r="R17" s="1503">
        <v>12</v>
      </c>
      <c r="S17" s="1503">
        <v>13</v>
      </c>
      <c r="T17" s="1503">
        <v>14</v>
      </c>
      <c r="U17" s="762"/>
    </row>
    <row r="18" spans="1:21">
      <c r="A18" s="1534"/>
      <c r="B18" s="1534"/>
      <c r="C18" s="1535" t="s">
        <v>20</v>
      </c>
      <c r="D18" s="1535"/>
      <c r="E18" s="1450" t="s">
        <v>21</v>
      </c>
      <c r="F18" s="1695">
        <f t="shared" ref="F18:O18" si="1">1/(1+$F$16)^F17</f>
        <v>1</v>
      </c>
      <c r="G18" s="1695">
        <f t="shared" si="1"/>
        <v>0.95238095238095233</v>
      </c>
      <c r="H18" s="1695">
        <f t="shared" si="1"/>
        <v>0.90702947845804982</v>
      </c>
      <c r="I18" s="1695">
        <f t="shared" si="1"/>
        <v>0.86383759853147601</v>
      </c>
      <c r="J18" s="1695">
        <f t="shared" si="1"/>
        <v>0.82270247479188197</v>
      </c>
      <c r="K18" s="1695">
        <f t="shared" si="1"/>
        <v>0.78352616646845896</v>
      </c>
      <c r="L18" s="1695">
        <f t="shared" si="1"/>
        <v>0.74621539663662761</v>
      </c>
      <c r="M18" s="1695">
        <f t="shared" si="1"/>
        <v>0.71068133013012147</v>
      </c>
      <c r="N18" s="1695">
        <f t="shared" si="1"/>
        <v>0.67683936202868722</v>
      </c>
      <c r="O18" s="1695">
        <f t="shared" si="1"/>
        <v>0.64460891621779726</v>
      </c>
      <c r="P18" s="1695">
        <f t="shared" ref="P18:T18" si="2">1/(1+$F$16)^P17</f>
        <v>0.61391325354075932</v>
      </c>
      <c r="Q18" s="1695">
        <f t="shared" si="2"/>
        <v>0.5846792890864374</v>
      </c>
      <c r="R18" s="1695">
        <f t="shared" si="2"/>
        <v>0.5568374181775595</v>
      </c>
      <c r="S18" s="1695">
        <f t="shared" si="2"/>
        <v>0.53032135064529462</v>
      </c>
      <c r="T18" s="1695">
        <f t="shared" si="2"/>
        <v>0.50506795299551888</v>
      </c>
      <c r="U18" s="762"/>
    </row>
    <row r="19" spans="1:21">
      <c r="A19" s="765"/>
      <c r="B19" s="766" t="s">
        <v>14</v>
      </c>
      <c r="C19" s="766" t="s">
        <v>136</v>
      </c>
      <c r="D19" s="766"/>
      <c r="E19" s="1343" t="s">
        <v>873</v>
      </c>
      <c r="F19" s="1510">
        <f t="shared" ref="F19:T19" si="3">F6*F18</f>
        <v>9000</v>
      </c>
      <c r="G19" s="1511">
        <f t="shared" si="3"/>
        <v>8571.4285714285706</v>
      </c>
      <c r="H19" s="1511">
        <f t="shared" si="3"/>
        <v>8163.2653061224482</v>
      </c>
      <c r="I19" s="1511">
        <f t="shared" si="3"/>
        <v>7774.5383867832843</v>
      </c>
      <c r="J19" s="1511">
        <f t="shared" si="3"/>
        <v>7404.3222731269379</v>
      </c>
      <c r="K19" s="1511">
        <f t="shared" si="3"/>
        <v>7051.7354982161305</v>
      </c>
      <c r="L19" s="1511">
        <f t="shared" si="3"/>
        <v>6715.9385697296484</v>
      </c>
      <c r="M19" s="1511">
        <f t="shared" si="3"/>
        <v>6396.131971171093</v>
      </c>
      <c r="N19" s="1511">
        <f>N6*N18</f>
        <v>6091.5542582581847</v>
      </c>
      <c r="O19" s="1511">
        <f t="shared" si="3"/>
        <v>5801.4802459601751</v>
      </c>
      <c r="P19" s="1511">
        <f t="shared" si="3"/>
        <v>5525.2192818668336</v>
      </c>
      <c r="Q19" s="1511">
        <f t="shared" si="3"/>
        <v>5262.1136017779363</v>
      </c>
      <c r="R19" s="1511">
        <f t="shared" si="3"/>
        <v>5011.5367635980356</v>
      </c>
      <c r="S19" s="1511">
        <f t="shared" si="3"/>
        <v>4772.8921558076518</v>
      </c>
      <c r="T19" s="1511">
        <f t="shared" si="3"/>
        <v>4545.6115769596699</v>
      </c>
      <c r="U19" s="1517">
        <f t="shared" ref="U19:U44" si="4">SUM(F19:T19)</f>
        <v>98087.76846080659</v>
      </c>
    </row>
    <row r="20" spans="1:21">
      <c r="A20" s="768"/>
      <c r="B20" s="1680" t="s">
        <v>228</v>
      </c>
      <c r="C20" s="1679" t="str">
        <f>'5. DL soc.econom. analīze'!B7</f>
        <v>Ieguvums ...</v>
      </c>
      <c r="D20" s="751"/>
      <c r="E20" s="1343" t="s">
        <v>873</v>
      </c>
      <c r="F20" s="1681">
        <f>'5. DL soc.econom. analīze'!D7*F$18</f>
        <v>3000</v>
      </c>
      <c r="G20" s="1682">
        <f>'5. DL soc.econom. analīze'!E7*G$18</f>
        <v>2857.1428571428569</v>
      </c>
      <c r="H20" s="1682">
        <f>'5. DL soc.econom. analīze'!F7*H$18</f>
        <v>2721.0884353741494</v>
      </c>
      <c r="I20" s="1682">
        <f>'5. DL soc.econom. analīze'!G7*I$18</f>
        <v>2591.5127955944281</v>
      </c>
      <c r="J20" s="1682">
        <f>'5. DL soc.econom. analīze'!H7*J$18</f>
        <v>2468.1074243756457</v>
      </c>
      <c r="K20" s="1682">
        <f>'5. DL soc.econom. analīze'!I7*K$18</f>
        <v>2350.578499405377</v>
      </c>
      <c r="L20" s="1682">
        <f>'5. DL soc.econom. analīze'!J7*L$18</f>
        <v>2238.6461899098827</v>
      </c>
      <c r="M20" s="1682">
        <f>'5. DL soc.econom. analīze'!K7*M$18</f>
        <v>2132.0439903903643</v>
      </c>
      <c r="N20" s="1682">
        <f>'5. DL soc.econom. analīze'!L7*N$18</f>
        <v>2030.5180860860617</v>
      </c>
      <c r="O20" s="1682">
        <f>'5. DL soc.econom. analīze'!M7*O$18</f>
        <v>1933.8267486533919</v>
      </c>
      <c r="P20" s="1682">
        <f>'5. DL soc.econom. analīze'!N7*P$18</f>
        <v>1841.739760622278</v>
      </c>
      <c r="Q20" s="1682">
        <f>'5. DL soc.econom. analīze'!O7*Q$18</f>
        <v>1754.0378672593122</v>
      </c>
      <c r="R20" s="1682">
        <f>'5. DL soc.econom. analīze'!P7*R$18</f>
        <v>1670.5122545326785</v>
      </c>
      <c r="S20" s="1682">
        <f>'5. DL soc.econom. analīze'!Q7*S$18</f>
        <v>1590.9640519358838</v>
      </c>
      <c r="T20" s="1682">
        <f>'5. DL soc.econom. analīze'!R7*T$18</f>
        <v>1515.2038589865567</v>
      </c>
      <c r="U20" s="1517">
        <f t="shared" si="4"/>
        <v>32695.922820268857</v>
      </c>
    </row>
    <row r="21" spans="1:21">
      <c r="A21" s="768"/>
      <c r="B21" s="1680" t="s">
        <v>226</v>
      </c>
      <c r="C21" s="1679" t="str">
        <f>'5. DL soc.econom. analīze'!B8</f>
        <v>Ieguvums ...</v>
      </c>
      <c r="D21" s="751"/>
      <c r="E21" s="1343" t="s">
        <v>873</v>
      </c>
      <c r="F21" s="1681">
        <f>'5. DL soc.econom. analīze'!D8*F$18</f>
        <v>3000</v>
      </c>
      <c r="G21" s="1682">
        <f>'5. DL soc.econom. analīze'!E8*G$18</f>
        <v>2857.1428571428569</v>
      </c>
      <c r="H21" s="1682">
        <f>'5. DL soc.econom. analīze'!F8*H$18</f>
        <v>2721.0884353741494</v>
      </c>
      <c r="I21" s="1682">
        <f>'5. DL soc.econom. analīze'!G8*I$18</f>
        <v>2591.5127955944281</v>
      </c>
      <c r="J21" s="1682">
        <f>'5. DL soc.econom. analīze'!H8*J$18</f>
        <v>2468.1074243756457</v>
      </c>
      <c r="K21" s="1682">
        <f>'5. DL soc.econom. analīze'!I8*K$18</f>
        <v>2350.578499405377</v>
      </c>
      <c r="L21" s="1682">
        <f>'5. DL soc.econom. analīze'!J8*L$18</f>
        <v>2238.6461899098827</v>
      </c>
      <c r="M21" s="1682">
        <f>'5. DL soc.econom. analīze'!K8*M$18</f>
        <v>2132.0439903903643</v>
      </c>
      <c r="N21" s="1682">
        <f>'5. DL soc.econom. analīze'!L8*N$18</f>
        <v>2030.5180860860617</v>
      </c>
      <c r="O21" s="1682">
        <f>'5. DL soc.econom. analīze'!M8*O$18</f>
        <v>1933.8267486533919</v>
      </c>
      <c r="P21" s="1682">
        <f>'5. DL soc.econom. analīze'!N8*P$18</f>
        <v>1841.739760622278</v>
      </c>
      <c r="Q21" s="1682">
        <f>'5. DL soc.econom. analīze'!O8*Q$18</f>
        <v>1754.0378672593122</v>
      </c>
      <c r="R21" s="1682">
        <f>'5. DL soc.econom. analīze'!P8*R$18</f>
        <v>1670.5122545326785</v>
      </c>
      <c r="S21" s="1682">
        <f>'5. DL soc.econom. analīze'!Q8*S$18</f>
        <v>1590.9640519358838</v>
      </c>
      <c r="T21" s="1682">
        <f>'5. DL soc.econom. analīze'!R8*T$18</f>
        <v>1515.2038589865567</v>
      </c>
      <c r="U21" s="1517">
        <f t="shared" si="4"/>
        <v>32695.922820268857</v>
      </c>
    </row>
    <row r="22" spans="1:21">
      <c r="A22" s="768"/>
      <c r="B22" s="1680" t="s">
        <v>224</v>
      </c>
      <c r="C22" s="1679" t="str">
        <f>'5. DL soc.econom. analīze'!B9</f>
        <v>Ieguvums ...</v>
      </c>
      <c r="D22" s="751"/>
      <c r="E22" s="1343" t="s">
        <v>873</v>
      </c>
      <c r="F22" s="1681">
        <f>'5. DL soc.econom. analīze'!D9*F$18</f>
        <v>3000</v>
      </c>
      <c r="G22" s="1682">
        <f>'5. DL soc.econom. analīze'!E9*G$18</f>
        <v>2857.1428571428569</v>
      </c>
      <c r="H22" s="1682">
        <f>'5. DL soc.econom. analīze'!F9*H$18</f>
        <v>2721.0884353741494</v>
      </c>
      <c r="I22" s="1682">
        <f>'5. DL soc.econom. analīze'!G9*I$18</f>
        <v>2591.5127955944281</v>
      </c>
      <c r="J22" s="1682">
        <f>'5. DL soc.econom. analīze'!H9*J$18</f>
        <v>2468.1074243756457</v>
      </c>
      <c r="K22" s="1682">
        <f>'5. DL soc.econom. analīze'!I9*K$18</f>
        <v>2350.578499405377</v>
      </c>
      <c r="L22" s="1682">
        <f>'5. DL soc.econom. analīze'!J9*L$18</f>
        <v>2238.6461899098827</v>
      </c>
      <c r="M22" s="1682">
        <f>'5. DL soc.econom. analīze'!K9*M$18</f>
        <v>2132.0439903903643</v>
      </c>
      <c r="N22" s="1682">
        <f>'5. DL soc.econom. analīze'!L9*N$18</f>
        <v>2030.5180860860617</v>
      </c>
      <c r="O22" s="1682">
        <f>'5. DL soc.econom. analīze'!M9*O$18</f>
        <v>1933.8267486533919</v>
      </c>
      <c r="P22" s="1682">
        <f>'5. DL soc.econom. analīze'!N9*P$18</f>
        <v>1841.739760622278</v>
      </c>
      <c r="Q22" s="1682">
        <f>'5. DL soc.econom. analīze'!O9*Q$18</f>
        <v>1754.0378672593122</v>
      </c>
      <c r="R22" s="1682">
        <f>'5. DL soc.econom. analīze'!P9*R$18</f>
        <v>1670.5122545326785</v>
      </c>
      <c r="S22" s="1682">
        <f>'5. DL soc.econom. analīze'!Q9*S$18</f>
        <v>1590.9640519358838</v>
      </c>
      <c r="T22" s="1682">
        <f>'5. DL soc.econom. analīze'!R9*T$18</f>
        <v>1515.2038589865567</v>
      </c>
      <c r="U22" s="1517">
        <f t="shared" si="4"/>
        <v>32695.922820268857</v>
      </c>
    </row>
    <row r="23" spans="1:21">
      <c r="A23" s="768"/>
      <c r="B23" s="1680" t="s">
        <v>851</v>
      </c>
      <c r="C23" s="1679" t="str">
        <f>'5. DL soc.econom. analīze'!B10</f>
        <v>Ieguvums ...</v>
      </c>
      <c r="D23" s="751"/>
      <c r="E23" s="1343" t="s">
        <v>873</v>
      </c>
      <c r="F23" s="1681">
        <f>'5. DL soc.econom. analīze'!D10*F$18</f>
        <v>0</v>
      </c>
      <c r="G23" s="1682">
        <f>'5. DL soc.econom. analīze'!E10*G$18</f>
        <v>0</v>
      </c>
      <c r="H23" s="1682">
        <f>'5. DL soc.econom. analīze'!F10*H$18</f>
        <v>0</v>
      </c>
      <c r="I23" s="1682">
        <f>'5. DL soc.econom. analīze'!G10*I$18</f>
        <v>0</v>
      </c>
      <c r="J23" s="1682">
        <f>'5. DL soc.econom. analīze'!H10*J$18</f>
        <v>0</v>
      </c>
      <c r="K23" s="1682">
        <f>'5. DL soc.econom. analīze'!I10*K$18</f>
        <v>0</v>
      </c>
      <c r="L23" s="1682">
        <f>'5. DL soc.econom. analīze'!J10*L$18</f>
        <v>0</v>
      </c>
      <c r="M23" s="1682">
        <f>'5. DL soc.econom. analīze'!K10*M$18</f>
        <v>0</v>
      </c>
      <c r="N23" s="1682">
        <f>'5. DL soc.econom. analīze'!L10*N$18</f>
        <v>0</v>
      </c>
      <c r="O23" s="1682">
        <f>'5. DL soc.econom. analīze'!M10*O$18</f>
        <v>0</v>
      </c>
      <c r="P23" s="1682">
        <f>'5. DL soc.econom. analīze'!N10*P$18</f>
        <v>0</v>
      </c>
      <c r="Q23" s="1682">
        <f>'5. DL soc.econom. analīze'!O10*Q$18</f>
        <v>0</v>
      </c>
      <c r="R23" s="1682">
        <f>'5. DL soc.econom. analīze'!P10*R$18</f>
        <v>0</v>
      </c>
      <c r="S23" s="1682">
        <f>'5. DL soc.econom. analīze'!Q10*S$18</f>
        <v>0</v>
      </c>
      <c r="T23" s="1682">
        <f>'5. DL soc.econom. analīze'!R10*T$18</f>
        <v>0</v>
      </c>
      <c r="U23" s="1517">
        <f t="shared" si="4"/>
        <v>0</v>
      </c>
    </row>
    <row r="24" spans="1:21">
      <c r="A24" s="768"/>
      <c r="B24" s="1680" t="s">
        <v>1004</v>
      </c>
      <c r="C24" s="1679" t="str">
        <f>'5. DL soc.econom. analīze'!B11</f>
        <v>Ieguvums ...</v>
      </c>
      <c r="D24" s="751"/>
      <c r="E24" s="1343" t="s">
        <v>873</v>
      </c>
      <c r="F24" s="1681">
        <f>'5. DL soc.econom. analīze'!D11*F$18</f>
        <v>0</v>
      </c>
      <c r="G24" s="1682">
        <f>'5. DL soc.econom. analīze'!E11*G$18</f>
        <v>0</v>
      </c>
      <c r="H24" s="1682">
        <f>'5. DL soc.econom. analīze'!F11*H$18</f>
        <v>0</v>
      </c>
      <c r="I24" s="1682">
        <f>'5. DL soc.econom. analīze'!G11*I$18</f>
        <v>0</v>
      </c>
      <c r="J24" s="1682">
        <f>'5. DL soc.econom. analīze'!H11*J$18</f>
        <v>0</v>
      </c>
      <c r="K24" s="1682">
        <f>'5. DL soc.econom. analīze'!I11*K$18</f>
        <v>0</v>
      </c>
      <c r="L24" s="1682">
        <f>'5. DL soc.econom. analīze'!J11*L$18</f>
        <v>0</v>
      </c>
      <c r="M24" s="1682">
        <f>'5. DL soc.econom. analīze'!K11*M$18</f>
        <v>0</v>
      </c>
      <c r="N24" s="1682">
        <f>'5. DL soc.econom. analīze'!L11*N$18</f>
        <v>0</v>
      </c>
      <c r="O24" s="1682">
        <f>'5. DL soc.econom. analīze'!M11*O$18</f>
        <v>0</v>
      </c>
      <c r="P24" s="1682">
        <f>'5. DL soc.econom. analīze'!N11*P$18</f>
        <v>0</v>
      </c>
      <c r="Q24" s="1682">
        <f>'5. DL soc.econom. analīze'!O11*Q$18</f>
        <v>0</v>
      </c>
      <c r="R24" s="1682">
        <f>'5. DL soc.econom. analīze'!P11*R$18</f>
        <v>0</v>
      </c>
      <c r="S24" s="1682">
        <f>'5. DL soc.econom. analīze'!Q11*S$18</f>
        <v>0</v>
      </c>
      <c r="T24" s="1682">
        <f>'5. DL soc.econom. analīze'!R11*T$18</f>
        <v>0</v>
      </c>
      <c r="U24" s="1517">
        <f t="shared" si="4"/>
        <v>0</v>
      </c>
    </row>
    <row r="25" spans="1:21">
      <c r="A25" s="768"/>
      <c r="B25" s="1680" t="s">
        <v>1075</v>
      </c>
      <c r="C25" s="1679" t="str">
        <f>'5. DL soc.econom. analīze'!B12</f>
        <v>Ieguvums ...</v>
      </c>
      <c r="D25" s="751"/>
      <c r="E25" s="1343" t="s">
        <v>873</v>
      </c>
      <c r="F25" s="1681">
        <f>'5. DL soc.econom. analīze'!D12*F$18</f>
        <v>0</v>
      </c>
      <c r="G25" s="1682">
        <f>'5. DL soc.econom. analīze'!E12*G$18</f>
        <v>0</v>
      </c>
      <c r="H25" s="1682">
        <f>'5. DL soc.econom. analīze'!F12*H$18</f>
        <v>0</v>
      </c>
      <c r="I25" s="1682">
        <f>'5. DL soc.econom. analīze'!G12*I$18</f>
        <v>0</v>
      </c>
      <c r="J25" s="1682">
        <f>'5. DL soc.econom. analīze'!H12*J$18</f>
        <v>0</v>
      </c>
      <c r="K25" s="1682">
        <f>'5. DL soc.econom. analīze'!I12*K$18</f>
        <v>0</v>
      </c>
      <c r="L25" s="1682">
        <f>'5. DL soc.econom. analīze'!J12*L$18</f>
        <v>0</v>
      </c>
      <c r="M25" s="1682">
        <f>'5. DL soc.econom. analīze'!K12*M$18</f>
        <v>0</v>
      </c>
      <c r="N25" s="1682">
        <f>'5. DL soc.econom. analīze'!L12*N$18</f>
        <v>0</v>
      </c>
      <c r="O25" s="1682">
        <f>'5. DL soc.econom. analīze'!M12*O$18</f>
        <v>0</v>
      </c>
      <c r="P25" s="1682">
        <f>'5. DL soc.econom. analīze'!N12*P$18</f>
        <v>0</v>
      </c>
      <c r="Q25" s="1682">
        <f>'5. DL soc.econom. analīze'!O12*Q$18</f>
        <v>0</v>
      </c>
      <c r="R25" s="1682">
        <f>'5. DL soc.econom. analīze'!P12*R$18</f>
        <v>0</v>
      </c>
      <c r="S25" s="1682">
        <f>'5. DL soc.econom. analīze'!Q12*S$18</f>
        <v>0</v>
      </c>
      <c r="T25" s="1682">
        <f>'5. DL soc.econom. analīze'!R12*T$18</f>
        <v>0</v>
      </c>
      <c r="U25" s="1517">
        <f t="shared" si="4"/>
        <v>0</v>
      </c>
    </row>
    <row r="26" spans="1:21">
      <c r="A26" s="768"/>
      <c r="B26" s="1680" t="s">
        <v>1076</v>
      </c>
      <c r="C26" s="1679" t="str">
        <f>'5. DL soc.econom. analīze'!B13</f>
        <v>Ieguvums ...</v>
      </c>
      <c r="D26" s="751"/>
      <c r="E26" s="1343" t="s">
        <v>873</v>
      </c>
      <c r="F26" s="1681">
        <f>'5. DL soc.econom. analīze'!D13*F$18</f>
        <v>0</v>
      </c>
      <c r="G26" s="1682">
        <f>'5. DL soc.econom. analīze'!E13*G$18</f>
        <v>0</v>
      </c>
      <c r="H26" s="1682">
        <f>'5. DL soc.econom. analīze'!F13*H$18</f>
        <v>0</v>
      </c>
      <c r="I26" s="1682">
        <f>'5. DL soc.econom. analīze'!G13*I$18</f>
        <v>0</v>
      </c>
      <c r="J26" s="1682">
        <f>'5. DL soc.econom. analīze'!H13*J$18</f>
        <v>0</v>
      </c>
      <c r="K26" s="1682">
        <f>'5. DL soc.econom. analīze'!I13*K$18</f>
        <v>0</v>
      </c>
      <c r="L26" s="1682">
        <f>'5. DL soc.econom. analīze'!J13*L$18</f>
        <v>0</v>
      </c>
      <c r="M26" s="1682">
        <f>'5. DL soc.econom. analīze'!K13*M$18</f>
        <v>0</v>
      </c>
      <c r="N26" s="1682">
        <f>'5. DL soc.econom. analīze'!L13*N$18</f>
        <v>0</v>
      </c>
      <c r="O26" s="1682">
        <f>'5. DL soc.econom. analīze'!M13*O$18</f>
        <v>0</v>
      </c>
      <c r="P26" s="1682">
        <f>'5. DL soc.econom. analīze'!N13*P$18</f>
        <v>0</v>
      </c>
      <c r="Q26" s="1682">
        <f>'5. DL soc.econom. analīze'!O13*Q$18</f>
        <v>0</v>
      </c>
      <c r="R26" s="1682">
        <f>'5. DL soc.econom. analīze'!P13*R$18</f>
        <v>0</v>
      </c>
      <c r="S26" s="1682">
        <f>'5. DL soc.econom. analīze'!Q13*S$18</f>
        <v>0</v>
      </c>
      <c r="T26" s="1682">
        <f>'5. DL soc.econom. analīze'!R13*T$18</f>
        <v>0</v>
      </c>
      <c r="U26" s="1517">
        <f t="shared" si="4"/>
        <v>0</v>
      </c>
    </row>
    <row r="27" spans="1:21">
      <c r="A27" s="768"/>
      <c r="B27" s="1339" t="s">
        <v>1077</v>
      </c>
      <c r="C27" s="1679" t="str">
        <f>'5. DL soc.econom. analīze'!B14</f>
        <v>Ieguvums ...</v>
      </c>
      <c r="D27" s="751"/>
      <c r="E27" s="1343" t="s">
        <v>873</v>
      </c>
      <c r="F27" s="1681">
        <f>'5. DL soc.econom. analīze'!D14*F$18</f>
        <v>0</v>
      </c>
      <c r="G27" s="1682">
        <f>'5. DL soc.econom. analīze'!E14*G$18</f>
        <v>0</v>
      </c>
      <c r="H27" s="1682">
        <f>'5. DL soc.econom. analīze'!F14*H$18</f>
        <v>0</v>
      </c>
      <c r="I27" s="1682">
        <f>'5. DL soc.econom. analīze'!G14*I$18</f>
        <v>0</v>
      </c>
      <c r="J27" s="1682">
        <f>'5. DL soc.econom. analīze'!H14*J$18</f>
        <v>0</v>
      </c>
      <c r="K27" s="1682">
        <f>'5. DL soc.econom. analīze'!I14*K$18</f>
        <v>0</v>
      </c>
      <c r="L27" s="1682">
        <f>'5. DL soc.econom. analīze'!J14*L$18</f>
        <v>0</v>
      </c>
      <c r="M27" s="1682">
        <f>'5. DL soc.econom. analīze'!K14*M$18</f>
        <v>0</v>
      </c>
      <c r="N27" s="1682">
        <f>'5. DL soc.econom. analīze'!L14*N$18</f>
        <v>0</v>
      </c>
      <c r="O27" s="1682">
        <f>'5. DL soc.econom. analīze'!M14*O$18</f>
        <v>0</v>
      </c>
      <c r="P27" s="1682">
        <f>'5. DL soc.econom. analīze'!N14*P$18</f>
        <v>0</v>
      </c>
      <c r="Q27" s="1682">
        <f>'5. DL soc.econom. analīze'!O14*Q$18</f>
        <v>0</v>
      </c>
      <c r="R27" s="1682">
        <f>'5. DL soc.econom. analīze'!P14*R$18</f>
        <v>0</v>
      </c>
      <c r="S27" s="1682">
        <f>'5. DL soc.econom. analīze'!Q14*S$18</f>
        <v>0</v>
      </c>
      <c r="T27" s="1682">
        <f>'5. DL soc.econom. analīze'!R14*T$18</f>
        <v>0</v>
      </c>
      <c r="U27" s="1517">
        <f t="shared" si="4"/>
        <v>0</v>
      </c>
    </row>
    <row r="28" spans="1:21">
      <c r="A28" s="768"/>
      <c r="B28" s="1339" t="s">
        <v>1078</v>
      </c>
      <c r="C28" s="1679" t="str">
        <f>'5. DL soc.econom. analīze'!B15</f>
        <v>Ieguvums ...</v>
      </c>
      <c r="D28" s="751"/>
      <c r="E28" s="1343" t="s">
        <v>873</v>
      </c>
      <c r="F28" s="1681">
        <f>'5. DL soc.econom. analīze'!D15*F$18</f>
        <v>0</v>
      </c>
      <c r="G28" s="1682">
        <f>'5. DL soc.econom. analīze'!E15*G$18</f>
        <v>0</v>
      </c>
      <c r="H28" s="1682">
        <f>'5. DL soc.econom. analīze'!F15*H$18</f>
        <v>0</v>
      </c>
      <c r="I28" s="1682">
        <f>'5. DL soc.econom. analīze'!G15*I$18</f>
        <v>0</v>
      </c>
      <c r="J28" s="1682">
        <f>'5. DL soc.econom. analīze'!H15*J$18</f>
        <v>0</v>
      </c>
      <c r="K28" s="1682">
        <f>'5. DL soc.econom. analīze'!I15*K$18</f>
        <v>0</v>
      </c>
      <c r="L28" s="1682">
        <f>'5. DL soc.econom. analīze'!J15*L$18</f>
        <v>0</v>
      </c>
      <c r="M28" s="1682">
        <f>'5. DL soc.econom. analīze'!K15*M$18</f>
        <v>0</v>
      </c>
      <c r="N28" s="1682">
        <f>'5. DL soc.econom. analīze'!L15*N$18</f>
        <v>0</v>
      </c>
      <c r="O28" s="1682">
        <f>'5. DL soc.econom. analīze'!M15*O$18</f>
        <v>0</v>
      </c>
      <c r="P28" s="1682">
        <f>'5. DL soc.econom. analīze'!N15*P$18</f>
        <v>0</v>
      </c>
      <c r="Q28" s="1682">
        <f>'5. DL soc.econom. analīze'!O15*Q$18</f>
        <v>0</v>
      </c>
      <c r="R28" s="1682">
        <f>'5. DL soc.econom. analīze'!P15*R$18</f>
        <v>0</v>
      </c>
      <c r="S28" s="1682">
        <f>'5. DL soc.econom. analīze'!Q15*S$18</f>
        <v>0</v>
      </c>
      <c r="T28" s="1682">
        <f>'5. DL soc.econom. analīze'!R15*T$18</f>
        <v>0</v>
      </c>
      <c r="U28" s="1517">
        <f t="shared" si="4"/>
        <v>0</v>
      </c>
    </row>
    <row r="29" spans="1:21">
      <c r="A29" s="768"/>
      <c r="B29" s="1690" t="s">
        <v>16</v>
      </c>
      <c r="C29" s="751" t="s">
        <v>148</v>
      </c>
      <c r="D29" s="751"/>
      <c r="E29" s="1343" t="s">
        <v>873</v>
      </c>
      <c r="F29" s="1512">
        <f t="shared" ref="F29:T29" si="5">F7*F18</f>
        <v>360</v>
      </c>
      <c r="G29" s="1513">
        <f t="shared" si="5"/>
        <v>342.85714285714283</v>
      </c>
      <c r="H29" s="1513">
        <f t="shared" si="5"/>
        <v>326.53061224489795</v>
      </c>
      <c r="I29" s="1513">
        <f t="shared" si="5"/>
        <v>310.98153547133137</v>
      </c>
      <c r="J29" s="1513">
        <f t="shared" si="5"/>
        <v>296.17289092507752</v>
      </c>
      <c r="K29" s="1513">
        <f t="shared" si="5"/>
        <v>282.06941992864523</v>
      </c>
      <c r="L29" s="1513">
        <f t="shared" si="5"/>
        <v>268.63754278918594</v>
      </c>
      <c r="M29" s="1513">
        <f t="shared" si="5"/>
        <v>255.84527884684374</v>
      </c>
      <c r="N29" s="1513">
        <f>N7*N18</f>
        <v>243.6621703303274</v>
      </c>
      <c r="O29" s="1513">
        <f t="shared" si="5"/>
        <v>232.05920983840701</v>
      </c>
      <c r="P29" s="1513">
        <f t="shared" si="5"/>
        <v>221.00877127467336</v>
      </c>
      <c r="Q29" s="1513">
        <f t="shared" si="5"/>
        <v>210.48454407111745</v>
      </c>
      <c r="R29" s="1513">
        <f t="shared" si="5"/>
        <v>200.46147054392142</v>
      </c>
      <c r="S29" s="1513">
        <f t="shared" si="5"/>
        <v>190.91568623230606</v>
      </c>
      <c r="T29" s="1513">
        <f t="shared" si="5"/>
        <v>686.89241607390568</v>
      </c>
      <c r="U29" s="1517">
        <f t="shared" si="4"/>
        <v>4428.5786914277833</v>
      </c>
    </row>
    <row r="30" spans="1:21">
      <c r="A30" s="768"/>
      <c r="B30" s="751" t="s">
        <v>19</v>
      </c>
      <c r="C30" s="757" t="s">
        <v>149</v>
      </c>
      <c r="D30" s="751"/>
      <c r="E30" s="1343" t="s">
        <v>873</v>
      </c>
      <c r="F30" s="1512">
        <f t="shared" ref="F30:T30" si="6">F8*F18</f>
        <v>9360</v>
      </c>
      <c r="G30" s="1513">
        <f t="shared" si="6"/>
        <v>8914.2857142857138</v>
      </c>
      <c r="H30" s="1513">
        <f t="shared" si="6"/>
        <v>8489.7959183673465</v>
      </c>
      <c r="I30" s="1513">
        <f t="shared" si="6"/>
        <v>8085.5199222546153</v>
      </c>
      <c r="J30" s="1513">
        <f t="shared" si="6"/>
        <v>7700.4951640520148</v>
      </c>
      <c r="K30" s="1513">
        <f t="shared" si="6"/>
        <v>7333.8049181447759</v>
      </c>
      <c r="L30" s="1513">
        <f t="shared" si="6"/>
        <v>6984.5761125188346</v>
      </c>
      <c r="M30" s="1513">
        <f t="shared" si="6"/>
        <v>6651.977250017937</v>
      </c>
      <c r="N30" s="1513">
        <f>N8*N18</f>
        <v>6335.2164285885119</v>
      </c>
      <c r="O30" s="1513">
        <f t="shared" si="6"/>
        <v>6033.5394557985819</v>
      </c>
      <c r="P30" s="1513">
        <f t="shared" si="6"/>
        <v>5746.2280531415072</v>
      </c>
      <c r="Q30" s="1513">
        <f t="shared" si="6"/>
        <v>5472.5981458490542</v>
      </c>
      <c r="R30" s="1513">
        <f t="shared" si="6"/>
        <v>5211.9982341419573</v>
      </c>
      <c r="S30" s="1513">
        <f t="shared" si="6"/>
        <v>4963.8078420399579</v>
      </c>
      <c r="T30" s="1513">
        <f t="shared" si="6"/>
        <v>5232.5039930335752</v>
      </c>
      <c r="U30" s="1517">
        <f t="shared" si="4"/>
        <v>102516.34715223439</v>
      </c>
    </row>
    <row r="31" spans="1:21">
      <c r="A31" s="768"/>
      <c r="B31" s="751" t="s">
        <v>22</v>
      </c>
      <c r="C31" s="751" t="s">
        <v>150</v>
      </c>
      <c r="D31" s="751"/>
      <c r="E31" s="1343" t="s">
        <v>873</v>
      </c>
      <c r="F31" s="1512">
        <f>F9*F18</f>
        <v>-150</v>
      </c>
      <c r="G31" s="1513">
        <f t="shared" ref="G31:T31" si="7">G9*G18</f>
        <v>-142.85714285714286</v>
      </c>
      <c r="H31" s="1513">
        <f t="shared" si="7"/>
        <v>-136.05442176870747</v>
      </c>
      <c r="I31" s="1513">
        <f t="shared" si="7"/>
        <v>-129.5756397797214</v>
      </c>
      <c r="J31" s="1513">
        <f t="shared" si="7"/>
        <v>-123.40537121878229</v>
      </c>
      <c r="K31" s="1513">
        <f t="shared" si="7"/>
        <v>-117.52892497026885</v>
      </c>
      <c r="L31" s="1513">
        <f t="shared" si="7"/>
        <v>-111.93230949549414</v>
      </c>
      <c r="M31" s="1513">
        <f t="shared" si="7"/>
        <v>-106.60219951951822</v>
      </c>
      <c r="N31" s="1513">
        <f t="shared" si="7"/>
        <v>-101.52590430430308</v>
      </c>
      <c r="O31" s="1513">
        <f t="shared" si="7"/>
        <v>-96.691337432669584</v>
      </c>
      <c r="P31" s="1513">
        <f t="shared" si="7"/>
        <v>-92.086988031113904</v>
      </c>
      <c r="Q31" s="1513">
        <f t="shared" si="7"/>
        <v>-87.701893362965606</v>
      </c>
      <c r="R31" s="1513">
        <f t="shared" si="7"/>
        <v>-83.525612726633923</v>
      </c>
      <c r="S31" s="1513">
        <f t="shared" si="7"/>
        <v>-79.548202596794198</v>
      </c>
      <c r="T31" s="1513">
        <f t="shared" si="7"/>
        <v>-75.760192949327831</v>
      </c>
      <c r="U31" s="1517">
        <f t="shared" si="4"/>
        <v>-1634.7961410134433</v>
      </c>
    </row>
    <row r="32" spans="1:21">
      <c r="A32" s="768"/>
      <c r="B32" s="1680" t="s">
        <v>97</v>
      </c>
      <c r="C32" s="1679" t="str">
        <f>'5. DL soc.econom. analīze'!B17</f>
        <v>Zaudējumi...</v>
      </c>
      <c r="D32" s="751"/>
      <c r="E32" s="1343" t="s">
        <v>873</v>
      </c>
      <c r="F32" s="1681">
        <f>'7.DL jut. analīze-Soc.'!G28*F$18</f>
        <v>-150</v>
      </c>
      <c r="G32" s="1682">
        <f>'7.DL jut. analīze-Soc.'!H28*G$18</f>
        <v>-142.85714285714286</v>
      </c>
      <c r="H32" s="1682">
        <f>'7.DL jut. analīze-Soc.'!I28*H$18</f>
        <v>-136.05442176870747</v>
      </c>
      <c r="I32" s="1682">
        <f>'7.DL jut. analīze-Soc.'!J28*I$18</f>
        <v>-129.5756397797214</v>
      </c>
      <c r="J32" s="1682">
        <f>'7.DL jut. analīze-Soc.'!K28*J$18</f>
        <v>-123.40537121878229</v>
      </c>
      <c r="K32" s="1682">
        <f>'7.DL jut. analīze-Soc.'!L28*K$18</f>
        <v>-117.52892497026885</v>
      </c>
      <c r="L32" s="1682">
        <f>'7.DL jut. analīze-Soc.'!M28*L$18</f>
        <v>-111.93230949549414</v>
      </c>
      <c r="M32" s="1682">
        <f>'7.DL jut. analīze-Soc.'!N28*M$18</f>
        <v>-106.60219951951822</v>
      </c>
      <c r="N32" s="1682">
        <f>'7.DL jut. analīze-Soc.'!O28*N$18</f>
        <v>-101.52590430430308</v>
      </c>
      <c r="O32" s="1682">
        <f>'7.DL jut. analīze-Soc.'!P28*O$18</f>
        <v>-96.691337432669584</v>
      </c>
      <c r="P32" s="1682">
        <f>'7.DL jut. analīze-Soc.'!Q28*P$18</f>
        <v>-92.086988031113904</v>
      </c>
      <c r="Q32" s="1682">
        <f>'7.DL jut. analīze-Soc.'!R28*Q$18</f>
        <v>-87.701893362965606</v>
      </c>
      <c r="R32" s="1682">
        <f>'7.DL jut. analīze-Soc.'!S28*R$18</f>
        <v>-83.525612726633923</v>
      </c>
      <c r="S32" s="1682">
        <f>'7.DL jut. analīze-Soc.'!T28*S$18</f>
        <v>-79.548202596794198</v>
      </c>
      <c r="T32" s="1682">
        <f>'7.DL jut. analīze-Soc.'!U28*T$18</f>
        <v>-75.760192949327831</v>
      </c>
      <c r="U32" s="1517">
        <f t="shared" si="4"/>
        <v>-1634.7961410134433</v>
      </c>
    </row>
    <row r="33" spans="1:22">
      <c r="A33" s="768"/>
      <c r="B33" s="1680" t="s">
        <v>98</v>
      </c>
      <c r="C33" s="1679" t="str">
        <f>'5. DL soc.econom. analīze'!B18</f>
        <v>Zaudējumi...</v>
      </c>
      <c r="D33" s="751"/>
      <c r="E33" s="1343" t="s">
        <v>873</v>
      </c>
      <c r="F33" s="1681">
        <f>'7.DL jut. analīze-Soc.'!G29*F$18</f>
        <v>0</v>
      </c>
      <c r="G33" s="1682">
        <f>'7.DL jut. analīze-Soc.'!H29*G$18</f>
        <v>0</v>
      </c>
      <c r="H33" s="1682">
        <f>'7.DL jut. analīze-Soc.'!I29*H$18</f>
        <v>0</v>
      </c>
      <c r="I33" s="1682">
        <f>'7.DL jut. analīze-Soc.'!J29*I$18</f>
        <v>0</v>
      </c>
      <c r="J33" s="1682">
        <f>'7.DL jut. analīze-Soc.'!K29*J$18</f>
        <v>0</v>
      </c>
      <c r="K33" s="1682">
        <f>'7.DL jut. analīze-Soc.'!L29*K$18</f>
        <v>0</v>
      </c>
      <c r="L33" s="1682">
        <f>'7.DL jut. analīze-Soc.'!M29*L$18</f>
        <v>0</v>
      </c>
      <c r="M33" s="1682">
        <f>'7.DL jut. analīze-Soc.'!N29*M$18</f>
        <v>0</v>
      </c>
      <c r="N33" s="1682">
        <f>'7.DL jut. analīze-Soc.'!O29*N$18</f>
        <v>0</v>
      </c>
      <c r="O33" s="1682">
        <f>'7.DL jut. analīze-Soc.'!P29*O$18</f>
        <v>0</v>
      </c>
      <c r="P33" s="1682">
        <f>'7.DL jut. analīze-Soc.'!Q29*P$18</f>
        <v>0</v>
      </c>
      <c r="Q33" s="1682">
        <f>'7.DL jut. analīze-Soc.'!R29*Q$18</f>
        <v>0</v>
      </c>
      <c r="R33" s="1682">
        <f>'7.DL jut. analīze-Soc.'!S29*R$18</f>
        <v>0</v>
      </c>
      <c r="S33" s="1682">
        <f>'7.DL jut. analīze-Soc.'!T29*S$18</f>
        <v>0</v>
      </c>
      <c r="T33" s="1682">
        <f>'7.DL jut. analīze-Soc.'!U29*T$18</f>
        <v>0</v>
      </c>
      <c r="U33" s="1517">
        <f t="shared" si="4"/>
        <v>0</v>
      </c>
    </row>
    <row r="34" spans="1:22">
      <c r="A34" s="768"/>
      <c r="B34" s="1680" t="s">
        <v>183</v>
      </c>
      <c r="C34" s="1679" t="str">
        <f>'5. DL soc.econom. analīze'!B19</f>
        <v>Zaudējumi...</v>
      </c>
      <c r="D34" s="751"/>
      <c r="E34" s="1343" t="s">
        <v>873</v>
      </c>
      <c r="F34" s="1681">
        <f>'7.DL jut. analīze-Soc.'!G30*F$18</f>
        <v>0</v>
      </c>
      <c r="G34" s="1682">
        <f>'7.DL jut. analīze-Soc.'!H30*G$18</f>
        <v>0</v>
      </c>
      <c r="H34" s="1682">
        <f>'7.DL jut. analīze-Soc.'!I30*H$18</f>
        <v>0</v>
      </c>
      <c r="I34" s="1682">
        <f>'7.DL jut. analīze-Soc.'!J30*I$18</f>
        <v>0</v>
      </c>
      <c r="J34" s="1682">
        <f>'7.DL jut. analīze-Soc.'!K30*J$18</f>
        <v>0</v>
      </c>
      <c r="K34" s="1682">
        <f>'7.DL jut. analīze-Soc.'!L30*K$18</f>
        <v>0</v>
      </c>
      <c r="L34" s="1682">
        <f>'7.DL jut. analīze-Soc.'!M30*L$18</f>
        <v>0</v>
      </c>
      <c r="M34" s="1682">
        <f>'7.DL jut. analīze-Soc.'!N30*M$18</f>
        <v>0</v>
      </c>
      <c r="N34" s="1682">
        <f>'7.DL jut. analīze-Soc.'!O30*N$18</f>
        <v>0</v>
      </c>
      <c r="O34" s="1682">
        <f>'7.DL jut. analīze-Soc.'!P30*O$18</f>
        <v>0</v>
      </c>
      <c r="P34" s="1682">
        <f>'7.DL jut. analīze-Soc.'!Q30*P$18</f>
        <v>0</v>
      </c>
      <c r="Q34" s="1682">
        <f>'7.DL jut. analīze-Soc.'!R30*Q$18</f>
        <v>0</v>
      </c>
      <c r="R34" s="1682">
        <f>'7.DL jut. analīze-Soc.'!S30*R$18</f>
        <v>0</v>
      </c>
      <c r="S34" s="1682">
        <f>'7.DL jut. analīze-Soc.'!T30*S$18</f>
        <v>0</v>
      </c>
      <c r="T34" s="1682">
        <f>'7.DL jut. analīze-Soc.'!U30*T$18</f>
        <v>0</v>
      </c>
      <c r="U34" s="1517">
        <f t="shared" si="4"/>
        <v>0</v>
      </c>
    </row>
    <row r="35" spans="1:22">
      <c r="A35" s="768"/>
      <c r="B35" s="1680" t="s">
        <v>181</v>
      </c>
      <c r="C35" s="1679" t="str">
        <f>'5. DL soc.econom. analīze'!B20</f>
        <v>Zaudējumi...</v>
      </c>
      <c r="D35" s="751"/>
      <c r="E35" s="1343" t="s">
        <v>873</v>
      </c>
      <c r="F35" s="1681">
        <f>'7.DL jut. analīze-Soc.'!G31*F$18</f>
        <v>0</v>
      </c>
      <c r="G35" s="1682">
        <f>'7.DL jut. analīze-Soc.'!H31*G$18</f>
        <v>0</v>
      </c>
      <c r="H35" s="1682">
        <f>'7.DL jut. analīze-Soc.'!I31*H$18</f>
        <v>0</v>
      </c>
      <c r="I35" s="1682">
        <f>'7.DL jut. analīze-Soc.'!J31*I$18</f>
        <v>0</v>
      </c>
      <c r="J35" s="1682">
        <f>'7.DL jut. analīze-Soc.'!K31*J$18</f>
        <v>0</v>
      </c>
      <c r="K35" s="1682">
        <f>'7.DL jut. analīze-Soc.'!L31*K$18</f>
        <v>0</v>
      </c>
      <c r="L35" s="1682">
        <f>'7.DL jut. analīze-Soc.'!M31*L$18</f>
        <v>0</v>
      </c>
      <c r="M35" s="1682">
        <f>'7.DL jut. analīze-Soc.'!N31*M$18</f>
        <v>0</v>
      </c>
      <c r="N35" s="1682">
        <f>'7.DL jut. analīze-Soc.'!O31*N$18</f>
        <v>0</v>
      </c>
      <c r="O35" s="1682">
        <f>'7.DL jut. analīze-Soc.'!P31*O$18</f>
        <v>0</v>
      </c>
      <c r="P35" s="1682">
        <f>'7.DL jut. analīze-Soc.'!Q31*P$18</f>
        <v>0</v>
      </c>
      <c r="Q35" s="1682">
        <f>'7.DL jut. analīze-Soc.'!R31*Q$18</f>
        <v>0</v>
      </c>
      <c r="R35" s="1682">
        <f>'7.DL jut. analīze-Soc.'!S31*R$18</f>
        <v>0</v>
      </c>
      <c r="S35" s="1682">
        <f>'7.DL jut. analīze-Soc.'!T31*S$18</f>
        <v>0</v>
      </c>
      <c r="T35" s="1682">
        <f>'7.DL jut. analīze-Soc.'!U31*T$18</f>
        <v>0</v>
      </c>
      <c r="U35" s="1517">
        <f t="shared" si="4"/>
        <v>0</v>
      </c>
    </row>
    <row r="36" spans="1:22">
      <c r="A36" s="768"/>
      <c r="B36" s="1680" t="s">
        <v>729</v>
      </c>
      <c r="C36" s="1679" t="str">
        <f>'5. DL soc.econom. analīze'!B21</f>
        <v>Zaudējumi...</v>
      </c>
      <c r="D36" s="751"/>
      <c r="E36" s="1343" t="s">
        <v>873</v>
      </c>
      <c r="F36" s="1681">
        <f>'7.DL jut. analīze-Soc.'!G32*F$18</f>
        <v>0</v>
      </c>
      <c r="G36" s="1682">
        <f>'7.DL jut. analīze-Soc.'!H32*G$18</f>
        <v>0</v>
      </c>
      <c r="H36" s="1682">
        <f>'7.DL jut. analīze-Soc.'!I32*H$18</f>
        <v>0</v>
      </c>
      <c r="I36" s="1682">
        <f>'7.DL jut. analīze-Soc.'!J32*I$18</f>
        <v>0</v>
      </c>
      <c r="J36" s="1682">
        <f>'7.DL jut. analīze-Soc.'!K32*J$18</f>
        <v>0</v>
      </c>
      <c r="K36" s="1682">
        <f>'7.DL jut. analīze-Soc.'!L32*K$18</f>
        <v>0</v>
      </c>
      <c r="L36" s="1682">
        <f>'7.DL jut. analīze-Soc.'!M32*L$18</f>
        <v>0</v>
      </c>
      <c r="M36" s="1682">
        <f>'7.DL jut. analīze-Soc.'!N32*M$18</f>
        <v>0</v>
      </c>
      <c r="N36" s="1682">
        <f>'7.DL jut. analīze-Soc.'!O32*N$18</f>
        <v>0</v>
      </c>
      <c r="O36" s="1682">
        <f>'7.DL jut. analīze-Soc.'!P32*O$18</f>
        <v>0</v>
      </c>
      <c r="P36" s="1682">
        <f>'7.DL jut. analīze-Soc.'!Q32*P$18</f>
        <v>0</v>
      </c>
      <c r="Q36" s="1682">
        <f>'7.DL jut. analīze-Soc.'!R32*Q$18</f>
        <v>0</v>
      </c>
      <c r="R36" s="1682">
        <f>'7.DL jut. analīze-Soc.'!S32*R$18</f>
        <v>0</v>
      </c>
      <c r="S36" s="1682">
        <f>'7.DL jut. analīze-Soc.'!T32*S$18</f>
        <v>0</v>
      </c>
      <c r="T36" s="1682">
        <f>'7.DL jut. analīze-Soc.'!U32*T$18</f>
        <v>0</v>
      </c>
      <c r="U36" s="1517">
        <f t="shared" si="4"/>
        <v>0</v>
      </c>
    </row>
    <row r="37" spans="1:22">
      <c r="A37" s="768"/>
      <c r="B37" s="1680" t="s">
        <v>860</v>
      </c>
      <c r="C37" s="1679" t="str">
        <f>'5. DL soc.econom. analīze'!B22</f>
        <v>Zaudējumi...</v>
      </c>
      <c r="D37" s="751"/>
      <c r="E37" s="1343" t="s">
        <v>873</v>
      </c>
      <c r="F37" s="1681">
        <f>'7.DL jut. analīze-Soc.'!G33*F$18</f>
        <v>0</v>
      </c>
      <c r="G37" s="1682">
        <f>'7.DL jut. analīze-Soc.'!H33*G$18</f>
        <v>0</v>
      </c>
      <c r="H37" s="1682">
        <f>'7.DL jut. analīze-Soc.'!I33*H$18</f>
        <v>0</v>
      </c>
      <c r="I37" s="1682">
        <f>'7.DL jut. analīze-Soc.'!J33*I$18</f>
        <v>0</v>
      </c>
      <c r="J37" s="1682">
        <f>'7.DL jut. analīze-Soc.'!K33*J$18</f>
        <v>0</v>
      </c>
      <c r="K37" s="1682">
        <f>'7.DL jut. analīze-Soc.'!L33*K$18</f>
        <v>0</v>
      </c>
      <c r="L37" s="1682">
        <f>'7.DL jut. analīze-Soc.'!M33*L$18</f>
        <v>0</v>
      </c>
      <c r="M37" s="1682">
        <f>'7.DL jut. analīze-Soc.'!N33*M$18</f>
        <v>0</v>
      </c>
      <c r="N37" s="1682">
        <f>'7.DL jut. analīze-Soc.'!O33*N$18</f>
        <v>0</v>
      </c>
      <c r="O37" s="1682">
        <f>'7.DL jut. analīze-Soc.'!P33*O$18</f>
        <v>0</v>
      </c>
      <c r="P37" s="1682">
        <f>'7.DL jut. analīze-Soc.'!Q33*P$18</f>
        <v>0</v>
      </c>
      <c r="Q37" s="1682">
        <f>'7.DL jut. analīze-Soc.'!R33*Q$18</f>
        <v>0</v>
      </c>
      <c r="R37" s="1682">
        <f>'7.DL jut. analīze-Soc.'!S33*R$18</f>
        <v>0</v>
      </c>
      <c r="S37" s="1682">
        <f>'7.DL jut. analīze-Soc.'!T33*S$18</f>
        <v>0</v>
      </c>
      <c r="T37" s="1682">
        <f>'7.DL jut. analīze-Soc.'!U33*T$18</f>
        <v>0</v>
      </c>
      <c r="U37" s="1517">
        <f t="shared" si="4"/>
        <v>0</v>
      </c>
    </row>
    <row r="38" spans="1:22">
      <c r="A38" s="768"/>
      <c r="B38" s="1680" t="s">
        <v>1079</v>
      </c>
      <c r="C38" s="1679" t="str">
        <f>'5. DL soc.econom. analīze'!B23</f>
        <v>Zaudējumi...</v>
      </c>
      <c r="D38" s="751"/>
      <c r="E38" s="1343" t="s">
        <v>873</v>
      </c>
      <c r="F38" s="1681">
        <f>'7.DL jut. analīze-Soc.'!G34*F$18</f>
        <v>0</v>
      </c>
      <c r="G38" s="1682">
        <f>'7.DL jut. analīze-Soc.'!H34*G$18</f>
        <v>0</v>
      </c>
      <c r="H38" s="1682">
        <f>'7.DL jut. analīze-Soc.'!I34*H$18</f>
        <v>0</v>
      </c>
      <c r="I38" s="1682">
        <f>'7.DL jut. analīze-Soc.'!J34*I$18</f>
        <v>0</v>
      </c>
      <c r="J38" s="1682">
        <f>'7.DL jut. analīze-Soc.'!K34*J$18</f>
        <v>0</v>
      </c>
      <c r="K38" s="1682">
        <f>'7.DL jut. analīze-Soc.'!L34*K$18</f>
        <v>0</v>
      </c>
      <c r="L38" s="1682">
        <f>'7.DL jut. analīze-Soc.'!M34*L$18</f>
        <v>0</v>
      </c>
      <c r="M38" s="1682">
        <f>'7.DL jut. analīze-Soc.'!N34*M$18</f>
        <v>0</v>
      </c>
      <c r="N38" s="1682">
        <f>'7.DL jut. analīze-Soc.'!O34*N$18</f>
        <v>0</v>
      </c>
      <c r="O38" s="1682">
        <f>'7.DL jut. analīze-Soc.'!P34*O$18</f>
        <v>0</v>
      </c>
      <c r="P38" s="1682">
        <f>'7.DL jut. analīze-Soc.'!Q34*P$18</f>
        <v>0</v>
      </c>
      <c r="Q38" s="1682">
        <f>'7.DL jut. analīze-Soc.'!R34*Q$18</f>
        <v>0</v>
      </c>
      <c r="R38" s="1682">
        <f>'7.DL jut. analīze-Soc.'!S34*R$18</f>
        <v>0</v>
      </c>
      <c r="S38" s="1682">
        <f>'7.DL jut. analīze-Soc.'!T34*S$18</f>
        <v>0</v>
      </c>
      <c r="T38" s="1682">
        <f>'7.DL jut. analīze-Soc.'!U34*T$18</f>
        <v>0</v>
      </c>
      <c r="U38" s="1517">
        <f t="shared" si="4"/>
        <v>0</v>
      </c>
    </row>
    <row r="39" spans="1:22">
      <c r="A39" s="768"/>
      <c r="B39" s="1339" t="s">
        <v>1080</v>
      </c>
      <c r="C39" s="1679" t="str">
        <f>'5. DL soc.econom. analīze'!B24</f>
        <v>Zaudējumi...</v>
      </c>
      <c r="D39" s="751"/>
      <c r="E39" s="1343" t="s">
        <v>873</v>
      </c>
      <c r="F39" s="1681">
        <f>'7.DL jut. analīze-Soc.'!G35*F$18</f>
        <v>0</v>
      </c>
      <c r="G39" s="1682">
        <f>'7.DL jut. analīze-Soc.'!H35*G$18</f>
        <v>0</v>
      </c>
      <c r="H39" s="1682">
        <f>'7.DL jut. analīze-Soc.'!I35*H$18</f>
        <v>0</v>
      </c>
      <c r="I39" s="1682">
        <f>'7.DL jut. analīze-Soc.'!J35*I$18</f>
        <v>0</v>
      </c>
      <c r="J39" s="1682">
        <f>'7.DL jut. analīze-Soc.'!K35*J$18</f>
        <v>0</v>
      </c>
      <c r="K39" s="1682">
        <f>'7.DL jut. analīze-Soc.'!L35*K$18</f>
        <v>0</v>
      </c>
      <c r="L39" s="1682">
        <f>'7.DL jut. analīze-Soc.'!M35*L$18</f>
        <v>0</v>
      </c>
      <c r="M39" s="1682">
        <f>'7.DL jut. analīze-Soc.'!N35*M$18</f>
        <v>0</v>
      </c>
      <c r="N39" s="1682">
        <f>'7.DL jut. analīze-Soc.'!O35*N$18</f>
        <v>0</v>
      </c>
      <c r="O39" s="1682">
        <f>'7.DL jut. analīze-Soc.'!P35*O$18</f>
        <v>0</v>
      </c>
      <c r="P39" s="1682">
        <f>'7.DL jut. analīze-Soc.'!Q35*P$18</f>
        <v>0</v>
      </c>
      <c r="Q39" s="1682">
        <f>'7.DL jut. analīze-Soc.'!R35*Q$18</f>
        <v>0</v>
      </c>
      <c r="R39" s="1682">
        <f>'7.DL jut. analīze-Soc.'!S35*R$18</f>
        <v>0</v>
      </c>
      <c r="S39" s="1682">
        <f>'7.DL jut. analīze-Soc.'!T35*S$18</f>
        <v>0</v>
      </c>
      <c r="T39" s="1682">
        <f>'7.DL jut. analīze-Soc.'!U35*T$18</f>
        <v>0</v>
      </c>
      <c r="U39" s="1517">
        <f t="shared" si="4"/>
        <v>0</v>
      </c>
    </row>
    <row r="40" spans="1:22">
      <c r="A40" s="768"/>
      <c r="B40" s="1339" t="s">
        <v>1081</v>
      </c>
      <c r="C40" s="1679" t="str">
        <f>'5. DL soc.econom. analīze'!B25</f>
        <v>Zaudējumi...</v>
      </c>
      <c r="D40" s="751"/>
      <c r="E40" s="1343" t="s">
        <v>873</v>
      </c>
      <c r="F40" s="1681">
        <f>'7.DL jut. analīze-Soc.'!G36*F$18</f>
        <v>0</v>
      </c>
      <c r="G40" s="1682">
        <f>'7.DL jut. analīze-Soc.'!H36*G$18</f>
        <v>0</v>
      </c>
      <c r="H40" s="1682">
        <f>'7.DL jut. analīze-Soc.'!I36*H$18</f>
        <v>0</v>
      </c>
      <c r="I40" s="1682">
        <f>'7.DL jut. analīze-Soc.'!J36*I$18</f>
        <v>0</v>
      </c>
      <c r="J40" s="1682">
        <f>'7.DL jut. analīze-Soc.'!K36*J$18</f>
        <v>0</v>
      </c>
      <c r="K40" s="1682">
        <f>'7.DL jut. analīze-Soc.'!L36*K$18</f>
        <v>0</v>
      </c>
      <c r="L40" s="1682">
        <f>'7.DL jut. analīze-Soc.'!M36*L$18</f>
        <v>0</v>
      </c>
      <c r="M40" s="1682">
        <f>'7.DL jut. analīze-Soc.'!N36*M$18</f>
        <v>0</v>
      </c>
      <c r="N40" s="1682">
        <f>'7.DL jut. analīze-Soc.'!O36*N$18</f>
        <v>0</v>
      </c>
      <c r="O40" s="1682">
        <f>'7.DL jut. analīze-Soc.'!P36*O$18</f>
        <v>0</v>
      </c>
      <c r="P40" s="1682">
        <f>'7.DL jut. analīze-Soc.'!Q36*P$18</f>
        <v>0</v>
      </c>
      <c r="Q40" s="1682">
        <f>'7.DL jut. analīze-Soc.'!R36*Q$18</f>
        <v>0</v>
      </c>
      <c r="R40" s="1682">
        <f>'7.DL jut. analīze-Soc.'!S36*R$18</f>
        <v>0</v>
      </c>
      <c r="S40" s="1682">
        <f>'7.DL jut. analīze-Soc.'!T36*S$18</f>
        <v>0</v>
      </c>
      <c r="T40" s="1682">
        <f>'7.DL jut. analīze-Soc.'!U36*T$18</f>
        <v>0</v>
      </c>
      <c r="U40" s="1517">
        <f t="shared" si="4"/>
        <v>0</v>
      </c>
    </row>
    <row r="41" spans="1:22">
      <c r="A41" s="768"/>
      <c r="B41" s="751" t="s">
        <v>23</v>
      </c>
      <c r="C41" s="751" t="s">
        <v>151</v>
      </c>
      <c r="D41" s="751"/>
      <c r="E41" s="1343" t="s">
        <v>873</v>
      </c>
      <c r="F41" s="1512">
        <f>F10*F18</f>
        <v>-35350</v>
      </c>
      <c r="G41" s="1513">
        <f t="shared" ref="G41:T41" si="8">G10*G18</f>
        <v>-9395.2380952380954</v>
      </c>
      <c r="H41" s="1513">
        <f t="shared" si="8"/>
        <v>-26394.557823129249</v>
      </c>
      <c r="I41" s="1513">
        <f t="shared" si="8"/>
        <v>-345.53503941259038</v>
      </c>
      <c r="J41" s="1513">
        <f t="shared" si="8"/>
        <v>-329.0809899167528</v>
      </c>
      <c r="K41" s="1513">
        <f t="shared" si="8"/>
        <v>-313.41046658738361</v>
      </c>
      <c r="L41" s="1513">
        <f t="shared" si="8"/>
        <v>-298.48615865465104</v>
      </c>
      <c r="M41" s="1513">
        <f t="shared" si="8"/>
        <v>-284.27253205204858</v>
      </c>
      <c r="N41" s="1513">
        <f t="shared" si="8"/>
        <v>-270.73574481147489</v>
      </c>
      <c r="O41" s="1513">
        <f t="shared" si="8"/>
        <v>-257.84356648711889</v>
      </c>
      <c r="P41" s="1513">
        <f t="shared" si="8"/>
        <v>-245.56530141630373</v>
      </c>
      <c r="Q41" s="1513">
        <f t="shared" si="8"/>
        <v>-233.87171563457497</v>
      </c>
      <c r="R41" s="1513">
        <f t="shared" si="8"/>
        <v>-222.73496727102381</v>
      </c>
      <c r="S41" s="1513">
        <f t="shared" si="8"/>
        <v>-212.12854025811785</v>
      </c>
      <c r="T41" s="1513">
        <f t="shared" si="8"/>
        <v>-202.02718119820756</v>
      </c>
      <c r="U41" s="1517">
        <f t="shared" si="4"/>
        <v>-74355.488122067603</v>
      </c>
    </row>
    <row r="42" spans="1:22">
      <c r="A42" s="768"/>
      <c r="B42" s="751" t="s">
        <v>24</v>
      </c>
      <c r="C42" s="751" t="s">
        <v>152</v>
      </c>
      <c r="D42" s="751"/>
      <c r="E42" s="1343" t="s">
        <v>873</v>
      </c>
      <c r="F42" s="1512">
        <f>F11*F18</f>
        <v>50</v>
      </c>
      <c r="G42" s="1513">
        <f t="shared" ref="G42:T42" si="9">G11*G18</f>
        <v>47.619047619047613</v>
      </c>
      <c r="H42" s="1513">
        <f t="shared" si="9"/>
        <v>45.351473922902493</v>
      </c>
      <c r="I42" s="1513">
        <f t="shared" si="9"/>
        <v>43.191879926573797</v>
      </c>
      <c r="J42" s="1513">
        <f t="shared" si="9"/>
        <v>41.1351237395941</v>
      </c>
      <c r="K42" s="1513">
        <f t="shared" si="9"/>
        <v>39.176308323422951</v>
      </c>
      <c r="L42" s="1513">
        <f t="shared" si="9"/>
        <v>37.310769831831379</v>
      </c>
      <c r="M42" s="1513">
        <f t="shared" si="9"/>
        <v>35.534066506506072</v>
      </c>
      <c r="N42" s="1513">
        <f t="shared" si="9"/>
        <v>33.841968101434361</v>
      </c>
      <c r="O42" s="1513">
        <f t="shared" si="9"/>
        <v>32.230445810889861</v>
      </c>
      <c r="P42" s="1513">
        <f t="shared" si="9"/>
        <v>30.695662677037966</v>
      </c>
      <c r="Q42" s="1513">
        <f t="shared" si="9"/>
        <v>29.233964454321871</v>
      </c>
      <c r="R42" s="1513">
        <f t="shared" si="9"/>
        <v>27.841870908877976</v>
      </c>
      <c r="S42" s="1513">
        <f t="shared" si="9"/>
        <v>26.516067532264731</v>
      </c>
      <c r="T42" s="1513">
        <f t="shared" si="9"/>
        <v>25.253397649775945</v>
      </c>
      <c r="U42" s="1517">
        <f t="shared" si="4"/>
        <v>544.93204700448109</v>
      </c>
    </row>
    <row r="43" spans="1:22">
      <c r="A43" s="751"/>
      <c r="B43" s="751" t="s">
        <v>26</v>
      </c>
      <c r="C43" s="757" t="s">
        <v>142</v>
      </c>
      <c r="D43" s="751"/>
      <c r="E43" s="1343" t="s">
        <v>873</v>
      </c>
      <c r="F43" s="1512">
        <f>F12*F18</f>
        <v>-35450</v>
      </c>
      <c r="G43" s="1513">
        <f t="shared" ref="G43:T43" si="10">G12*G18</f>
        <v>-9490.4761904761908</v>
      </c>
      <c r="H43" s="1513">
        <f t="shared" si="10"/>
        <v>-26485.260770975055</v>
      </c>
      <c r="I43" s="1513">
        <f t="shared" si="10"/>
        <v>-431.91879926573802</v>
      </c>
      <c r="J43" s="1513">
        <f t="shared" si="10"/>
        <v>-411.35123739594098</v>
      </c>
      <c r="K43" s="1513">
        <f t="shared" si="10"/>
        <v>-391.7630832342295</v>
      </c>
      <c r="L43" s="1513">
        <f t="shared" si="10"/>
        <v>-373.10769831831379</v>
      </c>
      <c r="M43" s="1513">
        <f t="shared" si="10"/>
        <v>-355.34066506506076</v>
      </c>
      <c r="N43" s="1513">
        <f t="shared" si="10"/>
        <v>-338.41968101434361</v>
      </c>
      <c r="O43" s="1513">
        <f t="shared" si="10"/>
        <v>-322.30445810889864</v>
      </c>
      <c r="P43" s="1513">
        <f t="shared" si="10"/>
        <v>-306.95662677037967</v>
      </c>
      <c r="Q43" s="1513">
        <f t="shared" si="10"/>
        <v>-292.3396445432187</v>
      </c>
      <c r="R43" s="1513">
        <f t="shared" si="10"/>
        <v>-278.41870908877974</v>
      </c>
      <c r="S43" s="1513">
        <f t="shared" si="10"/>
        <v>-265.16067532264731</v>
      </c>
      <c r="T43" s="1513">
        <f t="shared" si="10"/>
        <v>-252.53397649775943</v>
      </c>
      <c r="U43" s="1517">
        <f t="shared" si="4"/>
        <v>-75445.352216076557</v>
      </c>
    </row>
    <row r="44" spans="1:22">
      <c r="A44" s="751"/>
      <c r="B44" s="751" t="s">
        <v>28</v>
      </c>
      <c r="C44" s="757" t="s">
        <v>29</v>
      </c>
      <c r="D44" s="771"/>
      <c r="E44" s="1343" t="s">
        <v>873</v>
      </c>
      <c r="F44" s="1514">
        <f>F13*F18</f>
        <v>-26090</v>
      </c>
      <c r="G44" s="1515">
        <f t="shared" ref="G44:T44" si="11">G13*G18</f>
        <v>-576.19047619047615</v>
      </c>
      <c r="H44" s="1515">
        <f t="shared" si="11"/>
        <v>-17995.464852607707</v>
      </c>
      <c r="I44" s="1515">
        <f t="shared" si="11"/>
        <v>7653.6011229888773</v>
      </c>
      <c r="J44" s="1515">
        <f t="shared" si="11"/>
        <v>7289.1439266560747</v>
      </c>
      <c r="K44" s="1515">
        <f t="shared" si="11"/>
        <v>6942.0418349105466</v>
      </c>
      <c r="L44" s="1515">
        <f t="shared" si="11"/>
        <v>6611.4684142005208</v>
      </c>
      <c r="M44" s="1515">
        <f t="shared" si="11"/>
        <v>6296.6365849528765</v>
      </c>
      <c r="N44" s="1515">
        <f t="shared" si="11"/>
        <v>5996.7967475741689</v>
      </c>
      <c r="O44" s="1515">
        <f t="shared" si="11"/>
        <v>5711.234997689684</v>
      </c>
      <c r="P44" s="1515">
        <f t="shared" si="11"/>
        <v>5439.2714263711277</v>
      </c>
      <c r="Q44" s="1515">
        <f t="shared" si="11"/>
        <v>5180.2585013058351</v>
      </c>
      <c r="R44" s="1515">
        <f t="shared" si="11"/>
        <v>4933.5795250531773</v>
      </c>
      <c r="S44" s="1515">
        <f t="shared" si="11"/>
        <v>4698.64716671731</v>
      </c>
      <c r="T44" s="1515">
        <f t="shared" si="11"/>
        <v>4979.9700165358163</v>
      </c>
      <c r="U44" s="1518">
        <f t="shared" si="4"/>
        <v>27070.994936157833</v>
      </c>
    </row>
    <row r="45" spans="1:22">
      <c r="A45" s="770"/>
      <c r="B45" s="771"/>
      <c r="C45" s="802"/>
      <c r="D45" s="771"/>
      <c r="E45" s="1343"/>
      <c r="F45" s="1691"/>
      <c r="G45" s="1691"/>
      <c r="H45" s="1691"/>
      <c r="I45" s="1691"/>
      <c r="J45" s="1691"/>
      <c r="K45" s="1691"/>
      <c r="L45" s="1691"/>
      <c r="M45" s="1691"/>
      <c r="N45" s="1691"/>
      <c r="O45" s="1691"/>
      <c r="P45" s="1691"/>
      <c r="Q45" s="1691"/>
      <c r="R45" s="1691"/>
      <c r="S45" s="1691"/>
      <c r="T45" s="1691"/>
      <c r="U45" s="1692"/>
    </row>
    <row r="46" spans="1:22" ht="15">
      <c r="A46" s="1561">
        <v>3</v>
      </c>
      <c r="B46" s="1562" t="s">
        <v>30</v>
      </c>
      <c r="C46" s="1562"/>
      <c r="D46" s="1562"/>
      <c r="E46" s="1562"/>
      <c r="F46" s="1562"/>
      <c r="G46" s="1563"/>
      <c r="H46" s="1563"/>
      <c r="I46" s="1563"/>
      <c r="J46" s="1563"/>
      <c r="K46" s="1563"/>
      <c r="L46" s="1563"/>
      <c r="M46" s="1563"/>
      <c r="N46" s="1563"/>
      <c r="O46" s="1563"/>
      <c r="P46" s="1563"/>
      <c r="Q46" s="1563"/>
      <c r="R46" s="1563"/>
      <c r="S46" s="1563"/>
      <c r="T46" s="1563"/>
      <c r="U46" s="1564"/>
    </row>
    <row r="47" spans="1:22">
      <c r="A47" s="751"/>
      <c r="B47" s="751"/>
      <c r="C47" s="751"/>
      <c r="D47" s="751"/>
      <c r="E47" s="1338"/>
      <c r="F47" s="1338"/>
      <c r="G47" s="1427" t="s">
        <v>31</v>
      </c>
      <c r="H47" s="1426"/>
      <c r="I47" s="1499" t="s">
        <v>32</v>
      </c>
      <c r="J47" s="1492"/>
      <c r="K47" s="762"/>
      <c r="L47" s="762"/>
      <c r="M47" s="762"/>
      <c r="N47" s="762"/>
      <c r="O47" s="762"/>
      <c r="P47" s="762"/>
      <c r="Q47" s="762"/>
      <c r="R47" s="762"/>
      <c r="S47" s="762"/>
      <c r="T47" s="762"/>
      <c r="U47" s="762"/>
    </row>
    <row r="48" spans="1:22">
      <c r="A48" s="751"/>
      <c r="B48" s="751" t="s">
        <v>33</v>
      </c>
      <c r="C48" s="751" t="s">
        <v>112</v>
      </c>
      <c r="D48" s="751"/>
      <c r="E48" s="1338"/>
      <c r="F48" s="1338"/>
      <c r="G48" s="1486">
        <f t="shared" ref="G48:G55" si="12">U6</f>
        <v>135000</v>
      </c>
      <c r="H48" s="760"/>
      <c r="I48" s="1486">
        <f>U19</f>
        <v>98087.76846080659</v>
      </c>
      <c r="J48" s="757"/>
      <c r="K48" s="773"/>
      <c r="L48" s="762"/>
      <c r="M48" s="762"/>
      <c r="N48" s="762"/>
      <c r="O48" s="762"/>
      <c r="P48" s="762"/>
      <c r="Q48" s="762"/>
      <c r="R48" s="762"/>
      <c r="S48" s="762"/>
      <c r="T48" s="762"/>
      <c r="U48" s="762"/>
      <c r="V48" s="762"/>
    </row>
    <row r="49" spans="1:22">
      <c r="A49" s="751"/>
      <c r="B49" s="751" t="s">
        <v>34</v>
      </c>
      <c r="C49" s="751" t="s">
        <v>113</v>
      </c>
      <c r="D49" s="751"/>
      <c r="E49" s="1338"/>
      <c r="F49" s="1338"/>
      <c r="G49" s="1488">
        <f t="shared" si="12"/>
        <v>6400</v>
      </c>
      <c r="H49" s="760"/>
      <c r="I49" s="1488">
        <f>U29</f>
        <v>4428.5786914277833</v>
      </c>
      <c r="J49" s="757"/>
      <c r="K49" s="762"/>
      <c r="L49" s="762"/>
      <c r="M49" s="762"/>
      <c r="N49" s="762"/>
      <c r="O49" s="762"/>
      <c r="P49" s="762"/>
      <c r="Q49" s="762"/>
      <c r="R49" s="762"/>
      <c r="S49" s="762"/>
      <c r="T49" s="762"/>
      <c r="U49" s="762"/>
      <c r="V49" s="762"/>
    </row>
    <row r="50" spans="1:22">
      <c r="A50" s="751"/>
      <c r="B50" s="751" t="s">
        <v>35</v>
      </c>
      <c r="C50" s="751" t="s">
        <v>114</v>
      </c>
      <c r="D50" s="751"/>
      <c r="E50" s="1338"/>
      <c r="F50" s="1338"/>
      <c r="G50" s="1488">
        <f t="shared" si="12"/>
        <v>141400</v>
      </c>
      <c r="H50" s="760"/>
      <c r="I50" s="1488">
        <f>U30</f>
        <v>102516.34715223439</v>
      </c>
      <c r="J50" s="757"/>
      <c r="K50" s="762"/>
      <c r="L50" s="762"/>
      <c r="M50" s="762"/>
      <c r="N50" s="762"/>
      <c r="O50" s="762"/>
      <c r="P50" s="762"/>
      <c r="Q50" s="762"/>
      <c r="R50" s="762"/>
      <c r="S50" s="762"/>
      <c r="T50" s="762"/>
      <c r="U50" s="762"/>
      <c r="V50" s="762"/>
    </row>
    <row r="51" spans="1:22">
      <c r="A51" s="751"/>
      <c r="B51" s="751" t="s">
        <v>36</v>
      </c>
      <c r="C51" s="751" t="s">
        <v>115</v>
      </c>
      <c r="D51" s="751"/>
      <c r="E51" s="1338"/>
      <c r="F51" s="1338"/>
      <c r="G51" s="1488">
        <f t="shared" si="12"/>
        <v>-2250</v>
      </c>
      <c r="H51" s="760"/>
      <c r="I51" s="1488">
        <f>U31</f>
        <v>-1634.7961410134433</v>
      </c>
      <c r="J51" s="757"/>
      <c r="K51" s="762"/>
      <c r="L51" s="762"/>
      <c r="M51" s="762"/>
      <c r="N51" s="762"/>
      <c r="O51" s="762"/>
      <c r="P51" s="762"/>
      <c r="Q51" s="762"/>
      <c r="R51" s="762"/>
      <c r="S51" s="762"/>
      <c r="T51" s="762"/>
      <c r="U51" s="762"/>
      <c r="V51" s="762"/>
    </row>
    <row r="52" spans="1:22">
      <c r="A52" s="751"/>
      <c r="B52" s="751" t="s">
        <v>37</v>
      </c>
      <c r="C52" s="751" t="s">
        <v>116</v>
      </c>
      <c r="D52" s="751"/>
      <c r="E52" s="1338"/>
      <c r="F52" s="1338"/>
      <c r="G52" s="1488">
        <f t="shared" si="12"/>
        <v>-79115</v>
      </c>
      <c r="H52" s="760"/>
      <c r="I52" s="1488">
        <f t="shared" ref="I52:I54" si="13">U41</f>
        <v>-74355.488122067603</v>
      </c>
      <c r="J52" s="757"/>
      <c r="K52" s="762"/>
      <c r="L52" s="762"/>
      <c r="M52" s="762"/>
      <c r="N52" s="762"/>
      <c r="O52" s="762"/>
      <c r="P52" s="762"/>
      <c r="Q52" s="762"/>
      <c r="R52" s="762"/>
      <c r="S52" s="762"/>
      <c r="T52" s="762"/>
      <c r="U52" s="762"/>
      <c r="V52" s="762"/>
    </row>
    <row r="53" spans="1:22">
      <c r="A53" s="751"/>
      <c r="B53" s="751" t="s">
        <v>80</v>
      </c>
      <c r="C53" s="751" t="s">
        <v>85</v>
      </c>
      <c r="D53" s="751"/>
      <c r="E53" s="1338"/>
      <c r="F53" s="1338"/>
      <c r="G53" s="1488">
        <f t="shared" si="12"/>
        <v>750</v>
      </c>
      <c r="H53" s="760"/>
      <c r="I53" s="1488">
        <f t="shared" si="13"/>
        <v>544.93204700448109</v>
      </c>
      <c r="J53" s="757"/>
      <c r="K53" s="762"/>
      <c r="L53" s="762"/>
      <c r="M53" s="762"/>
      <c r="N53" s="762"/>
      <c r="O53" s="762"/>
      <c r="P53" s="762"/>
      <c r="Q53" s="762"/>
      <c r="R53" s="762"/>
      <c r="S53" s="762"/>
      <c r="T53" s="762"/>
      <c r="U53" s="762"/>
      <c r="V53" s="762"/>
    </row>
    <row r="54" spans="1:22">
      <c r="A54" s="751"/>
      <c r="B54" s="751" t="s">
        <v>63</v>
      </c>
      <c r="C54" s="751" t="s">
        <v>124</v>
      </c>
      <c r="D54" s="751"/>
      <c r="E54" s="1338"/>
      <c r="F54" s="1338"/>
      <c r="G54" s="1488">
        <f t="shared" si="12"/>
        <v>-80615</v>
      </c>
      <c r="H54" s="760"/>
      <c r="I54" s="1488">
        <f t="shared" si="13"/>
        <v>-75445.352216076557</v>
      </c>
      <c r="J54" s="757"/>
      <c r="K54" s="762"/>
      <c r="L54" s="762"/>
      <c r="M54" s="762"/>
      <c r="N54" s="762"/>
      <c r="O54" s="762"/>
      <c r="P54" s="762"/>
      <c r="Q54" s="762"/>
      <c r="R54" s="762"/>
      <c r="S54" s="762"/>
      <c r="T54" s="762"/>
      <c r="U54" s="762"/>
      <c r="V54" s="762"/>
    </row>
    <row r="55" spans="1:22">
      <c r="A55" s="751"/>
      <c r="B55" s="751" t="s">
        <v>144</v>
      </c>
      <c r="C55" s="751" t="s">
        <v>12</v>
      </c>
      <c r="D55" s="751"/>
      <c r="E55" s="1338"/>
      <c r="F55" s="1338"/>
      <c r="G55" s="1599">
        <f t="shared" si="12"/>
        <v>60785</v>
      </c>
      <c r="H55" s="760"/>
      <c r="I55" s="1599">
        <f>U44</f>
        <v>27070.994936157833</v>
      </c>
      <c r="J55" s="757"/>
      <c r="K55" s="762"/>
      <c r="L55" s="762"/>
      <c r="M55" s="762"/>
      <c r="N55" s="762"/>
      <c r="O55" s="762"/>
      <c r="P55" s="762"/>
      <c r="Q55" s="762"/>
      <c r="R55" s="762"/>
      <c r="S55" s="762"/>
      <c r="T55" s="762"/>
      <c r="U55" s="762"/>
      <c r="V55" s="762"/>
    </row>
    <row r="56" spans="1:22">
      <c r="A56" s="751"/>
      <c r="B56" s="751"/>
      <c r="C56" s="751"/>
      <c r="D56" s="751"/>
      <c r="E56" s="1338"/>
      <c r="F56" s="1338"/>
      <c r="G56" s="760"/>
      <c r="H56" s="760"/>
      <c r="I56" s="760"/>
      <c r="J56" s="757"/>
      <c r="K56" s="762"/>
      <c r="L56" s="762"/>
      <c r="M56" s="762"/>
      <c r="N56" s="762"/>
      <c r="O56" s="762"/>
      <c r="P56" s="762"/>
      <c r="Q56" s="762"/>
      <c r="R56" s="762"/>
      <c r="S56" s="762"/>
      <c r="T56" s="762"/>
      <c r="U56" s="762"/>
      <c r="V56" s="762"/>
    </row>
    <row r="57" spans="1:22" ht="15">
      <c r="A57" s="1563">
        <v>4</v>
      </c>
      <c r="B57" s="1601" t="s">
        <v>38</v>
      </c>
      <c r="C57" s="1563"/>
      <c r="D57" s="1568"/>
      <c r="E57" s="1563"/>
      <c r="F57" s="1563"/>
      <c r="G57" s="1563"/>
      <c r="H57" s="1563"/>
      <c r="I57" s="1563"/>
      <c r="J57" s="1563"/>
      <c r="K57" s="1563"/>
      <c r="L57" s="1563"/>
      <c r="M57" s="1563"/>
      <c r="N57" s="1563"/>
      <c r="O57" s="1563"/>
      <c r="P57" s="1563"/>
      <c r="Q57" s="1563"/>
      <c r="R57" s="1563"/>
      <c r="S57" s="1563"/>
      <c r="T57" s="1563"/>
      <c r="U57" s="1564"/>
    </row>
    <row r="58" spans="1:22">
      <c r="A58" s="751"/>
      <c r="B58" s="751" t="s">
        <v>39</v>
      </c>
      <c r="C58" s="751" t="s">
        <v>56</v>
      </c>
      <c r="D58" s="751"/>
      <c r="E58" s="1339"/>
      <c r="F58" s="1339"/>
      <c r="G58" s="1511">
        <f>I55</f>
        <v>27070.994936157833</v>
      </c>
      <c r="H58" s="751"/>
      <c r="I58" s="751"/>
      <c r="J58" s="751"/>
      <c r="K58" s="762"/>
      <c r="L58" s="762"/>
      <c r="M58" s="762"/>
      <c r="N58" s="762"/>
      <c r="O58" s="762"/>
      <c r="P58" s="762"/>
      <c r="Q58" s="762"/>
      <c r="R58" s="762"/>
      <c r="S58" s="762"/>
      <c r="T58" s="762"/>
      <c r="U58" s="762"/>
      <c r="V58" s="762"/>
    </row>
    <row r="59" spans="1:22">
      <c r="A59" s="751"/>
      <c r="B59" s="751" t="s">
        <v>55</v>
      </c>
      <c r="C59" s="751" t="s">
        <v>57</v>
      </c>
      <c r="D59" s="751"/>
      <c r="E59" s="1339"/>
      <c r="F59" s="1339"/>
      <c r="G59" s="1602">
        <f>IRR(F13:T13,G61)</f>
        <v>0.12609897605262632</v>
      </c>
      <c r="H59" s="751"/>
      <c r="I59" s="751"/>
      <c r="J59" s="751"/>
      <c r="K59" s="762"/>
      <c r="L59" s="762"/>
      <c r="M59" s="762"/>
      <c r="N59" s="762"/>
      <c r="O59" s="762"/>
      <c r="P59" s="762"/>
      <c r="Q59" s="762"/>
      <c r="R59" s="762"/>
      <c r="S59" s="762"/>
      <c r="T59" s="762"/>
      <c r="U59" s="762"/>
      <c r="V59" s="762"/>
    </row>
    <row r="60" spans="1:22">
      <c r="A60" s="1519"/>
      <c r="B60" s="751" t="s">
        <v>41</v>
      </c>
      <c r="C60" s="1519" t="s">
        <v>58</v>
      </c>
      <c r="D60" s="1519"/>
      <c r="E60" s="1339"/>
      <c r="F60" s="1339"/>
      <c r="G60" s="1600">
        <f>I50/ABS(I54)</f>
        <v>1.3588159394978516</v>
      </c>
      <c r="H60" s="1519"/>
      <c r="I60" s="1519"/>
      <c r="J60" s="1519"/>
    </row>
    <row r="61" spans="1:22">
      <c r="A61" s="1519"/>
      <c r="B61" s="751"/>
      <c r="C61" s="775" t="s">
        <v>1207</v>
      </c>
      <c r="D61" s="775"/>
      <c r="E61" s="775"/>
      <c r="F61" s="775"/>
      <c r="G61" s="2147">
        <f>'12. RL Investīciju n.pl.'!G46</f>
        <v>-0.6</v>
      </c>
      <c r="H61" s="1519"/>
      <c r="I61" s="1519"/>
      <c r="J61" s="1519"/>
    </row>
    <row r="62" spans="1:22" ht="15">
      <c r="A62" s="1563"/>
      <c r="B62" s="1601"/>
      <c r="C62" s="1563"/>
      <c r="D62" s="1568"/>
      <c r="E62" s="1563"/>
      <c r="F62" s="1563"/>
      <c r="G62" s="1563"/>
      <c r="H62" s="1563"/>
      <c r="I62" s="1563"/>
      <c r="J62" s="1563"/>
      <c r="K62" s="1563"/>
      <c r="L62" s="1563"/>
      <c r="M62" s="1563"/>
      <c r="N62" s="1563"/>
      <c r="O62" s="1563"/>
      <c r="P62" s="1563"/>
      <c r="Q62" s="1563"/>
      <c r="R62" s="1563"/>
      <c r="S62" s="1563"/>
      <c r="T62" s="1563"/>
      <c r="U62" s="1564"/>
    </row>
    <row r="63" spans="1:22">
      <c r="D63" s="750"/>
      <c r="G63" s="1346"/>
    </row>
    <row r="64" spans="1:22">
      <c r="C64" s="1346"/>
      <c r="D64" s="750"/>
      <c r="G64" s="1721"/>
    </row>
    <row r="65" spans="4:11">
      <c r="D65" s="750"/>
      <c r="G65" s="1722"/>
    </row>
    <row r="66" spans="4:11">
      <c r="D66" s="750"/>
      <c r="G66" s="1723"/>
    </row>
    <row r="67" spans="4:11">
      <c r="D67" s="750"/>
      <c r="G67" s="1721"/>
    </row>
    <row r="68" spans="4:11">
      <c r="G68" s="1722"/>
    </row>
    <row r="69" spans="4:11">
      <c r="G69" s="1723"/>
    </row>
    <row r="77" spans="4:11">
      <c r="K77" s="774"/>
    </row>
  </sheetData>
  <sheetProtection algorithmName="SHA-512" hashValue="7jKimoBVgbA+9AfxI1NGUQ09xA9VTOC2zwUJtwnlTMcSIcGnKWWyGn16qhcGHczhnw7pIRqgec/lITdzQd28KA==" saltValue="7GhcS4xCNr1hFNK9JJ3L0Q==" spinCount="100000" sheet="1" objects="1" scenarios="1"/>
  <mergeCells count="2">
    <mergeCell ref="A1:F1"/>
    <mergeCell ref="A2:F2"/>
  </mergeCells>
  <phoneticPr fontId="3" type="noConversion"/>
  <dataValidations count="1">
    <dataValidation type="decimal" allowBlank="1" showInputMessage="1" showErrorMessage="1" sqref="F16">
      <formula1>0</formula1>
      <formula2>100</formula2>
    </dataValidation>
  </dataValidations>
  <printOptions horizontalCentered="1"/>
  <pageMargins left="0.11811023622047245" right="0.11811023622047245" top="0.98425196850393704" bottom="0.98425196850393704" header="0.51181102362204722" footer="0.51181102362204722"/>
  <pageSetup paperSize="8" scale="43" orientation="landscape" r:id="rId1"/>
  <headerFooter alignWithMargins="0">
    <oddHeader>&amp;CSociālekonomiskā analīze&amp;R7.pielikums</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B2:E7"/>
  <sheetViews>
    <sheetView topLeftCell="A4" workbookViewId="0">
      <selection activeCell="C17" sqref="C17"/>
    </sheetView>
  </sheetViews>
  <sheetFormatPr defaultColWidth="8.85546875" defaultRowHeight="12.75"/>
  <cols>
    <col min="1" max="1" width="8.85546875" style="6"/>
    <col min="2" max="2" width="60" style="6" bestFit="1" customWidth="1"/>
    <col min="3" max="3" width="9.7109375" style="6" bestFit="1" customWidth="1"/>
    <col min="4" max="16384" width="8.85546875" style="6"/>
  </cols>
  <sheetData>
    <row r="2" spans="2:5">
      <c r="B2" s="2" t="s">
        <v>87</v>
      </c>
      <c r="C2" s="3">
        <f>'3. DL invest.n.pl.AR pr.'!U24</f>
        <v>-62615</v>
      </c>
      <c r="D2" s="4" t="b">
        <f>C2=(C3+C6)</f>
        <v>0</v>
      </c>
      <c r="E2" s="5"/>
    </row>
    <row r="3" spans="2:5">
      <c r="B3" s="2" t="s">
        <v>88</v>
      </c>
      <c r="C3" s="7">
        <f>C4+C5</f>
        <v>0</v>
      </c>
      <c r="D3" s="8" t="b">
        <f>'12. RL Investīciju n.pl.'!F43=C3</f>
        <v>0</v>
      </c>
      <c r="E3" s="8" t="b">
        <f>C3='12. RL Investīciju n.pl.'!G43</f>
        <v>0</v>
      </c>
    </row>
    <row r="4" spans="2:5">
      <c r="B4" s="2" t="s">
        <v>89</v>
      </c>
      <c r="C4" s="9"/>
      <c r="D4" s="5"/>
      <c r="E4" s="5"/>
    </row>
    <row r="5" spans="2:5">
      <c r="B5" s="2" t="s">
        <v>90</v>
      </c>
      <c r="C5" s="9">
        <v>0</v>
      </c>
      <c r="D5" s="10"/>
      <c r="E5" s="5"/>
    </row>
    <row r="6" spans="2:5">
      <c r="B6" s="2" t="s">
        <v>91</v>
      </c>
      <c r="C6" s="9"/>
      <c r="D6" s="5"/>
      <c r="E6" s="5"/>
    </row>
    <row r="7" spans="2:5">
      <c r="B7" s="2" t="s">
        <v>92</v>
      </c>
      <c r="C7" s="7"/>
      <c r="D7" s="5"/>
      <c r="E7" s="5" t="e">
        <f>C7/C4</f>
        <v>#DIV/0!</v>
      </c>
    </row>
  </sheetData>
  <pageMargins left="0.7" right="0.7" top="0.75" bottom="0.75" header="0.3" footer="0.3"/>
  <pageSetup paperSize="9" scale="93"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A1:H297"/>
  <sheetViews>
    <sheetView workbookViewId="0">
      <selection activeCell="F10" sqref="F10"/>
    </sheetView>
  </sheetViews>
  <sheetFormatPr defaultRowHeight="15"/>
  <cols>
    <col min="1" max="1" width="16.140625" style="328" customWidth="1"/>
    <col min="2" max="6" width="17.85546875" style="328" customWidth="1"/>
    <col min="7" max="8" width="10.7109375" style="328" customWidth="1"/>
  </cols>
  <sheetData>
    <row r="1" spans="1:8" ht="15.75">
      <c r="A1" s="353" t="s">
        <v>304</v>
      </c>
      <c r="B1" s="352"/>
      <c r="C1" s="352"/>
      <c r="D1" s="352"/>
      <c r="E1" s="352"/>
      <c r="F1" s="352"/>
      <c r="G1" s="352"/>
      <c r="H1" s="352"/>
    </row>
    <row r="2" spans="1:8" ht="15.75">
      <c r="A2" s="353"/>
      <c r="B2" s="352"/>
      <c r="C2" s="352"/>
      <c r="D2" s="352"/>
      <c r="E2" s="352"/>
      <c r="F2" s="352"/>
      <c r="G2" s="352"/>
      <c r="H2" s="352"/>
    </row>
    <row r="3" spans="1:8" ht="12.75">
      <c r="A3" s="351" t="s">
        <v>303</v>
      </c>
      <c r="B3" s="350" t="s">
        <v>302</v>
      </c>
      <c r="C3" s="350"/>
      <c r="D3" s="350"/>
      <c r="E3" s="350"/>
      <c r="F3" s="350"/>
      <c r="G3" s="350"/>
      <c r="H3" s="350"/>
    </row>
    <row r="4" spans="1:8" ht="12.75">
      <c r="A4" s="351"/>
      <c r="B4" s="350" t="s">
        <v>301</v>
      </c>
      <c r="C4" s="350"/>
      <c r="D4" s="350"/>
      <c r="E4" s="350"/>
      <c r="F4" s="350"/>
      <c r="G4" s="350"/>
      <c r="H4" s="350"/>
    </row>
    <row r="5" spans="1:8">
      <c r="B5" s="350" t="s">
        <v>300</v>
      </c>
    </row>
    <row r="7" spans="1:8" ht="14.25">
      <c r="A7" s="349" t="s">
        <v>299</v>
      </c>
      <c r="B7" s="349"/>
      <c r="C7" s="349"/>
      <c r="D7" s="349"/>
      <c r="E7" s="349"/>
      <c r="F7" s="349"/>
      <c r="G7" s="349"/>
      <c r="H7" s="349"/>
    </row>
    <row r="8" spans="1:8" ht="14.25">
      <c r="A8" s="349"/>
      <c r="B8" s="349"/>
      <c r="C8" s="349"/>
      <c r="D8" s="349"/>
      <c r="E8" s="349"/>
      <c r="F8" s="349"/>
      <c r="G8" s="349"/>
      <c r="H8" s="349"/>
    </row>
    <row r="9" spans="1:8">
      <c r="A9" s="2224" t="s">
        <v>298</v>
      </c>
      <c r="B9" s="348" t="s">
        <v>297</v>
      </c>
      <c r="C9" s="346" t="s">
        <v>296</v>
      </c>
      <c r="D9" s="347" t="s">
        <v>295</v>
      </c>
      <c r="E9" s="346" t="s">
        <v>294</v>
      </c>
      <c r="F9" s="345" t="s">
        <v>293</v>
      </c>
      <c r="G9" s="341"/>
      <c r="H9" s="341"/>
    </row>
    <row r="10" spans="1:8" ht="26.25">
      <c r="A10" s="2224"/>
      <c r="B10" s="344" t="s">
        <v>292</v>
      </c>
      <c r="C10" s="343" t="s">
        <v>292</v>
      </c>
      <c r="D10" s="344" t="s">
        <v>292</v>
      </c>
      <c r="E10" s="343" t="s">
        <v>292</v>
      </c>
      <c r="F10" s="342" t="s">
        <v>292</v>
      </c>
      <c r="G10" s="341"/>
      <c r="H10" s="341"/>
    </row>
    <row r="11" spans="1:8">
      <c r="A11" s="336">
        <v>1</v>
      </c>
      <c r="B11" s="335">
        <v>0.25</v>
      </c>
      <c r="C11" s="334">
        <v>0.3</v>
      </c>
      <c r="D11" s="335">
        <v>0.4</v>
      </c>
      <c r="E11" s="334">
        <v>0.5</v>
      </c>
      <c r="F11" s="333">
        <v>0.5</v>
      </c>
    </row>
    <row r="12" spans="1:8">
      <c r="A12" s="336">
        <v>2</v>
      </c>
      <c r="B12" s="335">
        <v>0.25</v>
      </c>
      <c r="C12" s="334">
        <v>0.3</v>
      </c>
      <c r="D12" s="335">
        <v>0.4</v>
      </c>
      <c r="E12" s="334">
        <v>0.5</v>
      </c>
      <c r="F12" s="333">
        <v>0.5</v>
      </c>
    </row>
    <row r="13" spans="1:8">
      <c r="A13" s="336">
        <v>3</v>
      </c>
      <c r="B13" s="335">
        <v>0.25</v>
      </c>
      <c r="C13" s="334">
        <v>0.3</v>
      </c>
      <c r="D13" s="335">
        <v>0.4</v>
      </c>
      <c r="E13" s="334">
        <v>0.5</v>
      </c>
      <c r="F13" s="333">
        <v>0.5</v>
      </c>
    </row>
    <row r="14" spans="1:8">
      <c r="A14" s="336">
        <v>4</v>
      </c>
      <c r="B14" s="335">
        <v>0.25</v>
      </c>
      <c r="C14" s="334">
        <v>0.3</v>
      </c>
      <c r="D14" s="335">
        <v>0.4</v>
      </c>
      <c r="E14" s="334">
        <v>0.5</v>
      </c>
      <c r="F14" s="333">
        <v>0.5</v>
      </c>
    </row>
    <row r="15" spans="1:8">
      <c r="A15" s="336">
        <v>5</v>
      </c>
      <c r="B15" s="335">
        <v>0.25</v>
      </c>
      <c r="C15" s="334">
        <v>0.3</v>
      </c>
      <c r="D15" s="335">
        <v>0.4</v>
      </c>
      <c r="E15" s="334">
        <v>0.5</v>
      </c>
      <c r="F15" s="333">
        <v>0.5</v>
      </c>
    </row>
    <row r="16" spans="1:8">
      <c r="A16" s="336">
        <v>6</v>
      </c>
      <c r="B16" s="335">
        <v>0.25</v>
      </c>
      <c r="C16" s="334">
        <v>0.3</v>
      </c>
      <c r="D16" s="335">
        <v>0.4</v>
      </c>
      <c r="E16" s="334">
        <v>0.5</v>
      </c>
      <c r="F16" s="333">
        <v>0.5</v>
      </c>
    </row>
    <row r="17" spans="1:6" customFormat="1" ht="12.75">
      <c r="A17" s="336">
        <v>7</v>
      </c>
      <c r="B17" s="335">
        <v>0.25</v>
      </c>
      <c r="C17" s="334">
        <v>0.3</v>
      </c>
      <c r="D17" s="335">
        <v>0.4</v>
      </c>
      <c r="E17" s="334">
        <v>0.5</v>
      </c>
      <c r="F17" s="333">
        <v>0.5</v>
      </c>
    </row>
    <row r="18" spans="1:6" customFormat="1" ht="12.75">
      <c r="A18" s="336">
        <v>8</v>
      </c>
      <c r="B18" s="335">
        <v>0.25</v>
      </c>
      <c r="C18" s="334">
        <v>0.3</v>
      </c>
      <c r="D18" s="335">
        <v>0.4</v>
      </c>
      <c r="E18" s="334">
        <v>0.5</v>
      </c>
      <c r="F18" s="333">
        <v>0.5</v>
      </c>
    </row>
    <row r="19" spans="1:6" customFormat="1" ht="12.75">
      <c r="A19" s="336">
        <v>9</v>
      </c>
      <c r="B19" s="335">
        <v>0.25</v>
      </c>
      <c r="C19" s="334">
        <v>0.3</v>
      </c>
      <c r="D19" s="335">
        <v>0.4</v>
      </c>
      <c r="E19" s="334">
        <v>0.5</v>
      </c>
      <c r="F19" s="333">
        <v>0.5</v>
      </c>
    </row>
    <row r="20" spans="1:6" customFormat="1" ht="12.75">
      <c r="A20" s="336">
        <v>10</v>
      </c>
      <c r="B20" s="335">
        <v>0.25</v>
      </c>
      <c r="C20" s="334">
        <v>0.3</v>
      </c>
      <c r="D20" s="335">
        <v>0.4</v>
      </c>
      <c r="E20" s="334">
        <v>0.5</v>
      </c>
      <c r="F20" s="333">
        <v>0.5</v>
      </c>
    </row>
    <row r="21" spans="1:6" customFormat="1" ht="12.75">
      <c r="A21" s="336">
        <v>11</v>
      </c>
      <c r="B21" s="335">
        <v>0.26</v>
      </c>
      <c r="C21" s="334">
        <v>0.33</v>
      </c>
      <c r="D21" s="335">
        <v>0.4</v>
      </c>
      <c r="E21" s="334">
        <v>0.5</v>
      </c>
      <c r="F21" s="333">
        <v>0.5</v>
      </c>
    </row>
    <row r="22" spans="1:6" customFormat="1" ht="12.75">
      <c r="A22" s="336">
        <v>12</v>
      </c>
      <c r="B22" s="335">
        <v>0.28000000000000003</v>
      </c>
      <c r="C22" s="334">
        <v>0.35</v>
      </c>
      <c r="D22" s="335">
        <v>0.4</v>
      </c>
      <c r="E22" s="334">
        <v>0.5</v>
      </c>
      <c r="F22" s="333">
        <v>0.5</v>
      </c>
    </row>
    <row r="23" spans="1:6" customFormat="1" ht="12.75">
      <c r="A23" s="336">
        <v>13</v>
      </c>
      <c r="B23" s="335">
        <v>0.3</v>
      </c>
      <c r="C23" s="334">
        <v>0.38</v>
      </c>
      <c r="D23" s="335">
        <v>0.4</v>
      </c>
      <c r="E23" s="334">
        <v>0.5</v>
      </c>
      <c r="F23" s="333">
        <v>0.5</v>
      </c>
    </row>
    <row r="24" spans="1:6" customFormat="1" ht="12.75">
      <c r="A24" s="336">
        <v>14</v>
      </c>
      <c r="B24" s="335">
        <v>0.32</v>
      </c>
      <c r="C24" s="334">
        <v>0.4</v>
      </c>
      <c r="D24" s="335">
        <v>0.4</v>
      </c>
      <c r="E24" s="334">
        <v>0.5</v>
      </c>
      <c r="F24" s="333">
        <v>0.5</v>
      </c>
    </row>
    <row r="25" spans="1:6" customFormat="1" ht="12.75">
      <c r="A25" s="336">
        <v>15</v>
      </c>
      <c r="B25" s="335">
        <v>0.34</v>
      </c>
      <c r="C25" s="334">
        <v>0.43</v>
      </c>
      <c r="D25" s="335">
        <v>0.43</v>
      </c>
      <c r="E25" s="334">
        <v>0.55000000000000004</v>
      </c>
      <c r="F25" s="333">
        <v>0.55000000000000004</v>
      </c>
    </row>
    <row r="26" spans="1:6" customFormat="1" ht="12.75">
      <c r="A26" s="336">
        <v>16</v>
      </c>
      <c r="B26" s="335">
        <v>0.37</v>
      </c>
      <c r="C26" s="334">
        <v>0.46</v>
      </c>
      <c r="D26" s="335">
        <v>0.46</v>
      </c>
      <c r="E26" s="334">
        <v>0.6</v>
      </c>
      <c r="F26" s="333">
        <v>0.6</v>
      </c>
    </row>
    <row r="27" spans="1:6" customFormat="1" ht="12.75">
      <c r="A27" s="336">
        <v>17</v>
      </c>
      <c r="B27" s="335">
        <v>0.38</v>
      </c>
      <c r="C27" s="334">
        <v>0.48</v>
      </c>
      <c r="D27" s="335">
        <v>0.48</v>
      </c>
      <c r="E27" s="334">
        <v>0.65</v>
      </c>
      <c r="F27" s="333">
        <v>0.65</v>
      </c>
    </row>
    <row r="28" spans="1:6" customFormat="1" ht="12.75">
      <c r="A28" s="336">
        <v>18</v>
      </c>
      <c r="B28" s="335">
        <v>0.4</v>
      </c>
      <c r="C28" s="334">
        <v>0.5</v>
      </c>
      <c r="D28" s="335">
        <v>0.5</v>
      </c>
      <c r="E28" s="334">
        <v>0.7</v>
      </c>
      <c r="F28" s="333">
        <v>0.7</v>
      </c>
    </row>
    <row r="29" spans="1:6" customFormat="1" ht="12.75">
      <c r="A29" s="336">
        <v>19</v>
      </c>
      <c r="B29" s="335">
        <v>0.42</v>
      </c>
      <c r="C29" s="334">
        <v>0.53</v>
      </c>
      <c r="D29" s="335">
        <v>0.53</v>
      </c>
      <c r="E29" s="334">
        <v>0.75</v>
      </c>
      <c r="F29" s="333">
        <v>0.75</v>
      </c>
    </row>
    <row r="30" spans="1:6" customFormat="1" ht="12.75">
      <c r="A30" s="336">
        <v>20</v>
      </c>
      <c r="B30" s="335">
        <v>0.44</v>
      </c>
      <c r="C30" s="334">
        <v>0.55000000000000004</v>
      </c>
      <c r="D30" s="335">
        <v>0.55000000000000004</v>
      </c>
      <c r="E30" s="334">
        <v>0.8</v>
      </c>
      <c r="F30" s="333">
        <v>0.8</v>
      </c>
    </row>
    <row r="31" spans="1:6" customFormat="1" ht="12.75">
      <c r="A31" s="336">
        <v>21</v>
      </c>
      <c r="B31" s="335">
        <v>0.46</v>
      </c>
      <c r="C31" s="334">
        <v>0.57999999999999996</v>
      </c>
      <c r="D31" s="335">
        <v>0.57999999999999996</v>
      </c>
      <c r="E31" s="334">
        <v>0.85</v>
      </c>
      <c r="F31" s="333">
        <v>0.85</v>
      </c>
    </row>
    <row r="32" spans="1:6" customFormat="1" ht="12.75">
      <c r="A32" s="336">
        <v>22</v>
      </c>
      <c r="B32" s="335">
        <v>0.48</v>
      </c>
      <c r="C32" s="334">
        <v>0.6</v>
      </c>
      <c r="D32" s="335">
        <v>0.6</v>
      </c>
      <c r="E32" s="334">
        <v>0.9</v>
      </c>
      <c r="F32" s="333">
        <v>0.9</v>
      </c>
    </row>
    <row r="33" spans="1:6" customFormat="1" ht="12.75">
      <c r="A33" s="336">
        <v>23</v>
      </c>
      <c r="B33" s="335">
        <v>0.5</v>
      </c>
      <c r="C33" s="334">
        <v>0.63</v>
      </c>
      <c r="D33" s="335">
        <v>0.63</v>
      </c>
      <c r="E33" s="334">
        <v>0.95</v>
      </c>
      <c r="F33" s="333">
        <v>0.95</v>
      </c>
    </row>
    <row r="34" spans="1:6" customFormat="1" ht="12.75">
      <c r="A34" s="336">
        <v>24</v>
      </c>
      <c r="B34" s="335">
        <v>0.51</v>
      </c>
      <c r="C34" s="334">
        <v>0.64</v>
      </c>
      <c r="D34" s="335">
        <v>0.65</v>
      </c>
      <c r="E34" s="334">
        <v>0.95</v>
      </c>
      <c r="F34" s="333">
        <v>0.95</v>
      </c>
    </row>
    <row r="35" spans="1:6" customFormat="1" ht="12.75">
      <c r="A35" s="336">
        <v>25</v>
      </c>
      <c r="B35" s="335">
        <v>0.52</v>
      </c>
      <c r="C35" s="334">
        <v>0.65</v>
      </c>
      <c r="D35" s="335">
        <v>0.66</v>
      </c>
      <c r="E35" s="334">
        <v>1</v>
      </c>
      <c r="F35" s="333">
        <v>1</v>
      </c>
    </row>
    <row r="36" spans="1:6" customFormat="1" ht="12.75">
      <c r="A36" s="336">
        <v>26</v>
      </c>
      <c r="B36" s="335">
        <v>0.52</v>
      </c>
      <c r="C36" s="334">
        <v>0.65</v>
      </c>
      <c r="D36" s="335">
        <v>0.68</v>
      </c>
      <c r="E36" s="334">
        <v>1</v>
      </c>
      <c r="F36" s="333">
        <v>1</v>
      </c>
    </row>
    <row r="37" spans="1:6" customFormat="1" ht="12.75">
      <c r="A37" s="336">
        <v>27</v>
      </c>
      <c r="B37" s="335">
        <v>0.53</v>
      </c>
      <c r="C37" s="334">
        <v>0.66</v>
      </c>
      <c r="D37" s="335">
        <v>0.69</v>
      </c>
      <c r="E37" s="334">
        <v>1</v>
      </c>
      <c r="F37" s="333">
        <v>1</v>
      </c>
    </row>
    <row r="38" spans="1:6" customFormat="1" ht="12.75">
      <c r="A38" s="336">
        <v>28</v>
      </c>
      <c r="B38" s="335">
        <v>0.54</v>
      </c>
      <c r="C38" s="334">
        <v>0.68</v>
      </c>
      <c r="D38" s="335">
        <v>0.71</v>
      </c>
      <c r="E38" s="334">
        <v>1.05</v>
      </c>
      <c r="F38" s="333">
        <v>1.05</v>
      </c>
    </row>
    <row r="39" spans="1:6" customFormat="1" ht="12.75">
      <c r="A39" s="336">
        <v>29</v>
      </c>
      <c r="B39" s="335">
        <v>0.54</v>
      </c>
      <c r="C39" s="334">
        <v>0.68</v>
      </c>
      <c r="D39" s="335">
        <v>0.73</v>
      </c>
      <c r="E39" s="334">
        <v>1.05</v>
      </c>
      <c r="F39" s="333">
        <v>1.05</v>
      </c>
    </row>
    <row r="40" spans="1:6" customFormat="1" ht="12.75">
      <c r="A40" s="336">
        <v>30</v>
      </c>
      <c r="B40" s="335">
        <v>0.55000000000000004</v>
      </c>
      <c r="C40" s="334">
        <v>0.69</v>
      </c>
      <c r="D40" s="335">
        <v>0.74</v>
      </c>
      <c r="E40" s="334">
        <v>1.1000000000000001</v>
      </c>
      <c r="F40" s="333">
        <v>1.1000000000000001</v>
      </c>
    </row>
    <row r="41" spans="1:6" customFormat="1" ht="12.75">
      <c r="A41" s="336">
        <v>31</v>
      </c>
      <c r="B41" s="335">
        <v>0.56999999999999995</v>
      </c>
      <c r="C41" s="334">
        <v>0.71</v>
      </c>
      <c r="D41" s="335">
        <v>0.76</v>
      </c>
      <c r="E41" s="334">
        <v>1.1000000000000001</v>
      </c>
      <c r="F41" s="333">
        <v>1.1000000000000001</v>
      </c>
    </row>
    <row r="42" spans="1:6" customFormat="1" ht="12.75">
      <c r="A42" s="340">
        <v>32</v>
      </c>
      <c r="B42" s="339">
        <v>0.57999999999999996</v>
      </c>
      <c r="C42" s="338">
        <v>0.71</v>
      </c>
      <c r="D42" s="339">
        <v>0.77</v>
      </c>
      <c r="E42" s="338">
        <v>1.1000000000000001</v>
      </c>
      <c r="F42" s="337">
        <v>1.1000000000000001</v>
      </c>
    </row>
    <row r="43" spans="1:6" customFormat="1" ht="12.75">
      <c r="A43" s="336">
        <v>33</v>
      </c>
      <c r="B43" s="335">
        <v>0.59</v>
      </c>
      <c r="C43" s="334">
        <v>0.73</v>
      </c>
      <c r="D43" s="335">
        <v>0.79</v>
      </c>
      <c r="E43" s="334">
        <v>1.1499999999999999</v>
      </c>
      <c r="F43" s="333">
        <v>1.1499999999999999</v>
      </c>
    </row>
    <row r="44" spans="1:6" customFormat="1" ht="12.75">
      <c r="A44" s="336">
        <v>34</v>
      </c>
      <c r="B44" s="335">
        <v>0.6</v>
      </c>
      <c r="C44" s="334">
        <v>0.74</v>
      </c>
      <c r="D44" s="335">
        <v>0.81</v>
      </c>
      <c r="E44" s="334">
        <v>1.1499999999999999</v>
      </c>
      <c r="F44" s="333">
        <v>1.1499999999999999</v>
      </c>
    </row>
    <row r="45" spans="1:6" customFormat="1" ht="12.75">
      <c r="A45" s="336">
        <v>35</v>
      </c>
      <c r="B45" s="335">
        <v>0.63</v>
      </c>
      <c r="C45" s="334">
        <v>0.74</v>
      </c>
      <c r="D45" s="335">
        <v>0.82</v>
      </c>
      <c r="E45" s="334">
        <v>1.2</v>
      </c>
      <c r="F45" s="333">
        <v>1.2</v>
      </c>
    </row>
    <row r="46" spans="1:6" customFormat="1" ht="12.75">
      <c r="A46" s="336">
        <v>36</v>
      </c>
      <c r="B46" s="335">
        <v>0.64</v>
      </c>
      <c r="C46" s="334">
        <v>0.75</v>
      </c>
      <c r="D46" s="335">
        <v>0.84</v>
      </c>
      <c r="E46" s="334">
        <v>1.2</v>
      </c>
      <c r="F46" s="333">
        <v>1.2</v>
      </c>
    </row>
    <row r="47" spans="1:6" customFormat="1" ht="12.75">
      <c r="A47" s="336">
        <v>37</v>
      </c>
      <c r="B47" s="335">
        <v>0.65</v>
      </c>
      <c r="C47" s="334">
        <v>0.76</v>
      </c>
      <c r="D47" s="335">
        <v>0.85</v>
      </c>
      <c r="E47" s="334">
        <v>1.2</v>
      </c>
      <c r="F47" s="333">
        <v>1.2</v>
      </c>
    </row>
    <row r="48" spans="1:6" customFormat="1" ht="12.75">
      <c r="A48" s="336">
        <v>38</v>
      </c>
      <c r="B48" s="335">
        <v>0.66</v>
      </c>
      <c r="C48" s="334">
        <v>0.76</v>
      </c>
      <c r="D48" s="335">
        <v>0.87</v>
      </c>
      <c r="E48" s="334">
        <v>1.25</v>
      </c>
      <c r="F48" s="333">
        <v>1.25</v>
      </c>
    </row>
    <row r="49" spans="1:6" customFormat="1" ht="12.75">
      <c r="A49" s="336">
        <v>39</v>
      </c>
      <c r="B49" s="335">
        <v>0.68</v>
      </c>
      <c r="C49" s="334">
        <v>0.79</v>
      </c>
      <c r="D49" s="335">
        <v>0.89</v>
      </c>
      <c r="E49" s="334">
        <v>1.25</v>
      </c>
      <c r="F49" s="333">
        <v>1.25</v>
      </c>
    </row>
    <row r="50" spans="1:6" customFormat="1" ht="12.75">
      <c r="A50" s="336">
        <v>40</v>
      </c>
      <c r="B50" s="335">
        <v>0.69</v>
      </c>
      <c r="C50" s="334">
        <v>0.8</v>
      </c>
      <c r="D50" s="335">
        <v>0.9</v>
      </c>
      <c r="E50" s="334">
        <v>1.3</v>
      </c>
      <c r="F50" s="333">
        <v>1.3</v>
      </c>
    </row>
    <row r="51" spans="1:6" customFormat="1" ht="12.75">
      <c r="A51" s="336">
        <v>41</v>
      </c>
      <c r="B51" s="335">
        <v>0.71</v>
      </c>
      <c r="C51" s="334">
        <v>0.8</v>
      </c>
      <c r="D51" s="335">
        <v>0.92</v>
      </c>
      <c r="E51" s="334">
        <v>1.3</v>
      </c>
      <c r="F51" s="333">
        <v>1.3</v>
      </c>
    </row>
    <row r="52" spans="1:6" customFormat="1" ht="12.75">
      <c r="A52" s="336">
        <v>42</v>
      </c>
      <c r="B52" s="335">
        <v>0.73</v>
      </c>
      <c r="C52" s="334">
        <v>0.81</v>
      </c>
      <c r="D52" s="335">
        <v>0.93</v>
      </c>
      <c r="E52" s="334">
        <v>1.3</v>
      </c>
      <c r="F52" s="333">
        <v>1.3</v>
      </c>
    </row>
    <row r="53" spans="1:6" customFormat="1" ht="12.75">
      <c r="A53" s="336">
        <v>43</v>
      </c>
      <c r="B53" s="335">
        <v>0.74</v>
      </c>
      <c r="C53" s="334">
        <v>0.83</v>
      </c>
      <c r="D53" s="335">
        <v>0.95</v>
      </c>
      <c r="E53" s="334">
        <v>1.35</v>
      </c>
      <c r="F53" s="333">
        <v>1.35</v>
      </c>
    </row>
    <row r="54" spans="1:6" customFormat="1" ht="12.75">
      <c r="A54" s="336">
        <v>44</v>
      </c>
      <c r="B54" s="335">
        <v>0.75</v>
      </c>
      <c r="C54" s="334">
        <v>0.83</v>
      </c>
      <c r="D54" s="335">
        <v>0.97</v>
      </c>
      <c r="E54" s="334">
        <v>1.35</v>
      </c>
      <c r="F54" s="333">
        <v>1.35</v>
      </c>
    </row>
    <row r="55" spans="1:6" customFormat="1" ht="12.75">
      <c r="A55" s="336">
        <v>45</v>
      </c>
      <c r="B55" s="335">
        <v>0.76</v>
      </c>
      <c r="C55" s="334">
        <v>0.84</v>
      </c>
      <c r="D55" s="335">
        <v>0.98</v>
      </c>
      <c r="E55" s="334">
        <v>1.35</v>
      </c>
      <c r="F55" s="333">
        <v>1.35</v>
      </c>
    </row>
    <row r="56" spans="1:6" customFormat="1" ht="12.75">
      <c r="A56" s="336">
        <v>46</v>
      </c>
      <c r="B56" s="335">
        <v>0.79</v>
      </c>
      <c r="C56" s="334">
        <v>0.85</v>
      </c>
      <c r="D56" s="335">
        <v>1</v>
      </c>
      <c r="E56" s="334">
        <v>1.4</v>
      </c>
      <c r="F56" s="333">
        <v>1.4</v>
      </c>
    </row>
    <row r="57" spans="1:6" customFormat="1" ht="12.75">
      <c r="A57" s="336">
        <v>47</v>
      </c>
      <c r="B57" s="335">
        <v>0.8</v>
      </c>
      <c r="C57" s="334">
        <v>0.85</v>
      </c>
      <c r="D57" s="335">
        <v>1.01</v>
      </c>
      <c r="E57" s="334">
        <v>1.4</v>
      </c>
      <c r="F57" s="333">
        <v>1.4</v>
      </c>
    </row>
    <row r="58" spans="1:6" customFormat="1" ht="12.75">
      <c r="A58" s="336">
        <v>48</v>
      </c>
      <c r="B58" s="335">
        <v>0.81</v>
      </c>
      <c r="C58" s="334">
        <v>0.88</v>
      </c>
      <c r="D58" s="335">
        <v>1.03</v>
      </c>
      <c r="E58" s="334">
        <v>1.45</v>
      </c>
      <c r="F58" s="333">
        <v>1.45</v>
      </c>
    </row>
    <row r="59" spans="1:6" customFormat="1" ht="12.75">
      <c r="A59" s="336">
        <v>49</v>
      </c>
      <c r="B59" s="335">
        <v>0.83</v>
      </c>
      <c r="C59" s="334">
        <v>0.89</v>
      </c>
      <c r="D59" s="335">
        <v>1.04</v>
      </c>
      <c r="E59" s="334">
        <v>1.45</v>
      </c>
      <c r="F59" s="333">
        <v>1.45</v>
      </c>
    </row>
    <row r="60" spans="1:6" customFormat="1" ht="12.75">
      <c r="A60" s="336">
        <v>50</v>
      </c>
      <c r="B60" s="335">
        <v>0.84</v>
      </c>
      <c r="C60" s="334">
        <v>0.89</v>
      </c>
      <c r="D60" s="335">
        <v>1.06</v>
      </c>
      <c r="E60" s="334">
        <v>1.45</v>
      </c>
      <c r="F60" s="333">
        <v>1.45</v>
      </c>
    </row>
    <row r="61" spans="1:6" customFormat="1" ht="12.75">
      <c r="A61" s="336">
        <v>51</v>
      </c>
      <c r="B61" s="335">
        <v>0.85</v>
      </c>
      <c r="C61" s="334">
        <v>0.9</v>
      </c>
      <c r="D61" s="335">
        <v>1.08</v>
      </c>
      <c r="E61" s="334">
        <v>1.5</v>
      </c>
      <c r="F61" s="333">
        <v>1.5</v>
      </c>
    </row>
    <row r="62" spans="1:6" customFormat="1" ht="12.75">
      <c r="A62" s="336">
        <v>52</v>
      </c>
      <c r="B62" s="335">
        <v>0.88</v>
      </c>
      <c r="C62" s="334">
        <v>0.91</v>
      </c>
      <c r="D62" s="335">
        <v>1.0900000000000001</v>
      </c>
      <c r="E62" s="334">
        <v>1.5</v>
      </c>
      <c r="F62" s="333">
        <v>1.5</v>
      </c>
    </row>
    <row r="63" spans="1:6" customFormat="1" ht="12.75">
      <c r="A63" s="336">
        <v>53</v>
      </c>
      <c r="B63" s="335">
        <v>0.89</v>
      </c>
      <c r="C63" s="334">
        <v>0.93</v>
      </c>
      <c r="D63" s="335">
        <v>1.1100000000000001</v>
      </c>
      <c r="E63" s="334">
        <v>1.55</v>
      </c>
      <c r="F63" s="333">
        <v>1.55</v>
      </c>
    </row>
    <row r="64" spans="1:6" customFormat="1" ht="12.75">
      <c r="A64" s="336">
        <v>54</v>
      </c>
      <c r="B64" s="335">
        <v>0.89</v>
      </c>
      <c r="C64" s="334">
        <v>0.95</v>
      </c>
      <c r="D64" s="335">
        <v>1.1200000000000001</v>
      </c>
      <c r="E64" s="334">
        <v>1.55</v>
      </c>
      <c r="F64" s="333">
        <v>1.55</v>
      </c>
    </row>
    <row r="65" spans="1:6" customFormat="1" ht="12.75">
      <c r="A65" s="336">
        <v>55</v>
      </c>
      <c r="B65" s="335">
        <v>0.9</v>
      </c>
      <c r="C65" s="334">
        <v>0.96</v>
      </c>
      <c r="D65" s="335">
        <v>1.1399999999999999</v>
      </c>
      <c r="E65" s="334">
        <v>1.55</v>
      </c>
      <c r="F65" s="333">
        <v>1.55</v>
      </c>
    </row>
    <row r="66" spans="1:6" customFormat="1" ht="12.75">
      <c r="A66" s="336">
        <v>56</v>
      </c>
      <c r="B66" s="335">
        <v>0.91</v>
      </c>
      <c r="C66" s="334">
        <v>0.96</v>
      </c>
      <c r="D66" s="335">
        <v>1.1599999999999999</v>
      </c>
      <c r="E66" s="334">
        <v>1.6</v>
      </c>
      <c r="F66" s="333">
        <v>1.6</v>
      </c>
    </row>
    <row r="67" spans="1:6" customFormat="1" ht="12.75">
      <c r="A67" s="336">
        <v>57</v>
      </c>
      <c r="B67" s="335">
        <v>0.93</v>
      </c>
      <c r="C67" s="334">
        <v>0.98</v>
      </c>
      <c r="D67" s="335">
        <v>1.17</v>
      </c>
      <c r="E67" s="334">
        <v>1.6</v>
      </c>
      <c r="F67" s="333">
        <v>1.6</v>
      </c>
    </row>
    <row r="68" spans="1:6" customFormat="1" ht="12.75">
      <c r="A68" s="336">
        <v>58</v>
      </c>
      <c r="B68" s="335">
        <v>0.95</v>
      </c>
      <c r="C68" s="334">
        <v>0.99</v>
      </c>
      <c r="D68" s="335">
        <v>1.19</v>
      </c>
      <c r="E68" s="334">
        <v>1.65</v>
      </c>
      <c r="F68" s="333">
        <v>1.65</v>
      </c>
    </row>
    <row r="69" spans="1:6" customFormat="1" ht="12.75">
      <c r="A69" s="336">
        <v>59</v>
      </c>
      <c r="B69" s="335">
        <v>0.96</v>
      </c>
      <c r="C69" s="334">
        <v>1</v>
      </c>
      <c r="D69" s="335">
        <v>1.2</v>
      </c>
      <c r="E69" s="334">
        <v>1.65</v>
      </c>
      <c r="F69" s="333">
        <v>1.65</v>
      </c>
    </row>
    <row r="70" spans="1:6" customFormat="1" ht="12.75">
      <c r="A70" s="336">
        <v>60</v>
      </c>
      <c r="B70" s="335">
        <v>0.96</v>
      </c>
      <c r="C70" s="334">
        <v>1.01</v>
      </c>
      <c r="D70" s="335">
        <v>1.22</v>
      </c>
      <c r="E70" s="334">
        <v>1.65</v>
      </c>
      <c r="F70" s="333">
        <v>1.65</v>
      </c>
    </row>
    <row r="71" spans="1:6" customFormat="1" ht="12.75">
      <c r="A71" s="336">
        <v>61</v>
      </c>
      <c r="B71" s="335">
        <v>0.98</v>
      </c>
      <c r="C71" s="334">
        <v>1.04</v>
      </c>
      <c r="D71" s="335">
        <v>1.24</v>
      </c>
      <c r="E71" s="334">
        <v>1.7</v>
      </c>
      <c r="F71" s="333">
        <v>1.7</v>
      </c>
    </row>
    <row r="72" spans="1:6" customFormat="1" ht="12.75">
      <c r="A72" s="336">
        <v>62</v>
      </c>
      <c r="B72" s="335">
        <v>0.99</v>
      </c>
      <c r="C72" s="334">
        <v>1.05</v>
      </c>
      <c r="D72" s="335">
        <v>1.25</v>
      </c>
      <c r="E72" s="334">
        <v>1.7</v>
      </c>
      <c r="F72" s="333">
        <v>1.7</v>
      </c>
    </row>
    <row r="73" spans="1:6" customFormat="1" ht="12.75">
      <c r="A73" s="336">
        <v>63</v>
      </c>
      <c r="B73" s="335">
        <v>1</v>
      </c>
      <c r="C73" s="334">
        <v>1.05</v>
      </c>
      <c r="D73" s="335">
        <v>1.27</v>
      </c>
      <c r="E73" s="334">
        <v>1.75</v>
      </c>
      <c r="F73" s="333">
        <v>1.75</v>
      </c>
    </row>
    <row r="74" spans="1:6" customFormat="1" ht="12.75">
      <c r="A74" s="336">
        <v>64</v>
      </c>
      <c r="B74" s="335">
        <v>1.01</v>
      </c>
      <c r="C74" s="334">
        <v>1.06</v>
      </c>
      <c r="D74" s="335">
        <v>1.28</v>
      </c>
      <c r="E74" s="334">
        <v>1.75</v>
      </c>
      <c r="F74" s="333">
        <v>1.75</v>
      </c>
    </row>
    <row r="75" spans="1:6" customFormat="1" ht="12.75">
      <c r="A75" s="336">
        <v>65</v>
      </c>
      <c r="B75" s="335">
        <v>1.04</v>
      </c>
      <c r="C75" s="334">
        <v>1.08</v>
      </c>
      <c r="D75" s="335">
        <v>1.3</v>
      </c>
      <c r="E75" s="334">
        <v>1.75</v>
      </c>
      <c r="F75" s="333">
        <v>1.75</v>
      </c>
    </row>
    <row r="76" spans="1:6" customFormat="1" ht="12.75">
      <c r="A76" s="336">
        <v>66</v>
      </c>
      <c r="B76" s="335">
        <v>1.04</v>
      </c>
      <c r="C76" s="334">
        <v>1.0900000000000001</v>
      </c>
      <c r="D76" s="335">
        <v>1.31</v>
      </c>
      <c r="E76" s="334">
        <v>1.8</v>
      </c>
      <c r="F76" s="333">
        <v>1.8</v>
      </c>
    </row>
    <row r="77" spans="1:6" customFormat="1" ht="12.75">
      <c r="A77" s="336">
        <v>67</v>
      </c>
      <c r="B77" s="335">
        <v>1.05</v>
      </c>
      <c r="C77" s="334">
        <v>1.1100000000000001</v>
      </c>
      <c r="D77" s="335">
        <v>1.33</v>
      </c>
      <c r="E77" s="334">
        <v>1.8</v>
      </c>
      <c r="F77" s="333">
        <v>1.8</v>
      </c>
    </row>
    <row r="78" spans="1:6" customFormat="1" ht="12.75">
      <c r="A78" s="336">
        <v>68</v>
      </c>
      <c r="B78" s="335">
        <v>1.06</v>
      </c>
      <c r="C78" s="334">
        <v>1.1100000000000001</v>
      </c>
      <c r="D78" s="335">
        <v>1.34</v>
      </c>
      <c r="E78" s="334">
        <v>1.85</v>
      </c>
      <c r="F78" s="333">
        <v>1.85</v>
      </c>
    </row>
    <row r="79" spans="1:6" customFormat="1" ht="12.75">
      <c r="A79" s="336">
        <v>69</v>
      </c>
      <c r="B79" s="335">
        <v>1.08</v>
      </c>
      <c r="C79" s="334">
        <v>1.1299999999999999</v>
      </c>
      <c r="D79" s="335">
        <v>1.36</v>
      </c>
      <c r="E79" s="334">
        <v>1.85</v>
      </c>
      <c r="F79" s="333">
        <v>1.85</v>
      </c>
    </row>
    <row r="80" spans="1:6" customFormat="1" ht="12.75">
      <c r="A80" s="336">
        <v>70</v>
      </c>
      <c r="B80" s="335">
        <v>1.0900000000000001</v>
      </c>
      <c r="C80" s="334">
        <v>1.1399999999999999</v>
      </c>
      <c r="D80" s="335">
        <v>1.37</v>
      </c>
      <c r="E80" s="334">
        <v>1.85</v>
      </c>
      <c r="F80" s="333">
        <v>1.85</v>
      </c>
    </row>
    <row r="81" spans="1:6" customFormat="1" ht="12.75">
      <c r="A81" s="336">
        <v>71</v>
      </c>
      <c r="B81" s="335">
        <v>1.1100000000000001</v>
      </c>
      <c r="C81" s="334">
        <v>1.1499999999999999</v>
      </c>
      <c r="D81" s="335">
        <v>1.39</v>
      </c>
      <c r="E81" s="334">
        <v>1.9</v>
      </c>
      <c r="F81" s="333">
        <v>1.9</v>
      </c>
    </row>
    <row r="82" spans="1:6" customFormat="1" ht="12.75">
      <c r="A82" s="336">
        <v>72</v>
      </c>
      <c r="B82" s="335">
        <v>1.1100000000000001</v>
      </c>
      <c r="C82" s="334">
        <v>1.1599999999999999</v>
      </c>
      <c r="D82" s="335">
        <v>1.4</v>
      </c>
      <c r="E82" s="334">
        <v>1.9</v>
      </c>
      <c r="F82" s="333">
        <v>1.9</v>
      </c>
    </row>
    <row r="83" spans="1:6" customFormat="1" ht="12.75">
      <c r="A83" s="336">
        <v>73</v>
      </c>
      <c r="B83" s="335">
        <v>1.1299999999999999</v>
      </c>
      <c r="C83" s="334">
        <v>1.18</v>
      </c>
      <c r="D83" s="335">
        <v>1.42</v>
      </c>
      <c r="E83" s="334">
        <v>1.9</v>
      </c>
      <c r="F83" s="333">
        <v>1.9</v>
      </c>
    </row>
    <row r="84" spans="1:6" customFormat="1" ht="12.75">
      <c r="A84" s="336">
        <v>74</v>
      </c>
      <c r="B84" s="335">
        <v>1.1399999999999999</v>
      </c>
      <c r="C84" s="334">
        <v>1.18</v>
      </c>
      <c r="D84" s="335">
        <v>1.43</v>
      </c>
      <c r="E84" s="334">
        <v>1.95</v>
      </c>
      <c r="F84" s="333">
        <v>1.95</v>
      </c>
    </row>
    <row r="85" spans="1:6" customFormat="1" ht="12.75">
      <c r="A85" s="336">
        <v>75</v>
      </c>
      <c r="B85" s="335">
        <v>1.1499999999999999</v>
      </c>
      <c r="C85" s="334">
        <v>1.2</v>
      </c>
      <c r="D85" s="335">
        <v>1.45</v>
      </c>
      <c r="E85" s="334">
        <v>1.95</v>
      </c>
      <c r="F85" s="333">
        <v>1.95</v>
      </c>
    </row>
    <row r="86" spans="1:6" customFormat="1" ht="12.75">
      <c r="A86" s="336">
        <v>76</v>
      </c>
      <c r="B86" s="335">
        <v>1.1599999999999999</v>
      </c>
      <c r="C86" s="334">
        <v>1.21</v>
      </c>
      <c r="D86" s="335">
        <v>1.46</v>
      </c>
      <c r="E86" s="334">
        <v>1.95</v>
      </c>
      <c r="F86" s="333">
        <v>1.95</v>
      </c>
    </row>
    <row r="87" spans="1:6" customFormat="1" ht="12.75">
      <c r="A87" s="336">
        <v>77</v>
      </c>
      <c r="B87" s="335">
        <v>1.1599999999999999</v>
      </c>
      <c r="C87" s="334">
        <v>1.23</v>
      </c>
      <c r="D87" s="335">
        <v>1.48</v>
      </c>
      <c r="E87" s="334">
        <v>2</v>
      </c>
      <c r="F87" s="333">
        <v>2</v>
      </c>
    </row>
    <row r="88" spans="1:6" customFormat="1" ht="12.75">
      <c r="A88" s="336">
        <v>78</v>
      </c>
      <c r="B88" s="335">
        <v>1.18</v>
      </c>
      <c r="C88" s="334">
        <v>1.23</v>
      </c>
      <c r="D88" s="335">
        <v>1.49</v>
      </c>
      <c r="E88" s="334">
        <v>2</v>
      </c>
      <c r="F88" s="333">
        <v>2</v>
      </c>
    </row>
    <row r="89" spans="1:6" customFormat="1" ht="12.75">
      <c r="A89" s="336">
        <v>79</v>
      </c>
      <c r="B89" s="335">
        <v>1.2</v>
      </c>
      <c r="C89" s="334">
        <v>1.24</v>
      </c>
      <c r="D89" s="335">
        <v>1.51</v>
      </c>
      <c r="E89" s="334">
        <v>2</v>
      </c>
      <c r="F89" s="333">
        <v>2</v>
      </c>
    </row>
    <row r="90" spans="1:6" customFormat="1" ht="12.75">
      <c r="A90" s="336">
        <v>80</v>
      </c>
      <c r="B90" s="335">
        <v>1.21</v>
      </c>
      <c r="C90" s="334">
        <v>1.25</v>
      </c>
      <c r="D90" s="335">
        <v>1.52</v>
      </c>
      <c r="E90" s="334">
        <v>2.0499999999999998</v>
      </c>
      <c r="F90" s="333">
        <v>2.0499999999999998</v>
      </c>
    </row>
    <row r="91" spans="1:6" customFormat="1" ht="12.75">
      <c r="A91" s="336">
        <v>81</v>
      </c>
      <c r="B91" s="335">
        <v>1.23</v>
      </c>
      <c r="C91" s="334">
        <v>1.26</v>
      </c>
      <c r="D91" s="335">
        <v>1.54</v>
      </c>
      <c r="E91" s="334">
        <v>2.0499999999999998</v>
      </c>
      <c r="F91" s="333">
        <v>2.0499999999999998</v>
      </c>
    </row>
    <row r="92" spans="1:6" customFormat="1" ht="12.75">
      <c r="A92" s="336">
        <v>82</v>
      </c>
      <c r="B92" s="335">
        <v>1.24</v>
      </c>
      <c r="C92" s="334">
        <v>1.29</v>
      </c>
      <c r="D92" s="335">
        <v>1.55</v>
      </c>
      <c r="E92" s="334">
        <v>2.0499999999999998</v>
      </c>
      <c r="F92" s="333">
        <v>2.0499999999999998</v>
      </c>
    </row>
    <row r="93" spans="1:6" customFormat="1" ht="12.75">
      <c r="A93" s="336">
        <v>83</v>
      </c>
      <c r="B93" s="335">
        <v>1.24</v>
      </c>
      <c r="C93" s="334">
        <v>1.29</v>
      </c>
      <c r="D93" s="335">
        <v>1.57</v>
      </c>
      <c r="E93" s="334">
        <v>2.1</v>
      </c>
      <c r="F93" s="333">
        <v>2.1</v>
      </c>
    </row>
    <row r="94" spans="1:6" customFormat="1" ht="12.75">
      <c r="A94" s="336">
        <v>84</v>
      </c>
      <c r="B94" s="335">
        <v>1.25</v>
      </c>
      <c r="C94" s="334">
        <v>1.3</v>
      </c>
      <c r="D94" s="335">
        <v>1.58</v>
      </c>
      <c r="E94" s="334">
        <v>2.1</v>
      </c>
      <c r="F94" s="333">
        <v>2.1</v>
      </c>
    </row>
    <row r="95" spans="1:6" customFormat="1" ht="12.75">
      <c r="A95" s="336">
        <v>85</v>
      </c>
      <c r="B95" s="335">
        <v>1.26</v>
      </c>
      <c r="C95" s="334">
        <v>1.31</v>
      </c>
      <c r="D95" s="335">
        <v>1.6</v>
      </c>
      <c r="E95" s="334">
        <v>2.1</v>
      </c>
      <c r="F95" s="333">
        <v>2.1</v>
      </c>
    </row>
    <row r="96" spans="1:6" customFormat="1" ht="12.75">
      <c r="A96" s="336">
        <v>86</v>
      </c>
      <c r="B96" s="335">
        <v>1.29</v>
      </c>
      <c r="C96" s="334">
        <v>1.33</v>
      </c>
      <c r="D96" s="335">
        <v>1.61</v>
      </c>
      <c r="E96" s="334">
        <v>2.15</v>
      </c>
      <c r="F96" s="333">
        <v>2.15</v>
      </c>
    </row>
    <row r="97" spans="1:6" customFormat="1" ht="12.75">
      <c r="A97" s="336">
        <v>87</v>
      </c>
      <c r="B97" s="335">
        <v>1.3</v>
      </c>
      <c r="C97" s="334">
        <v>1.33</v>
      </c>
      <c r="D97" s="335">
        <v>1.63</v>
      </c>
      <c r="E97" s="334">
        <v>2.15</v>
      </c>
      <c r="F97" s="333">
        <v>2.15</v>
      </c>
    </row>
    <row r="98" spans="1:6" customFormat="1" ht="12.75">
      <c r="A98" s="336">
        <v>88</v>
      </c>
      <c r="B98" s="335">
        <v>1.31</v>
      </c>
      <c r="C98" s="334">
        <v>1.34</v>
      </c>
      <c r="D98" s="335">
        <v>1.64</v>
      </c>
      <c r="E98" s="334">
        <v>2.2000000000000002</v>
      </c>
      <c r="F98" s="333">
        <v>2.2000000000000002</v>
      </c>
    </row>
    <row r="99" spans="1:6" customFormat="1" ht="12.75">
      <c r="A99" s="336">
        <v>89</v>
      </c>
      <c r="B99" s="335">
        <v>1.31</v>
      </c>
      <c r="C99" s="334">
        <v>1.36</v>
      </c>
      <c r="D99" s="335">
        <v>1.66</v>
      </c>
      <c r="E99" s="334">
        <v>2.2000000000000002</v>
      </c>
      <c r="F99" s="333">
        <v>2.2000000000000002</v>
      </c>
    </row>
    <row r="100" spans="1:6" customFormat="1" ht="12.75">
      <c r="A100" s="336">
        <v>90</v>
      </c>
      <c r="B100" s="335">
        <v>1.33</v>
      </c>
      <c r="C100" s="334">
        <v>1.38</v>
      </c>
      <c r="D100" s="335">
        <v>1.67</v>
      </c>
      <c r="E100" s="334">
        <v>2.2000000000000002</v>
      </c>
      <c r="F100" s="333">
        <v>2.2000000000000002</v>
      </c>
    </row>
    <row r="101" spans="1:6" customFormat="1" ht="12.75">
      <c r="A101" s="336">
        <v>91</v>
      </c>
      <c r="B101" s="335">
        <v>1.34</v>
      </c>
      <c r="C101" s="334">
        <v>1.39</v>
      </c>
      <c r="D101" s="335">
        <v>1.69</v>
      </c>
      <c r="E101" s="334">
        <v>2.25</v>
      </c>
      <c r="F101" s="333">
        <v>2.25</v>
      </c>
    </row>
    <row r="102" spans="1:6" customFormat="1" ht="12.75">
      <c r="A102" s="336">
        <v>92</v>
      </c>
      <c r="B102" s="335">
        <v>1.36</v>
      </c>
      <c r="C102" s="334">
        <v>1.39</v>
      </c>
      <c r="D102" s="335">
        <v>1.7</v>
      </c>
      <c r="E102" s="334">
        <v>2.25</v>
      </c>
      <c r="F102" s="333">
        <v>2.25</v>
      </c>
    </row>
    <row r="103" spans="1:6" customFormat="1" ht="12.75">
      <c r="A103" s="336">
        <v>93</v>
      </c>
      <c r="B103" s="335">
        <v>1.38</v>
      </c>
      <c r="C103" s="334">
        <v>1.4</v>
      </c>
      <c r="D103" s="335">
        <v>1.72</v>
      </c>
      <c r="E103" s="334">
        <v>2.2999999999999998</v>
      </c>
      <c r="F103" s="333">
        <v>2.2999999999999998</v>
      </c>
    </row>
    <row r="104" spans="1:6" customFormat="1" ht="12.75">
      <c r="A104" s="336">
        <v>94</v>
      </c>
      <c r="B104" s="335">
        <v>1.39</v>
      </c>
      <c r="C104" s="334">
        <v>1.41</v>
      </c>
      <c r="D104" s="335">
        <v>1.73</v>
      </c>
      <c r="E104" s="334">
        <v>2.2999999999999998</v>
      </c>
      <c r="F104" s="333">
        <v>2.2999999999999998</v>
      </c>
    </row>
    <row r="105" spans="1:6" customFormat="1" ht="12.75">
      <c r="A105" s="336">
        <v>95</v>
      </c>
      <c r="B105" s="335">
        <v>1.39</v>
      </c>
      <c r="C105" s="334">
        <v>1.43</v>
      </c>
      <c r="D105" s="335">
        <v>1.75</v>
      </c>
      <c r="E105" s="334">
        <v>2.2999999999999998</v>
      </c>
      <c r="F105" s="333">
        <v>2.2999999999999998</v>
      </c>
    </row>
    <row r="106" spans="1:6" customFormat="1" ht="12.75">
      <c r="A106" s="336">
        <v>96</v>
      </c>
      <c r="B106" s="335">
        <v>1.4</v>
      </c>
      <c r="C106" s="334">
        <v>1.43</v>
      </c>
      <c r="D106" s="335">
        <v>1.76</v>
      </c>
      <c r="E106" s="334">
        <v>2.35</v>
      </c>
      <c r="F106" s="333">
        <v>2.35</v>
      </c>
    </row>
    <row r="107" spans="1:6" customFormat="1" ht="12.75">
      <c r="A107" s="336">
        <v>97</v>
      </c>
      <c r="B107" s="335">
        <v>1.41</v>
      </c>
      <c r="C107" s="334">
        <v>1.45</v>
      </c>
      <c r="D107" s="335">
        <v>1.78</v>
      </c>
      <c r="E107" s="334">
        <v>2.35</v>
      </c>
      <c r="F107" s="333">
        <v>2.35</v>
      </c>
    </row>
    <row r="108" spans="1:6" customFormat="1" ht="12.75">
      <c r="A108" s="336">
        <v>98</v>
      </c>
      <c r="B108" s="335">
        <v>1.43</v>
      </c>
      <c r="C108" s="334">
        <v>1.46</v>
      </c>
      <c r="D108" s="335">
        <v>1.79</v>
      </c>
      <c r="E108" s="334">
        <v>2.4</v>
      </c>
      <c r="F108" s="333">
        <v>2.4</v>
      </c>
    </row>
    <row r="109" spans="1:6" customFormat="1" ht="12.75">
      <c r="A109" s="336">
        <v>99</v>
      </c>
      <c r="B109" s="335">
        <v>1.45</v>
      </c>
      <c r="C109" s="334">
        <v>1.48</v>
      </c>
      <c r="D109" s="335">
        <v>1.81</v>
      </c>
      <c r="E109" s="334">
        <v>2.4</v>
      </c>
      <c r="F109" s="333">
        <v>2.4</v>
      </c>
    </row>
    <row r="110" spans="1:6" customFormat="1" ht="12.75">
      <c r="A110" s="336">
        <v>100</v>
      </c>
      <c r="B110" s="335">
        <v>1.46</v>
      </c>
      <c r="C110" s="334">
        <v>1.48</v>
      </c>
      <c r="D110" s="335">
        <v>1.82</v>
      </c>
      <c r="E110" s="334">
        <v>2.4</v>
      </c>
      <c r="F110" s="333">
        <v>2.4</v>
      </c>
    </row>
    <row r="111" spans="1:6" customFormat="1" ht="12.75">
      <c r="A111" s="336">
        <v>101</v>
      </c>
      <c r="B111" s="335">
        <v>1.46</v>
      </c>
      <c r="C111" s="334">
        <v>1.49</v>
      </c>
      <c r="D111" s="335">
        <v>1.84</v>
      </c>
      <c r="E111" s="334">
        <v>2.4500000000000002</v>
      </c>
      <c r="F111" s="333">
        <v>2.4500000000000002</v>
      </c>
    </row>
    <row r="112" spans="1:6" customFormat="1" ht="12.75">
      <c r="A112" s="336">
        <v>102</v>
      </c>
      <c r="B112" s="335">
        <v>1.48</v>
      </c>
      <c r="C112" s="334">
        <v>1.5</v>
      </c>
      <c r="D112" s="335">
        <v>1.85</v>
      </c>
      <c r="E112" s="334">
        <v>2.4500000000000002</v>
      </c>
      <c r="F112" s="333">
        <v>2.4500000000000002</v>
      </c>
    </row>
    <row r="113" spans="1:6" customFormat="1" ht="12.75">
      <c r="A113" s="336">
        <v>103</v>
      </c>
      <c r="B113" s="335">
        <v>1.49</v>
      </c>
      <c r="C113" s="334">
        <v>1.5</v>
      </c>
      <c r="D113" s="335">
        <v>1.86</v>
      </c>
      <c r="E113" s="334">
        <v>2.5</v>
      </c>
      <c r="F113" s="333">
        <v>2.5</v>
      </c>
    </row>
    <row r="114" spans="1:6" customFormat="1" ht="12.75">
      <c r="A114" s="336">
        <v>104</v>
      </c>
      <c r="B114" s="335">
        <v>1.5</v>
      </c>
      <c r="C114" s="334">
        <v>1.53</v>
      </c>
      <c r="D114" s="335">
        <v>1.88</v>
      </c>
      <c r="E114" s="334">
        <v>2.5</v>
      </c>
      <c r="F114" s="333">
        <v>2.5</v>
      </c>
    </row>
    <row r="115" spans="1:6" customFormat="1" ht="12.75">
      <c r="A115" s="336">
        <v>105</v>
      </c>
      <c r="B115" s="335">
        <v>1.53</v>
      </c>
      <c r="C115" s="334">
        <v>1.54</v>
      </c>
      <c r="D115" s="335">
        <v>1.89</v>
      </c>
      <c r="E115" s="334">
        <v>2.5</v>
      </c>
      <c r="F115" s="333">
        <v>2.5</v>
      </c>
    </row>
    <row r="116" spans="1:6" customFormat="1" ht="12.75">
      <c r="A116" s="336">
        <v>106</v>
      </c>
      <c r="B116" s="335">
        <v>1.54</v>
      </c>
      <c r="C116" s="334">
        <v>1.55</v>
      </c>
      <c r="D116" s="335">
        <v>1.91</v>
      </c>
      <c r="E116" s="334">
        <v>2.5499999999999998</v>
      </c>
      <c r="F116" s="333">
        <v>2.5499999999999998</v>
      </c>
    </row>
    <row r="117" spans="1:6" customFormat="1" ht="12.75">
      <c r="A117" s="336">
        <v>107</v>
      </c>
      <c r="B117" s="335">
        <v>1.54</v>
      </c>
      <c r="C117" s="334">
        <v>1.55</v>
      </c>
      <c r="D117" s="335">
        <v>1.92</v>
      </c>
      <c r="E117" s="334">
        <v>2.5499999999999998</v>
      </c>
      <c r="F117" s="333">
        <v>2.5499999999999998</v>
      </c>
    </row>
    <row r="118" spans="1:6" customFormat="1" ht="12.75">
      <c r="A118" s="336">
        <v>108</v>
      </c>
      <c r="B118" s="335">
        <v>1.55</v>
      </c>
      <c r="C118" s="334">
        <v>1.56</v>
      </c>
      <c r="D118" s="335">
        <v>1.94</v>
      </c>
      <c r="E118" s="334">
        <v>2.6</v>
      </c>
      <c r="F118" s="333">
        <v>2.6</v>
      </c>
    </row>
    <row r="119" spans="1:6" customFormat="1" ht="12.75">
      <c r="A119" s="336">
        <v>109</v>
      </c>
      <c r="B119" s="335">
        <v>1.56</v>
      </c>
      <c r="C119" s="334">
        <v>1.58</v>
      </c>
      <c r="D119" s="335">
        <v>1.95</v>
      </c>
      <c r="E119" s="334">
        <v>2.6</v>
      </c>
      <c r="F119" s="333">
        <v>2.6</v>
      </c>
    </row>
    <row r="120" spans="1:6" customFormat="1" ht="12.75">
      <c r="A120" s="336">
        <v>110</v>
      </c>
      <c r="B120" s="335">
        <v>1.58</v>
      </c>
      <c r="C120" s="334">
        <v>1.59</v>
      </c>
      <c r="D120" s="335">
        <v>1.97</v>
      </c>
      <c r="E120" s="334">
        <v>2.6</v>
      </c>
      <c r="F120" s="333">
        <v>2.6</v>
      </c>
    </row>
    <row r="121" spans="1:6" customFormat="1" ht="12.75">
      <c r="A121" s="336">
        <v>111</v>
      </c>
      <c r="B121" s="335">
        <v>1.59</v>
      </c>
      <c r="C121" s="334">
        <v>1.59</v>
      </c>
      <c r="D121" s="335">
        <v>1.98</v>
      </c>
      <c r="E121" s="334">
        <v>2.65</v>
      </c>
      <c r="F121" s="333">
        <v>2.65</v>
      </c>
    </row>
    <row r="122" spans="1:6" customFormat="1" ht="12.75">
      <c r="A122" s="336">
        <v>112</v>
      </c>
      <c r="B122" s="335">
        <v>1.61</v>
      </c>
      <c r="C122" s="334">
        <v>1.61</v>
      </c>
      <c r="D122" s="335">
        <v>2</v>
      </c>
      <c r="E122" s="334">
        <v>2.65</v>
      </c>
      <c r="F122" s="333">
        <v>2.65</v>
      </c>
    </row>
    <row r="123" spans="1:6" customFormat="1" ht="12.75">
      <c r="A123" s="336">
        <v>113</v>
      </c>
      <c r="B123" s="335">
        <v>1.61</v>
      </c>
      <c r="C123" s="334">
        <v>1.63</v>
      </c>
      <c r="D123" s="335">
        <v>2.0099999999999998</v>
      </c>
      <c r="E123" s="334">
        <v>2.7</v>
      </c>
      <c r="F123" s="333">
        <v>2.7</v>
      </c>
    </row>
    <row r="124" spans="1:6" customFormat="1" ht="12.75">
      <c r="A124" s="336">
        <v>114</v>
      </c>
      <c r="B124" s="335">
        <v>1.63</v>
      </c>
      <c r="C124" s="334">
        <v>1.63</v>
      </c>
      <c r="D124" s="335">
        <v>2.0299999999999998</v>
      </c>
      <c r="E124" s="334">
        <v>2.7</v>
      </c>
      <c r="F124" s="333">
        <v>2.7</v>
      </c>
    </row>
    <row r="125" spans="1:6" customFormat="1" ht="12.75">
      <c r="A125" s="336">
        <v>115</v>
      </c>
      <c r="B125" s="335">
        <v>1.64</v>
      </c>
      <c r="C125" s="334">
        <v>1.64</v>
      </c>
      <c r="D125" s="335">
        <v>2.04</v>
      </c>
      <c r="E125" s="334">
        <v>2.7</v>
      </c>
      <c r="F125" s="333">
        <v>2.7</v>
      </c>
    </row>
    <row r="126" spans="1:6" customFormat="1" ht="12.75">
      <c r="A126" s="336">
        <v>116</v>
      </c>
      <c r="B126" s="335">
        <v>1.65</v>
      </c>
      <c r="C126" s="334">
        <v>1.65</v>
      </c>
      <c r="D126" s="335">
        <v>2.06</v>
      </c>
      <c r="E126" s="334">
        <v>2.75</v>
      </c>
      <c r="F126" s="333">
        <v>2.75</v>
      </c>
    </row>
    <row r="127" spans="1:6" customFormat="1" ht="12.75">
      <c r="A127" s="336">
        <v>117</v>
      </c>
      <c r="B127" s="335">
        <v>1.66</v>
      </c>
      <c r="C127" s="334">
        <v>1.66</v>
      </c>
      <c r="D127" s="335">
        <v>2.0699999999999998</v>
      </c>
      <c r="E127" s="334">
        <v>2.75</v>
      </c>
      <c r="F127" s="333">
        <v>2.75</v>
      </c>
    </row>
    <row r="128" spans="1:6" customFormat="1" ht="12.75">
      <c r="A128" s="336">
        <v>118</v>
      </c>
      <c r="B128" s="335">
        <v>1.69</v>
      </c>
      <c r="C128" s="334">
        <v>1.69</v>
      </c>
      <c r="D128" s="335">
        <v>2.09</v>
      </c>
      <c r="E128" s="334">
        <v>2.75</v>
      </c>
      <c r="F128" s="333">
        <v>2.75</v>
      </c>
    </row>
    <row r="129" spans="1:6" customFormat="1" ht="12.75">
      <c r="A129" s="336">
        <v>119</v>
      </c>
      <c r="B129" s="335">
        <v>1.69</v>
      </c>
      <c r="C129" s="334">
        <v>1.69</v>
      </c>
      <c r="D129" s="335">
        <v>2.1</v>
      </c>
      <c r="E129" s="334">
        <v>2.8</v>
      </c>
      <c r="F129" s="333">
        <v>2.8</v>
      </c>
    </row>
    <row r="130" spans="1:6" customFormat="1" ht="12.75">
      <c r="A130" s="336">
        <v>120</v>
      </c>
      <c r="B130" s="335">
        <v>1.7</v>
      </c>
      <c r="C130" s="334">
        <v>1.7</v>
      </c>
      <c r="D130" s="335">
        <v>2.12</v>
      </c>
      <c r="E130" s="334">
        <v>2.8</v>
      </c>
      <c r="F130" s="333">
        <v>2.8</v>
      </c>
    </row>
    <row r="131" spans="1:6" customFormat="1" ht="12.75">
      <c r="A131" s="336">
        <v>121</v>
      </c>
      <c r="B131" s="335">
        <v>1.71</v>
      </c>
      <c r="C131" s="334">
        <v>1.71</v>
      </c>
      <c r="D131" s="335">
        <v>2.13</v>
      </c>
      <c r="E131" s="334">
        <v>2.8</v>
      </c>
      <c r="F131" s="333">
        <v>2.8</v>
      </c>
    </row>
    <row r="132" spans="1:6" customFormat="1" ht="12.75">
      <c r="A132" s="336">
        <v>122</v>
      </c>
      <c r="B132" s="335">
        <v>1.73</v>
      </c>
      <c r="C132" s="334">
        <v>1.73</v>
      </c>
      <c r="D132" s="335">
        <v>2.15</v>
      </c>
      <c r="E132" s="334">
        <v>2.85</v>
      </c>
      <c r="F132" s="333">
        <v>2.85</v>
      </c>
    </row>
    <row r="133" spans="1:6" customFormat="1" ht="12.75">
      <c r="A133" s="336">
        <v>123</v>
      </c>
      <c r="B133" s="335">
        <v>1.74</v>
      </c>
      <c r="C133" s="334">
        <v>1.74</v>
      </c>
      <c r="D133" s="335">
        <v>2.16</v>
      </c>
      <c r="E133" s="334">
        <v>2.85</v>
      </c>
      <c r="F133" s="333">
        <v>2.85</v>
      </c>
    </row>
    <row r="134" spans="1:6" customFormat="1" ht="12.75">
      <c r="A134" s="336">
        <v>124</v>
      </c>
      <c r="B134" s="335">
        <v>1.75</v>
      </c>
      <c r="C134" s="334">
        <v>1.75</v>
      </c>
      <c r="D134" s="335">
        <v>2.1800000000000002</v>
      </c>
      <c r="E134" s="334">
        <v>2.85</v>
      </c>
      <c r="F134" s="333">
        <v>2.85</v>
      </c>
    </row>
    <row r="135" spans="1:6" customFormat="1" ht="12.75">
      <c r="A135" s="336">
        <v>125</v>
      </c>
      <c r="B135" s="335">
        <v>1.75</v>
      </c>
      <c r="C135" s="334">
        <v>1.75</v>
      </c>
      <c r="D135" s="335">
        <v>2.19</v>
      </c>
      <c r="E135" s="334">
        <v>2.9</v>
      </c>
      <c r="F135" s="333">
        <v>2.9</v>
      </c>
    </row>
    <row r="136" spans="1:6" customFormat="1" ht="12.75">
      <c r="A136" s="336">
        <v>126</v>
      </c>
      <c r="B136" s="335">
        <v>1.78</v>
      </c>
      <c r="C136" s="334">
        <v>1.78</v>
      </c>
      <c r="D136" s="335">
        <v>2.21</v>
      </c>
      <c r="E136" s="334">
        <v>2.9</v>
      </c>
      <c r="F136" s="333">
        <v>2.9</v>
      </c>
    </row>
    <row r="137" spans="1:6" customFormat="1" ht="12.75">
      <c r="A137" s="336">
        <v>127</v>
      </c>
      <c r="B137" s="335">
        <v>1.79</v>
      </c>
      <c r="C137" s="334">
        <v>1.79</v>
      </c>
      <c r="D137" s="335">
        <v>2.2200000000000002</v>
      </c>
      <c r="E137" s="334">
        <v>2.9</v>
      </c>
      <c r="F137" s="333">
        <v>2.9</v>
      </c>
    </row>
    <row r="138" spans="1:6" customFormat="1" ht="12.75">
      <c r="A138" s="336">
        <v>128</v>
      </c>
      <c r="B138" s="335">
        <v>1.8</v>
      </c>
      <c r="C138" s="334">
        <v>1.8</v>
      </c>
      <c r="D138" s="335">
        <v>2.2400000000000002</v>
      </c>
      <c r="E138" s="334">
        <v>2.95</v>
      </c>
      <c r="F138" s="333">
        <v>2.95</v>
      </c>
    </row>
    <row r="139" spans="1:6" customFormat="1" ht="12.75">
      <c r="A139" s="336">
        <v>129</v>
      </c>
      <c r="B139" s="335">
        <v>1.81</v>
      </c>
      <c r="C139" s="334">
        <v>1.81</v>
      </c>
      <c r="D139" s="335">
        <v>2.25</v>
      </c>
      <c r="E139" s="334">
        <v>2.95</v>
      </c>
      <c r="F139" s="333">
        <v>2.95</v>
      </c>
    </row>
    <row r="140" spans="1:6" customFormat="1" ht="12.75">
      <c r="A140" s="336">
        <v>130</v>
      </c>
      <c r="B140" s="335">
        <v>1.83</v>
      </c>
      <c r="C140" s="334">
        <v>1.83</v>
      </c>
      <c r="D140" s="335">
        <v>2.27</v>
      </c>
      <c r="E140" s="334">
        <v>2.95</v>
      </c>
      <c r="F140" s="333">
        <v>2.95</v>
      </c>
    </row>
    <row r="141" spans="1:6" customFormat="1" ht="12.75">
      <c r="A141" s="336">
        <v>131</v>
      </c>
      <c r="B141" s="335">
        <v>1.83</v>
      </c>
      <c r="C141" s="334">
        <v>1.83</v>
      </c>
      <c r="D141" s="335">
        <v>2.2799999999999998</v>
      </c>
      <c r="E141" s="334">
        <v>3</v>
      </c>
      <c r="F141" s="333">
        <v>3</v>
      </c>
    </row>
    <row r="142" spans="1:6" customFormat="1" ht="12.75">
      <c r="A142" s="336">
        <v>132</v>
      </c>
      <c r="B142" s="335">
        <v>1.85</v>
      </c>
      <c r="C142" s="334">
        <v>1.85</v>
      </c>
      <c r="D142" s="335">
        <v>2.2999999999999998</v>
      </c>
      <c r="E142" s="334">
        <v>3</v>
      </c>
      <c r="F142" s="333">
        <v>3</v>
      </c>
    </row>
    <row r="143" spans="1:6" customFormat="1" ht="12.75">
      <c r="A143" s="336">
        <v>133</v>
      </c>
      <c r="B143" s="335">
        <v>1.86</v>
      </c>
      <c r="C143" s="334">
        <v>1.86</v>
      </c>
      <c r="D143" s="335">
        <v>2.31</v>
      </c>
      <c r="E143" s="334">
        <v>3.05</v>
      </c>
      <c r="F143" s="333">
        <v>3.05</v>
      </c>
    </row>
    <row r="144" spans="1:6" customFormat="1" ht="12.75">
      <c r="A144" s="336">
        <v>134</v>
      </c>
      <c r="B144" s="335">
        <v>1.88</v>
      </c>
      <c r="C144" s="334">
        <v>1.88</v>
      </c>
      <c r="D144" s="335">
        <v>2.33</v>
      </c>
      <c r="E144" s="334">
        <v>3.05</v>
      </c>
      <c r="F144" s="333">
        <v>3.05</v>
      </c>
    </row>
    <row r="145" spans="1:6" customFormat="1" ht="12.75">
      <c r="A145" s="336">
        <v>135</v>
      </c>
      <c r="B145" s="335">
        <v>1.89</v>
      </c>
      <c r="C145" s="334">
        <v>1.89</v>
      </c>
      <c r="D145" s="335">
        <v>2.34</v>
      </c>
      <c r="E145" s="334">
        <v>3.05</v>
      </c>
      <c r="F145" s="333">
        <v>3.05</v>
      </c>
    </row>
    <row r="146" spans="1:6" customFormat="1" ht="12.75">
      <c r="A146" s="336">
        <v>136</v>
      </c>
      <c r="B146" s="335">
        <v>1.9</v>
      </c>
      <c r="C146" s="334">
        <v>1.9</v>
      </c>
      <c r="D146" s="335">
        <v>2.36</v>
      </c>
      <c r="E146" s="334">
        <v>3.1</v>
      </c>
      <c r="F146" s="333">
        <v>3.1</v>
      </c>
    </row>
    <row r="147" spans="1:6" customFormat="1" ht="12.75">
      <c r="A147" s="336">
        <v>137</v>
      </c>
      <c r="B147" s="335">
        <v>1.9</v>
      </c>
      <c r="C147" s="334">
        <v>1.9</v>
      </c>
      <c r="D147" s="335">
        <v>2.37</v>
      </c>
      <c r="E147" s="334">
        <v>3.1</v>
      </c>
      <c r="F147" s="333">
        <v>3.1</v>
      </c>
    </row>
    <row r="148" spans="1:6" customFormat="1" ht="12.75">
      <c r="A148" s="336">
        <v>138</v>
      </c>
      <c r="B148" s="335">
        <v>1.91</v>
      </c>
      <c r="C148" s="334">
        <v>1.91</v>
      </c>
      <c r="D148" s="335">
        <v>2.38</v>
      </c>
      <c r="E148" s="334">
        <v>3.15</v>
      </c>
      <c r="F148" s="333">
        <v>3.15</v>
      </c>
    </row>
    <row r="149" spans="1:6" customFormat="1" ht="12.75">
      <c r="A149" s="336">
        <v>139</v>
      </c>
      <c r="B149" s="335">
        <v>1.94</v>
      </c>
      <c r="C149" s="334">
        <v>1.94</v>
      </c>
      <c r="D149" s="335">
        <v>2.4</v>
      </c>
      <c r="E149" s="334">
        <v>3.15</v>
      </c>
      <c r="F149" s="333">
        <v>3.15</v>
      </c>
    </row>
    <row r="150" spans="1:6" customFormat="1" ht="12.75">
      <c r="A150" s="336">
        <v>140</v>
      </c>
      <c r="B150" s="335">
        <v>1.95</v>
      </c>
      <c r="C150" s="334">
        <v>1.95</v>
      </c>
      <c r="D150" s="335">
        <v>2.41</v>
      </c>
      <c r="E150" s="334">
        <v>3.15</v>
      </c>
      <c r="F150" s="333">
        <v>3.15</v>
      </c>
    </row>
    <row r="151" spans="1:6" customFormat="1" ht="12.75">
      <c r="A151" s="336">
        <v>141</v>
      </c>
      <c r="B151" s="335">
        <v>1.96</v>
      </c>
      <c r="C151" s="334">
        <v>1.96</v>
      </c>
      <c r="D151" s="335">
        <v>2.4300000000000002</v>
      </c>
      <c r="E151" s="334">
        <v>3.2</v>
      </c>
      <c r="F151" s="333">
        <v>3.2</v>
      </c>
    </row>
    <row r="152" spans="1:6" customFormat="1" ht="12.75">
      <c r="A152" s="336">
        <v>142</v>
      </c>
      <c r="B152" s="335">
        <v>1.98</v>
      </c>
      <c r="C152" s="334">
        <v>1.98</v>
      </c>
      <c r="D152" s="335">
        <v>2.44</v>
      </c>
      <c r="E152" s="334">
        <v>3.2</v>
      </c>
      <c r="F152" s="333">
        <v>3.2</v>
      </c>
    </row>
    <row r="153" spans="1:6" customFormat="1" ht="12.75">
      <c r="A153" s="336">
        <v>143</v>
      </c>
      <c r="B153" s="335">
        <v>1.98</v>
      </c>
      <c r="C153" s="334">
        <v>1.98</v>
      </c>
      <c r="D153" s="335">
        <v>2.46</v>
      </c>
      <c r="E153" s="334">
        <v>3.25</v>
      </c>
      <c r="F153" s="333">
        <v>3.25</v>
      </c>
    </row>
    <row r="154" spans="1:6" customFormat="1" ht="12.75">
      <c r="A154" s="336">
        <v>144</v>
      </c>
      <c r="B154" s="335">
        <v>1.99</v>
      </c>
      <c r="C154" s="334">
        <v>1.99</v>
      </c>
      <c r="D154" s="335">
        <v>2.4700000000000002</v>
      </c>
      <c r="E154" s="334">
        <v>3.25</v>
      </c>
      <c r="F154" s="333">
        <v>3.25</v>
      </c>
    </row>
    <row r="155" spans="1:6" customFormat="1" ht="12.75">
      <c r="A155" s="336">
        <v>145</v>
      </c>
      <c r="B155" s="335">
        <v>2</v>
      </c>
      <c r="C155" s="334">
        <v>2</v>
      </c>
      <c r="D155" s="335">
        <v>2.4900000000000002</v>
      </c>
      <c r="E155" s="334">
        <v>3.25</v>
      </c>
      <c r="F155" s="333">
        <v>3.25</v>
      </c>
    </row>
    <row r="156" spans="1:6" customFormat="1" ht="12.75">
      <c r="A156" s="336">
        <v>146</v>
      </c>
      <c r="B156" s="335">
        <v>2.0299999999999998</v>
      </c>
      <c r="C156" s="334">
        <v>2.0299999999999998</v>
      </c>
      <c r="D156" s="335">
        <v>2.5</v>
      </c>
      <c r="E156" s="334">
        <v>3.3</v>
      </c>
      <c r="F156" s="333">
        <v>3.3</v>
      </c>
    </row>
    <row r="157" spans="1:6" customFormat="1" ht="12.75">
      <c r="A157" s="336">
        <v>147</v>
      </c>
      <c r="B157" s="335">
        <v>2.04</v>
      </c>
      <c r="C157" s="334">
        <v>2.04</v>
      </c>
      <c r="D157" s="335">
        <v>2.52</v>
      </c>
      <c r="E157" s="334">
        <v>3.3</v>
      </c>
      <c r="F157" s="333">
        <v>3.3</v>
      </c>
    </row>
    <row r="158" spans="1:6" customFormat="1" ht="12.75">
      <c r="A158" s="336">
        <v>148</v>
      </c>
      <c r="B158" s="335">
        <v>2.0499999999999998</v>
      </c>
      <c r="C158" s="334">
        <v>2.0499999999999998</v>
      </c>
      <c r="D158" s="335">
        <v>2.5299999999999998</v>
      </c>
      <c r="E158" s="334">
        <v>3.35</v>
      </c>
      <c r="F158" s="333">
        <v>3.35</v>
      </c>
    </row>
    <row r="159" spans="1:6" customFormat="1" ht="12.75">
      <c r="A159" s="336">
        <v>149</v>
      </c>
      <c r="B159" s="335">
        <v>2.0499999999999998</v>
      </c>
      <c r="C159" s="334">
        <v>2.0499999999999998</v>
      </c>
      <c r="D159" s="335">
        <v>2.5499999999999998</v>
      </c>
      <c r="E159" s="334">
        <v>3.35</v>
      </c>
      <c r="F159" s="333">
        <v>3.35</v>
      </c>
    </row>
    <row r="160" spans="1:6" customFormat="1" ht="12.75">
      <c r="A160" s="336">
        <v>150</v>
      </c>
      <c r="B160" s="335">
        <v>2.06</v>
      </c>
      <c r="C160" s="334">
        <v>2.06</v>
      </c>
      <c r="D160" s="335">
        <v>2.56</v>
      </c>
      <c r="E160" s="334">
        <v>3.35</v>
      </c>
      <c r="F160" s="333">
        <v>3.35</v>
      </c>
    </row>
    <row r="161" spans="1:6" customFormat="1" ht="12.75">
      <c r="A161" s="336">
        <v>151</v>
      </c>
      <c r="B161" s="335">
        <v>2.08</v>
      </c>
      <c r="C161" s="334">
        <v>2.08</v>
      </c>
      <c r="D161" s="335">
        <v>2.58</v>
      </c>
      <c r="E161" s="334">
        <v>3.4</v>
      </c>
      <c r="F161" s="333">
        <v>3.4</v>
      </c>
    </row>
    <row r="162" spans="1:6" customFormat="1" ht="12.75">
      <c r="A162" s="336">
        <v>152</v>
      </c>
      <c r="B162" s="335">
        <v>2.1</v>
      </c>
      <c r="C162" s="334">
        <v>2.1</v>
      </c>
      <c r="D162" s="335">
        <v>2.59</v>
      </c>
      <c r="E162" s="334">
        <v>3.4</v>
      </c>
      <c r="F162" s="333">
        <v>3.4</v>
      </c>
    </row>
    <row r="163" spans="1:6" customFormat="1" ht="12.75">
      <c r="A163" s="336">
        <v>153</v>
      </c>
      <c r="B163" s="335">
        <v>2.11</v>
      </c>
      <c r="C163" s="334">
        <v>2.11</v>
      </c>
      <c r="D163" s="335">
        <v>2.61</v>
      </c>
      <c r="E163" s="334">
        <v>3.45</v>
      </c>
      <c r="F163" s="333">
        <v>3.45</v>
      </c>
    </row>
    <row r="164" spans="1:6" customFormat="1" ht="12.75">
      <c r="A164" s="336">
        <v>154</v>
      </c>
      <c r="B164" s="335">
        <v>2.11</v>
      </c>
      <c r="C164" s="334">
        <v>2.11</v>
      </c>
      <c r="D164" s="335">
        <v>2.62</v>
      </c>
      <c r="E164" s="334">
        <v>3.45</v>
      </c>
      <c r="F164" s="333">
        <v>3.45</v>
      </c>
    </row>
    <row r="165" spans="1:6" customFormat="1" ht="12.75">
      <c r="A165" s="336">
        <v>155</v>
      </c>
      <c r="B165" s="335">
        <v>2.13</v>
      </c>
      <c r="C165" s="334">
        <v>2.13</v>
      </c>
      <c r="D165" s="335">
        <v>2.64</v>
      </c>
      <c r="E165" s="334">
        <v>3.45</v>
      </c>
      <c r="F165" s="333">
        <v>3.45</v>
      </c>
    </row>
    <row r="166" spans="1:6" customFormat="1" ht="12.75">
      <c r="A166" s="336">
        <v>156</v>
      </c>
      <c r="B166" s="335">
        <v>2.14</v>
      </c>
      <c r="C166" s="334">
        <v>2.14</v>
      </c>
      <c r="D166" s="335">
        <v>2.65</v>
      </c>
      <c r="E166" s="334">
        <v>3.5</v>
      </c>
      <c r="F166" s="333">
        <v>3.5</v>
      </c>
    </row>
    <row r="167" spans="1:6" customFormat="1" ht="12.75">
      <c r="A167" s="336">
        <v>157</v>
      </c>
      <c r="B167" s="335">
        <v>2.15</v>
      </c>
      <c r="C167" s="334">
        <v>2.15</v>
      </c>
      <c r="D167" s="335">
        <v>2.67</v>
      </c>
      <c r="E167" s="334">
        <v>3.5</v>
      </c>
      <c r="F167" s="333">
        <v>3.5</v>
      </c>
    </row>
    <row r="168" spans="1:6" customFormat="1" ht="12.75">
      <c r="A168" s="336">
        <v>158</v>
      </c>
      <c r="B168" s="335">
        <v>2.16</v>
      </c>
      <c r="C168" s="334">
        <v>2.16</v>
      </c>
      <c r="D168" s="335">
        <v>2.68</v>
      </c>
      <c r="E168" s="334">
        <v>3.55</v>
      </c>
      <c r="F168" s="333">
        <v>3.55</v>
      </c>
    </row>
    <row r="169" spans="1:6" customFormat="1" ht="12.75">
      <c r="A169" s="336">
        <v>159</v>
      </c>
      <c r="B169" s="335">
        <v>2.19</v>
      </c>
      <c r="C169" s="334">
        <v>2.19</v>
      </c>
      <c r="D169" s="335">
        <v>2.7</v>
      </c>
      <c r="E169" s="334">
        <v>3.55</v>
      </c>
      <c r="F169" s="333">
        <v>3.55</v>
      </c>
    </row>
    <row r="170" spans="1:6" customFormat="1" ht="12.75">
      <c r="A170" s="336">
        <v>160</v>
      </c>
      <c r="B170" s="335">
        <v>2.19</v>
      </c>
      <c r="C170" s="334">
        <v>2.19</v>
      </c>
      <c r="D170" s="335">
        <v>2.71</v>
      </c>
      <c r="E170" s="334">
        <v>3.55</v>
      </c>
      <c r="F170" s="333">
        <v>3.55</v>
      </c>
    </row>
    <row r="171" spans="1:6" customFormat="1" ht="12.75">
      <c r="A171" s="336">
        <v>161</v>
      </c>
      <c r="B171" s="335">
        <v>2.2000000000000002</v>
      </c>
      <c r="C171" s="334">
        <v>2.2000000000000002</v>
      </c>
      <c r="D171" s="335">
        <v>2.73</v>
      </c>
      <c r="E171" s="334">
        <v>3.6</v>
      </c>
      <c r="F171" s="333">
        <v>3.6</v>
      </c>
    </row>
    <row r="172" spans="1:6" customFormat="1" ht="12.75">
      <c r="A172" s="336">
        <v>162</v>
      </c>
      <c r="B172" s="335">
        <v>2.21</v>
      </c>
      <c r="C172" s="334">
        <v>2.21</v>
      </c>
      <c r="D172" s="335">
        <v>2.74</v>
      </c>
      <c r="E172" s="334">
        <v>3.6</v>
      </c>
      <c r="F172" s="333">
        <v>3.6</v>
      </c>
    </row>
    <row r="173" spans="1:6" customFormat="1" ht="12.75">
      <c r="A173" s="336">
        <v>163</v>
      </c>
      <c r="B173" s="335">
        <v>2.23</v>
      </c>
      <c r="C173" s="334">
        <v>2.23</v>
      </c>
      <c r="D173" s="335">
        <v>2.76</v>
      </c>
      <c r="E173" s="334">
        <v>3.65</v>
      </c>
      <c r="F173" s="333">
        <v>3.65</v>
      </c>
    </row>
    <row r="174" spans="1:6" customFormat="1" ht="12.75">
      <c r="A174" s="336">
        <v>164</v>
      </c>
      <c r="B174" s="335">
        <v>2.2400000000000002</v>
      </c>
      <c r="C174" s="334">
        <v>2.2400000000000002</v>
      </c>
      <c r="D174" s="335">
        <v>2.77</v>
      </c>
      <c r="E174" s="334">
        <v>3.65</v>
      </c>
      <c r="F174" s="333">
        <v>3.65</v>
      </c>
    </row>
    <row r="175" spans="1:6" customFormat="1" ht="12.75">
      <c r="A175" s="336">
        <v>165</v>
      </c>
      <c r="B175" s="335">
        <v>2.2599999999999998</v>
      </c>
      <c r="C175" s="334">
        <v>2.2599999999999998</v>
      </c>
      <c r="D175" s="335">
        <v>2.79</v>
      </c>
      <c r="E175" s="334">
        <v>3.65</v>
      </c>
      <c r="F175" s="333">
        <v>3.65</v>
      </c>
    </row>
    <row r="176" spans="1:6" customFormat="1" ht="12.75">
      <c r="A176" s="336">
        <v>166</v>
      </c>
      <c r="B176" s="335">
        <v>2.2599999999999998</v>
      </c>
      <c r="C176" s="334">
        <v>2.2599999999999998</v>
      </c>
      <c r="D176" s="335">
        <v>2.8</v>
      </c>
      <c r="E176" s="334">
        <v>3.7</v>
      </c>
      <c r="F176" s="333">
        <v>3.7</v>
      </c>
    </row>
    <row r="177" spans="1:6" customFormat="1" ht="12.75">
      <c r="A177" s="336">
        <v>167</v>
      </c>
      <c r="B177" s="335">
        <v>2.2799999999999998</v>
      </c>
      <c r="C177" s="334">
        <v>2.2799999999999998</v>
      </c>
      <c r="D177" s="335">
        <v>2.82</v>
      </c>
      <c r="E177" s="334">
        <v>3.7</v>
      </c>
      <c r="F177" s="333">
        <v>3.7</v>
      </c>
    </row>
    <row r="178" spans="1:6" customFormat="1" ht="12.75">
      <c r="A178" s="336">
        <v>168</v>
      </c>
      <c r="B178" s="335">
        <v>2.29</v>
      </c>
      <c r="C178" s="334">
        <v>2.29</v>
      </c>
      <c r="D178" s="335">
        <v>2.83</v>
      </c>
      <c r="E178" s="334">
        <v>3.75</v>
      </c>
      <c r="F178" s="333">
        <v>3.75</v>
      </c>
    </row>
    <row r="179" spans="1:6" customFormat="1" ht="12.75">
      <c r="A179" s="336">
        <v>169</v>
      </c>
      <c r="B179" s="335">
        <v>2.2999999999999998</v>
      </c>
      <c r="C179" s="334">
        <v>2.2999999999999998</v>
      </c>
      <c r="D179" s="335">
        <v>2.85</v>
      </c>
      <c r="E179" s="334">
        <v>3.75</v>
      </c>
      <c r="F179" s="333">
        <v>3.75</v>
      </c>
    </row>
    <row r="180" spans="1:6" customFormat="1" ht="12.75">
      <c r="A180" s="336">
        <v>170</v>
      </c>
      <c r="B180" s="335">
        <v>2.31</v>
      </c>
      <c r="C180" s="334">
        <v>2.31</v>
      </c>
      <c r="D180" s="335">
        <v>2.86</v>
      </c>
      <c r="E180" s="334">
        <v>3.75</v>
      </c>
      <c r="F180" s="333">
        <v>3.75</v>
      </c>
    </row>
    <row r="181" spans="1:6" customFormat="1" ht="12.75">
      <c r="A181" s="336">
        <v>171</v>
      </c>
      <c r="B181" s="335">
        <v>2.33</v>
      </c>
      <c r="C181" s="334">
        <v>2.33</v>
      </c>
      <c r="D181" s="335">
        <v>2.88</v>
      </c>
      <c r="E181" s="334">
        <v>3.8</v>
      </c>
      <c r="F181" s="333">
        <v>3.8</v>
      </c>
    </row>
    <row r="182" spans="1:6" customFormat="1" ht="12.75">
      <c r="A182" s="336">
        <v>172</v>
      </c>
      <c r="B182" s="335">
        <v>2.33</v>
      </c>
      <c r="C182" s="334">
        <v>2.33</v>
      </c>
      <c r="D182" s="335">
        <v>2.89</v>
      </c>
      <c r="E182" s="334">
        <v>3.8</v>
      </c>
      <c r="F182" s="333">
        <v>3.8</v>
      </c>
    </row>
    <row r="183" spans="1:6" customFormat="1" ht="12.75">
      <c r="A183" s="336">
        <v>173</v>
      </c>
      <c r="B183" s="335">
        <v>2.35</v>
      </c>
      <c r="C183" s="334">
        <v>2.35</v>
      </c>
      <c r="D183" s="335">
        <v>2.91</v>
      </c>
      <c r="E183" s="334">
        <v>3.8</v>
      </c>
      <c r="F183" s="333">
        <v>3.8</v>
      </c>
    </row>
    <row r="184" spans="1:6" customFormat="1" ht="12.75">
      <c r="A184" s="336">
        <v>174</v>
      </c>
      <c r="B184" s="335">
        <v>2.36</v>
      </c>
      <c r="C184" s="334">
        <v>2.36</v>
      </c>
      <c r="D184" s="335">
        <v>2.92</v>
      </c>
      <c r="E184" s="334">
        <v>3.85</v>
      </c>
      <c r="F184" s="333">
        <v>3.85</v>
      </c>
    </row>
    <row r="185" spans="1:6" customFormat="1" ht="12.75">
      <c r="A185" s="336">
        <v>175</v>
      </c>
      <c r="B185" s="335">
        <v>2.38</v>
      </c>
      <c r="C185" s="334">
        <v>2.38</v>
      </c>
      <c r="D185" s="335">
        <v>2.93</v>
      </c>
      <c r="E185" s="334">
        <v>3.85</v>
      </c>
      <c r="F185" s="333">
        <v>3.85</v>
      </c>
    </row>
    <row r="186" spans="1:6" customFormat="1" ht="12.75">
      <c r="A186" s="336">
        <v>176</v>
      </c>
      <c r="B186" s="335">
        <v>2.39</v>
      </c>
      <c r="C186" s="334">
        <v>2.39</v>
      </c>
      <c r="D186" s="335">
        <v>2.95</v>
      </c>
      <c r="E186" s="334">
        <v>3.85</v>
      </c>
      <c r="F186" s="333">
        <v>3.85</v>
      </c>
    </row>
    <row r="187" spans="1:6" customFormat="1" ht="12.75">
      <c r="A187" s="336">
        <v>177</v>
      </c>
      <c r="B187" s="335">
        <v>2.4</v>
      </c>
      <c r="C187" s="334">
        <v>2.4</v>
      </c>
      <c r="D187" s="335">
        <v>2.96</v>
      </c>
      <c r="E187" s="334">
        <v>3.9</v>
      </c>
      <c r="F187" s="333">
        <v>3.9</v>
      </c>
    </row>
    <row r="188" spans="1:6" customFormat="1" ht="12.75">
      <c r="A188" s="336">
        <v>178</v>
      </c>
      <c r="B188" s="335">
        <v>2.4</v>
      </c>
      <c r="C188" s="334">
        <v>2.4</v>
      </c>
      <c r="D188" s="335">
        <v>2.98</v>
      </c>
      <c r="E188" s="334">
        <v>3.9</v>
      </c>
      <c r="F188" s="333">
        <v>3.9</v>
      </c>
    </row>
    <row r="189" spans="1:6" customFormat="1" ht="12.75">
      <c r="A189" s="336">
        <v>179</v>
      </c>
      <c r="B189" s="335">
        <v>2.4300000000000002</v>
      </c>
      <c r="C189" s="334">
        <v>2.4300000000000002</v>
      </c>
      <c r="D189" s="335">
        <v>2.99</v>
      </c>
      <c r="E189" s="334">
        <v>3.9</v>
      </c>
      <c r="F189" s="333">
        <v>3.9</v>
      </c>
    </row>
    <row r="190" spans="1:6" customFormat="1" ht="12.75">
      <c r="A190" s="336">
        <v>180</v>
      </c>
      <c r="B190" s="335">
        <v>2.44</v>
      </c>
      <c r="C190" s="334">
        <v>2.44</v>
      </c>
      <c r="D190" s="335">
        <v>3.01</v>
      </c>
      <c r="E190" s="334">
        <v>3.95</v>
      </c>
      <c r="F190" s="333">
        <v>3.95</v>
      </c>
    </row>
    <row r="191" spans="1:6" customFormat="1" ht="12.75">
      <c r="A191" s="336">
        <v>181</v>
      </c>
      <c r="B191" s="335">
        <v>2.4500000000000002</v>
      </c>
      <c r="C191" s="334">
        <v>2.4500000000000002</v>
      </c>
      <c r="D191" s="335">
        <v>3.02</v>
      </c>
      <c r="E191" s="334">
        <v>3.95</v>
      </c>
      <c r="F191" s="333">
        <v>3.95</v>
      </c>
    </row>
    <row r="192" spans="1:6" customFormat="1" ht="12.75">
      <c r="A192" s="336">
        <v>182</v>
      </c>
      <c r="B192" s="335">
        <v>2.46</v>
      </c>
      <c r="C192" s="334">
        <v>2.46</v>
      </c>
      <c r="D192" s="335">
        <v>3.04</v>
      </c>
      <c r="E192" s="334">
        <v>3.95</v>
      </c>
      <c r="F192" s="333">
        <v>3.95</v>
      </c>
    </row>
    <row r="193" spans="1:6" customFormat="1" ht="12.75">
      <c r="A193" s="336">
        <v>183</v>
      </c>
      <c r="B193" s="335">
        <v>2.48</v>
      </c>
      <c r="C193" s="334">
        <v>2.48</v>
      </c>
      <c r="D193" s="335">
        <v>3.05</v>
      </c>
      <c r="E193" s="334">
        <v>4</v>
      </c>
      <c r="F193" s="333">
        <v>4</v>
      </c>
    </row>
    <row r="194" spans="1:6" customFormat="1" ht="12.75">
      <c r="A194" s="336">
        <v>184</v>
      </c>
      <c r="B194" s="335">
        <v>2.48</v>
      </c>
      <c r="C194" s="334">
        <v>2.48</v>
      </c>
      <c r="D194" s="335">
        <v>3.07</v>
      </c>
      <c r="E194" s="334">
        <v>4</v>
      </c>
      <c r="F194" s="333">
        <v>4</v>
      </c>
    </row>
    <row r="195" spans="1:6" customFormat="1" ht="12.75">
      <c r="A195" s="336">
        <v>185</v>
      </c>
      <c r="B195" s="335">
        <v>2.4900000000000002</v>
      </c>
      <c r="C195" s="334">
        <v>2.4900000000000002</v>
      </c>
      <c r="D195" s="335">
        <v>3.08</v>
      </c>
      <c r="E195" s="334">
        <v>4.05</v>
      </c>
      <c r="F195" s="333">
        <v>4.05</v>
      </c>
    </row>
    <row r="196" spans="1:6" customFormat="1" ht="12.75">
      <c r="A196" s="336">
        <v>186</v>
      </c>
      <c r="B196" s="335">
        <v>2.5099999999999998</v>
      </c>
      <c r="C196" s="334">
        <v>2.5099999999999998</v>
      </c>
      <c r="D196" s="335">
        <v>3.1</v>
      </c>
      <c r="E196" s="334">
        <v>4.05</v>
      </c>
      <c r="F196" s="333">
        <v>4.05</v>
      </c>
    </row>
    <row r="197" spans="1:6" customFormat="1" ht="12.75">
      <c r="A197" s="336">
        <v>187</v>
      </c>
      <c r="B197" s="335">
        <v>2.5299999999999998</v>
      </c>
      <c r="C197" s="334">
        <v>2.5299999999999998</v>
      </c>
      <c r="D197" s="335">
        <v>3.11</v>
      </c>
      <c r="E197" s="334">
        <v>4.05</v>
      </c>
      <c r="F197" s="333">
        <v>4.05</v>
      </c>
    </row>
    <row r="198" spans="1:6" customFormat="1" ht="12.75">
      <c r="A198" s="336">
        <v>188</v>
      </c>
      <c r="B198" s="335">
        <v>2.54</v>
      </c>
      <c r="C198" s="334">
        <v>2.54</v>
      </c>
      <c r="D198" s="335">
        <v>3.13</v>
      </c>
      <c r="E198" s="334">
        <v>4.0999999999999996</v>
      </c>
      <c r="F198" s="333">
        <v>4.0999999999999996</v>
      </c>
    </row>
    <row r="199" spans="1:6" customFormat="1" ht="12.75">
      <c r="A199" s="336">
        <v>189</v>
      </c>
      <c r="B199" s="335">
        <v>2.5499999999999998</v>
      </c>
      <c r="C199" s="334">
        <v>2.5499999999999998</v>
      </c>
      <c r="D199" s="335">
        <v>3.14</v>
      </c>
      <c r="E199" s="334">
        <v>4.0999999999999996</v>
      </c>
      <c r="F199" s="333">
        <v>4.0999999999999996</v>
      </c>
    </row>
    <row r="200" spans="1:6" customFormat="1" ht="12.75">
      <c r="A200" s="336">
        <v>190</v>
      </c>
      <c r="B200" s="335">
        <v>2.5499999999999998</v>
      </c>
      <c r="C200" s="334">
        <v>2.5499999999999998</v>
      </c>
      <c r="D200" s="335">
        <v>3.16</v>
      </c>
      <c r="E200" s="334">
        <v>4.1500000000000004</v>
      </c>
      <c r="F200" s="333">
        <v>4.1500000000000004</v>
      </c>
    </row>
    <row r="201" spans="1:6" customFormat="1" ht="12.75">
      <c r="A201" s="336">
        <v>191</v>
      </c>
      <c r="B201" s="335">
        <v>2.56</v>
      </c>
      <c r="C201" s="334">
        <v>2.56</v>
      </c>
      <c r="D201" s="335">
        <v>3.17</v>
      </c>
      <c r="E201" s="334">
        <v>4.1500000000000004</v>
      </c>
      <c r="F201" s="333">
        <v>4.1500000000000004</v>
      </c>
    </row>
    <row r="202" spans="1:6" customFormat="1" ht="12.75">
      <c r="A202" s="336">
        <v>192</v>
      </c>
      <c r="B202" s="335">
        <v>2.59</v>
      </c>
      <c r="C202" s="334">
        <v>2.59</v>
      </c>
      <c r="D202" s="335">
        <v>3.19</v>
      </c>
      <c r="E202" s="334">
        <v>4.1500000000000004</v>
      </c>
      <c r="F202" s="333">
        <v>4.1500000000000004</v>
      </c>
    </row>
    <row r="203" spans="1:6" customFormat="1" ht="12.75">
      <c r="A203" s="336">
        <v>193</v>
      </c>
      <c r="B203" s="335">
        <v>2.6</v>
      </c>
      <c r="C203" s="334">
        <v>2.6</v>
      </c>
      <c r="D203" s="335">
        <v>3.2</v>
      </c>
      <c r="E203" s="334">
        <v>4.2</v>
      </c>
      <c r="F203" s="333">
        <v>4.2</v>
      </c>
    </row>
    <row r="204" spans="1:6" customFormat="1" ht="12.75">
      <c r="A204" s="336">
        <v>194</v>
      </c>
      <c r="B204" s="335">
        <v>2.61</v>
      </c>
      <c r="C204" s="334">
        <v>2.61</v>
      </c>
      <c r="D204" s="335">
        <v>3.22</v>
      </c>
      <c r="E204" s="334">
        <v>4.2</v>
      </c>
      <c r="F204" s="333">
        <v>4.2</v>
      </c>
    </row>
    <row r="205" spans="1:6" customFormat="1" ht="12.75">
      <c r="A205" s="336">
        <v>195</v>
      </c>
      <c r="B205" s="335">
        <v>2.63</v>
      </c>
      <c r="C205" s="334">
        <v>2.63</v>
      </c>
      <c r="D205" s="335">
        <v>3.23</v>
      </c>
      <c r="E205" s="334">
        <v>4.25</v>
      </c>
      <c r="F205" s="333">
        <v>4.25</v>
      </c>
    </row>
    <row r="206" spans="1:6" customFormat="1" ht="12.75">
      <c r="A206" s="336">
        <v>196</v>
      </c>
      <c r="B206" s="335">
        <v>2.63</v>
      </c>
      <c r="C206" s="334">
        <v>2.63</v>
      </c>
      <c r="D206" s="335">
        <v>3.25</v>
      </c>
      <c r="E206" s="334">
        <v>4.25</v>
      </c>
      <c r="F206" s="333">
        <v>4.25</v>
      </c>
    </row>
    <row r="207" spans="1:6" customFormat="1" ht="12.75">
      <c r="A207" s="336">
        <v>197</v>
      </c>
      <c r="B207" s="335">
        <v>2.64</v>
      </c>
      <c r="C207" s="334">
        <v>2.64</v>
      </c>
      <c r="D207" s="335">
        <v>3.26</v>
      </c>
      <c r="E207" s="334">
        <v>4.25</v>
      </c>
      <c r="F207" s="333">
        <v>4.25</v>
      </c>
    </row>
    <row r="208" spans="1:6" customFormat="1" ht="12.75">
      <c r="A208" s="336">
        <v>198</v>
      </c>
      <c r="B208" s="335">
        <v>2.65</v>
      </c>
      <c r="C208" s="334">
        <v>2.65</v>
      </c>
      <c r="D208" s="335">
        <v>3.28</v>
      </c>
      <c r="E208" s="334">
        <v>4.3</v>
      </c>
      <c r="F208" s="333">
        <v>4.3</v>
      </c>
    </row>
    <row r="209" spans="1:6" customFormat="1" ht="12.75">
      <c r="A209" s="336">
        <v>199</v>
      </c>
      <c r="B209" s="335">
        <v>2.68</v>
      </c>
      <c r="C209" s="334">
        <v>2.68</v>
      </c>
      <c r="D209" s="335">
        <v>3.29</v>
      </c>
      <c r="E209" s="334">
        <v>4.3</v>
      </c>
      <c r="F209" s="333">
        <v>4.3</v>
      </c>
    </row>
    <row r="210" spans="1:6" customFormat="1" ht="12.75">
      <c r="A210" s="336">
        <v>200</v>
      </c>
      <c r="B210" s="335">
        <v>2.69</v>
      </c>
      <c r="C210" s="334">
        <v>2.69</v>
      </c>
      <c r="D210" s="335">
        <v>3.31</v>
      </c>
      <c r="E210" s="334">
        <v>4.3499999999999996</v>
      </c>
      <c r="F210" s="333">
        <v>4.3499999999999996</v>
      </c>
    </row>
    <row r="211" spans="1:6" customFormat="1" ht="12.75">
      <c r="A211" s="336">
        <v>201</v>
      </c>
      <c r="B211" s="335">
        <v>2.7</v>
      </c>
      <c r="C211" s="334">
        <v>2.7</v>
      </c>
      <c r="D211" s="335">
        <v>3.32</v>
      </c>
      <c r="E211" s="334">
        <v>4.3499999999999996</v>
      </c>
      <c r="F211" s="333">
        <v>4.3499999999999996</v>
      </c>
    </row>
    <row r="212" spans="1:6" customFormat="1" ht="12.75">
      <c r="A212" s="336">
        <v>202</v>
      </c>
      <c r="B212" s="335">
        <v>2.7</v>
      </c>
      <c r="C212" s="334">
        <v>2.7</v>
      </c>
      <c r="D212" s="335">
        <v>3.34</v>
      </c>
      <c r="E212" s="334">
        <v>4.3499999999999996</v>
      </c>
      <c r="F212" s="333">
        <v>4.3499999999999996</v>
      </c>
    </row>
    <row r="213" spans="1:6" customFormat="1" ht="12.75">
      <c r="A213" s="336">
        <v>203</v>
      </c>
      <c r="B213" s="335">
        <v>2.71</v>
      </c>
      <c r="C213" s="334">
        <v>2.71</v>
      </c>
      <c r="D213" s="335">
        <v>3.35</v>
      </c>
      <c r="E213" s="334">
        <v>4.4000000000000004</v>
      </c>
      <c r="F213" s="333">
        <v>4.4000000000000004</v>
      </c>
    </row>
    <row r="214" spans="1:6" customFormat="1" ht="12.75">
      <c r="A214" s="336">
        <v>204</v>
      </c>
      <c r="B214" s="335">
        <v>2.73</v>
      </c>
      <c r="C214" s="334">
        <v>2.73</v>
      </c>
      <c r="D214" s="335">
        <v>3.37</v>
      </c>
      <c r="E214" s="334">
        <v>4.4000000000000004</v>
      </c>
      <c r="F214" s="333">
        <v>4.4000000000000004</v>
      </c>
    </row>
    <row r="215" spans="1:6" customFormat="1" ht="12.75">
      <c r="A215" s="336">
        <v>205</v>
      </c>
      <c r="B215" s="335">
        <v>2.74</v>
      </c>
      <c r="C215" s="334">
        <v>2.74</v>
      </c>
      <c r="D215" s="335">
        <v>3.38</v>
      </c>
      <c r="E215" s="334">
        <v>4.45</v>
      </c>
      <c r="F215" s="333">
        <v>4.45</v>
      </c>
    </row>
    <row r="216" spans="1:6" customFormat="1" ht="12.75">
      <c r="A216" s="336">
        <v>206</v>
      </c>
      <c r="B216" s="335">
        <v>2.76</v>
      </c>
      <c r="C216" s="334">
        <v>2.76</v>
      </c>
      <c r="D216" s="335">
        <v>3.4</v>
      </c>
      <c r="E216" s="334">
        <v>4.45</v>
      </c>
      <c r="F216" s="333">
        <v>4.45</v>
      </c>
    </row>
    <row r="217" spans="1:6" customFormat="1" ht="12.75">
      <c r="A217" s="336">
        <v>207</v>
      </c>
      <c r="B217" s="335">
        <v>2.78</v>
      </c>
      <c r="C217" s="334">
        <v>2.78</v>
      </c>
      <c r="D217" s="335">
        <v>3.41</v>
      </c>
      <c r="E217" s="334">
        <v>4.45</v>
      </c>
      <c r="F217" s="333">
        <v>4.45</v>
      </c>
    </row>
    <row r="218" spans="1:6" customFormat="1" ht="12.75">
      <c r="A218" s="336">
        <v>208</v>
      </c>
      <c r="B218" s="335">
        <v>2.78</v>
      </c>
      <c r="C218" s="334">
        <v>2.78</v>
      </c>
      <c r="D218" s="335">
        <v>3.43</v>
      </c>
      <c r="E218" s="334">
        <v>4.5</v>
      </c>
      <c r="F218" s="333">
        <v>4.5</v>
      </c>
    </row>
    <row r="219" spans="1:6" customFormat="1" ht="12.75">
      <c r="A219" s="336">
        <v>209</v>
      </c>
      <c r="B219" s="335">
        <v>2.79</v>
      </c>
      <c r="C219" s="334">
        <v>2.79</v>
      </c>
      <c r="D219" s="335">
        <v>3.44</v>
      </c>
      <c r="E219" s="334">
        <v>4.5</v>
      </c>
      <c r="F219" s="333">
        <v>4.5</v>
      </c>
    </row>
    <row r="220" spans="1:6" customFormat="1" ht="12.75">
      <c r="A220" s="336">
        <v>210</v>
      </c>
      <c r="B220" s="335">
        <v>2.8</v>
      </c>
      <c r="C220" s="334">
        <v>2.8</v>
      </c>
      <c r="D220" s="335">
        <v>3.46</v>
      </c>
      <c r="E220" s="334">
        <v>4.55</v>
      </c>
      <c r="F220" s="333">
        <v>4.55</v>
      </c>
    </row>
    <row r="221" spans="1:6" customFormat="1" ht="12.75">
      <c r="A221" s="336">
        <v>211</v>
      </c>
      <c r="B221" s="335">
        <v>2.81</v>
      </c>
      <c r="C221" s="334">
        <v>2.81</v>
      </c>
      <c r="D221" s="335">
        <v>3.47</v>
      </c>
      <c r="E221" s="334">
        <v>4.55</v>
      </c>
      <c r="F221" s="333">
        <v>4.55</v>
      </c>
    </row>
    <row r="222" spans="1:6" customFormat="1" ht="12.75">
      <c r="A222" s="336">
        <v>212</v>
      </c>
      <c r="B222" s="335">
        <v>2.84</v>
      </c>
      <c r="C222" s="334">
        <v>2.84</v>
      </c>
      <c r="D222" s="335">
        <v>3.48</v>
      </c>
      <c r="E222" s="334">
        <v>4.55</v>
      </c>
      <c r="F222" s="333">
        <v>4.55</v>
      </c>
    </row>
    <row r="223" spans="1:6" customFormat="1" ht="12.75">
      <c r="A223" s="336">
        <v>213</v>
      </c>
      <c r="B223" s="335">
        <v>2.85</v>
      </c>
      <c r="C223" s="334">
        <v>2.85</v>
      </c>
      <c r="D223" s="335">
        <v>3.5</v>
      </c>
      <c r="E223" s="334">
        <v>4.5999999999999996</v>
      </c>
      <c r="F223" s="333">
        <v>4.5999999999999996</v>
      </c>
    </row>
    <row r="224" spans="1:6" customFormat="1" ht="12.75">
      <c r="A224" s="336">
        <v>214</v>
      </c>
      <c r="B224" s="335">
        <v>2.85</v>
      </c>
      <c r="C224" s="334">
        <v>2.85</v>
      </c>
      <c r="D224" s="335">
        <v>3.51</v>
      </c>
      <c r="E224" s="334">
        <v>4.5999999999999996</v>
      </c>
      <c r="F224" s="333">
        <v>4.5999999999999996</v>
      </c>
    </row>
    <row r="225" spans="1:6" customFormat="1" ht="12.75">
      <c r="A225" s="336">
        <v>215</v>
      </c>
      <c r="B225" s="335">
        <v>2.86</v>
      </c>
      <c r="C225" s="334">
        <v>2.86</v>
      </c>
      <c r="D225" s="335">
        <v>3.53</v>
      </c>
      <c r="E225" s="334">
        <v>4.6500000000000004</v>
      </c>
      <c r="F225" s="333">
        <v>4.6500000000000004</v>
      </c>
    </row>
    <row r="226" spans="1:6" customFormat="1" ht="12.75">
      <c r="A226" s="336">
        <v>216</v>
      </c>
      <c r="B226" s="335">
        <v>2.88</v>
      </c>
      <c r="C226" s="334">
        <v>2.88</v>
      </c>
      <c r="D226" s="335">
        <v>3.54</v>
      </c>
      <c r="E226" s="334">
        <v>4.6500000000000004</v>
      </c>
      <c r="F226" s="333">
        <v>4.6500000000000004</v>
      </c>
    </row>
    <row r="227" spans="1:6" customFormat="1" ht="12.75">
      <c r="A227" s="336">
        <v>217</v>
      </c>
      <c r="B227" s="335">
        <v>2.89</v>
      </c>
      <c r="C227" s="334">
        <v>2.89</v>
      </c>
      <c r="D227" s="335">
        <v>3.56</v>
      </c>
      <c r="E227" s="334">
        <v>4.6500000000000004</v>
      </c>
      <c r="F227" s="333">
        <v>4.6500000000000004</v>
      </c>
    </row>
    <row r="228" spans="1:6" customFormat="1" ht="12.75">
      <c r="A228" s="336">
        <v>218</v>
      </c>
      <c r="B228" s="335">
        <v>2.9</v>
      </c>
      <c r="C228" s="334">
        <v>2.9</v>
      </c>
      <c r="D228" s="335">
        <v>3.57</v>
      </c>
      <c r="E228" s="334">
        <v>4.7</v>
      </c>
      <c r="F228" s="333">
        <v>4.7</v>
      </c>
    </row>
    <row r="229" spans="1:6" customFormat="1" ht="12.75">
      <c r="A229" s="336">
        <v>219</v>
      </c>
      <c r="B229" s="335">
        <v>2.93</v>
      </c>
      <c r="C229" s="334">
        <v>2.93</v>
      </c>
      <c r="D229" s="335">
        <v>3.59</v>
      </c>
      <c r="E229" s="334">
        <v>4.7</v>
      </c>
      <c r="F229" s="333">
        <v>4.7</v>
      </c>
    </row>
    <row r="230" spans="1:6" customFormat="1" ht="12.75">
      <c r="A230" s="336">
        <v>220</v>
      </c>
      <c r="B230" s="335">
        <v>2.93</v>
      </c>
      <c r="C230" s="334">
        <v>2.93</v>
      </c>
      <c r="D230" s="335">
        <v>3.6</v>
      </c>
      <c r="E230" s="334">
        <v>4.75</v>
      </c>
      <c r="F230" s="333">
        <v>4.75</v>
      </c>
    </row>
    <row r="231" spans="1:6" customFormat="1" ht="12.75">
      <c r="A231" s="336">
        <v>221</v>
      </c>
      <c r="B231" s="335">
        <v>2.94</v>
      </c>
      <c r="C231" s="334">
        <v>2.94</v>
      </c>
      <c r="D231" s="335">
        <v>3.62</v>
      </c>
      <c r="E231" s="334">
        <v>4.75</v>
      </c>
      <c r="F231" s="333">
        <v>4.75</v>
      </c>
    </row>
    <row r="232" spans="1:6" customFormat="1" ht="12.75">
      <c r="A232" s="336">
        <v>222</v>
      </c>
      <c r="B232" s="335">
        <v>2.95</v>
      </c>
      <c r="C232" s="334">
        <v>2.95</v>
      </c>
      <c r="D232" s="335">
        <v>3.63</v>
      </c>
      <c r="E232" s="334">
        <v>4.75</v>
      </c>
      <c r="F232" s="333">
        <v>4.75</v>
      </c>
    </row>
    <row r="233" spans="1:6" customFormat="1" ht="12.75">
      <c r="A233" s="336">
        <v>223</v>
      </c>
      <c r="B233" s="335">
        <v>2.96</v>
      </c>
      <c r="C233" s="334">
        <v>2.96</v>
      </c>
      <c r="D233" s="335">
        <v>3.65</v>
      </c>
      <c r="E233" s="334">
        <v>4.8</v>
      </c>
      <c r="F233" s="333">
        <v>4.8</v>
      </c>
    </row>
    <row r="234" spans="1:6" customFormat="1" ht="12.75">
      <c r="A234" s="336">
        <v>224</v>
      </c>
      <c r="B234" s="335">
        <v>2.98</v>
      </c>
      <c r="C234" s="334">
        <v>2.98</v>
      </c>
      <c r="D234" s="335">
        <v>3.66</v>
      </c>
      <c r="E234" s="334">
        <v>4.8</v>
      </c>
      <c r="F234" s="333">
        <v>4.8</v>
      </c>
    </row>
    <row r="235" spans="1:6" customFormat="1" ht="12.75">
      <c r="A235" s="336">
        <v>225</v>
      </c>
      <c r="B235" s="335">
        <v>3</v>
      </c>
      <c r="C235" s="334">
        <v>3</v>
      </c>
      <c r="D235" s="335">
        <v>3.68</v>
      </c>
      <c r="E235" s="334">
        <v>4.8499999999999996</v>
      </c>
      <c r="F235" s="333">
        <v>4.8499999999999996</v>
      </c>
    </row>
    <row r="236" spans="1:6" customFormat="1" ht="12.75">
      <c r="A236" s="336">
        <v>226</v>
      </c>
      <c r="B236" s="335">
        <v>3</v>
      </c>
      <c r="C236" s="334">
        <v>3</v>
      </c>
      <c r="D236" s="335">
        <v>3.69</v>
      </c>
      <c r="E236" s="334">
        <v>4.8499999999999996</v>
      </c>
      <c r="F236" s="333">
        <v>4.8499999999999996</v>
      </c>
    </row>
    <row r="237" spans="1:6" customFormat="1" ht="12.75">
      <c r="A237" s="336">
        <v>227</v>
      </c>
      <c r="B237" s="335">
        <v>3.01</v>
      </c>
      <c r="C237" s="334">
        <v>3.01</v>
      </c>
      <c r="D237" s="335">
        <v>3.71</v>
      </c>
      <c r="E237" s="334">
        <v>4.8499999999999996</v>
      </c>
      <c r="F237" s="333">
        <v>4.8499999999999996</v>
      </c>
    </row>
    <row r="238" spans="1:6" customFormat="1" ht="12.75">
      <c r="A238" s="336">
        <v>228</v>
      </c>
      <c r="B238" s="335">
        <v>3.03</v>
      </c>
      <c r="C238" s="334">
        <v>3.03</v>
      </c>
      <c r="D238" s="335">
        <v>3.72</v>
      </c>
      <c r="E238" s="334">
        <v>4.9000000000000004</v>
      </c>
      <c r="F238" s="333">
        <v>4.9000000000000004</v>
      </c>
    </row>
    <row r="239" spans="1:6" customFormat="1" ht="12.75">
      <c r="A239" s="336">
        <v>229</v>
      </c>
      <c r="B239" s="335">
        <v>3.04</v>
      </c>
      <c r="C239" s="334">
        <v>3.04</v>
      </c>
      <c r="D239" s="335">
        <v>3.74</v>
      </c>
      <c r="E239" s="334">
        <v>4.9000000000000004</v>
      </c>
      <c r="F239" s="333">
        <v>4.9000000000000004</v>
      </c>
    </row>
    <row r="240" spans="1:6" customFormat="1" ht="12.75">
      <c r="A240" s="336">
        <v>230</v>
      </c>
      <c r="B240" s="335">
        <v>3.05</v>
      </c>
      <c r="C240" s="334">
        <v>3.05</v>
      </c>
      <c r="D240" s="335">
        <v>3.75</v>
      </c>
      <c r="E240" s="334">
        <v>4.9000000000000004</v>
      </c>
      <c r="F240" s="333">
        <v>4.9000000000000004</v>
      </c>
    </row>
    <row r="241" spans="1:6" customFormat="1" ht="12.75">
      <c r="A241" s="336">
        <v>231</v>
      </c>
      <c r="B241" s="335">
        <v>3.06</v>
      </c>
      <c r="C241" s="334">
        <v>3.06</v>
      </c>
      <c r="D241" s="335">
        <v>3.77</v>
      </c>
      <c r="E241" s="334">
        <v>4.95</v>
      </c>
      <c r="F241" s="333">
        <v>4.95</v>
      </c>
    </row>
    <row r="242" spans="1:6" customFormat="1" ht="12.75">
      <c r="A242" s="336">
        <v>232</v>
      </c>
      <c r="B242" s="335">
        <v>3.06</v>
      </c>
      <c r="C242" s="334">
        <v>3.06</v>
      </c>
      <c r="D242" s="335">
        <v>3.78</v>
      </c>
      <c r="E242" s="334">
        <v>4.95</v>
      </c>
      <c r="F242" s="333">
        <v>4.95</v>
      </c>
    </row>
    <row r="243" spans="1:6" customFormat="1" ht="12.75">
      <c r="A243" s="336">
        <v>233</v>
      </c>
      <c r="B243" s="335">
        <v>3.09</v>
      </c>
      <c r="C243" s="334">
        <v>3.09</v>
      </c>
      <c r="D243" s="335">
        <v>3.8</v>
      </c>
      <c r="E243" s="334">
        <v>4.95</v>
      </c>
      <c r="F243" s="333">
        <v>4.95</v>
      </c>
    </row>
    <row r="244" spans="1:6" customFormat="1" ht="12.75">
      <c r="A244" s="336">
        <v>234</v>
      </c>
      <c r="B244" s="335">
        <v>3.1</v>
      </c>
      <c r="C244" s="334">
        <v>3.1</v>
      </c>
      <c r="D244" s="335">
        <v>3.81</v>
      </c>
      <c r="E244" s="334">
        <v>5</v>
      </c>
      <c r="F244" s="333">
        <v>5</v>
      </c>
    </row>
    <row r="245" spans="1:6" customFormat="1" ht="12.75">
      <c r="A245" s="336">
        <v>235</v>
      </c>
      <c r="B245" s="335">
        <v>3.11</v>
      </c>
      <c r="C245" s="334">
        <v>3.11</v>
      </c>
      <c r="D245" s="335">
        <v>3.83</v>
      </c>
      <c r="E245" s="334">
        <v>5</v>
      </c>
      <c r="F245" s="333">
        <v>5</v>
      </c>
    </row>
    <row r="246" spans="1:6" customFormat="1" ht="12.75">
      <c r="A246" s="336">
        <v>236</v>
      </c>
      <c r="B246" s="335">
        <v>3.13</v>
      </c>
      <c r="C246" s="334">
        <v>3.13</v>
      </c>
      <c r="D246" s="335">
        <v>3.84</v>
      </c>
      <c r="E246" s="334">
        <v>5</v>
      </c>
      <c r="F246" s="333">
        <v>5</v>
      </c>
    </row>
    <row r="247" spans="1:6" customFormat="1" ht="12.75">
      <c r="A247" s="336">
        <v>237</v>
      </c>
      <c r="B247" s="335">
        <v>3.13</v>
      </c>
      <c r="C247" s="334">
        <v>3.13</v>
      </c>
      <c r="D247" s="335">
        <v>3.86</v>
      </c>
      <c r="E247" s="334">
        <v>5.05</v>
      </c>
      <c r="F247" s="333">
        <v>5.05</v>
      </c>
    </row>
    <row r="248" spans="1:6" customFormat="1" ht="12.75">
      <c r="A248" s="336">
        <v>238</v>
      </c>
      <c r="B248" s="335">
        <v>3.14</v>
      </c>
      <c r="C248" s="334">
        <v>3.14</v>
      </c>
      <c r="D248" s="335">
        <v>3.87</v>
      </c>
      <c r="E248" s="334">
        <v>5.05</v>
      </c>
      <c r="F248" s="333">
        <v>5.05</v>
      </c>
    </row>
    <row r="249" spans="1:6" customFormat="1" ht="12.75">
      <c r="A249" s="336">
        <v>239</v>
      </c>
      <c r="B249" s="335">
        <v>3.16</v>
      </c>
      <c r="C249" s="334">
        <v>3.16</v>
      </c>
      <c r="D249" s="335">
        <v>3.89</v>
      </c>
      <c r="E249" s="334">
        <v>5.05</v>
      </c>
      <c r="F249" s="333">
        <v>5.05</v>
      </c>
    </row>
    <row r="250" spans="1:6" customFormat="1" ht="12.75">
      <c r="A250" s="336">
        <v>240</v>
      </c>
      <c r="B250" s="335">
        <v>3.18</v>
      </c>
      <c r="C250" s="334">
        <v>3.18</v>
      </c>
      <c r="D250" s="335">
        <v>3.9</v>
      </c>
      <c r="E250" s="334">
        <v>5.0999999999999996</v>
      </c>
      <c r="F250" s="333">
        <v>5.0999999999999996</v>
      </c>
    </row>
    <row r="251" spans="1:6" customFormat="1" ht="12.75">
      <c r="A251" s="336">
        <v>241</v>
      </c>
      <c r="B251" s="335">
        <v>3.19</v>
      </c>
      <c r="C251" s="334">
        <v>3.19</v>
      </c>
      <c r="D251" s="335">
        <v>3.92</v>
      </c>
      <c r="E251" s="334">
        <v>5.0999999999999996</v>
      </c>
      <c r="F251" s="333">
        <v>5.0999999999999996</v>
      </c>
    </row>
    <row r="252" spans="1:6" customFormat="1" ht="12.75">
      <c r="A252" s="336">
        <v>242</v>
      </c>
      <c r="B252" s="335">
        <v>3.2</v>
      </c>
      <c r="C252" s="334">
        <v>3.2</v>
      </c>
      <c r="D252" s="335">
        <v>3.93</v>
      </c>
      <c r="E252" s="334">
        <v>5.15</v>
      </c>
      <c r="F252" s="333">
        <v>5.15</v>
      </c>
    </row>
    <row r="253" spans="1:6" customFormat="1" ht="12.75">
      <c r="A253" s="336">
        <v>243</v>
      </c>
      <c r="B253" s="335">
        <v>3.2</v>
      </c>
      <c r="C253" s="334">
        <v>3.2</v>
      </c>
      <c r="D253" s="335">
        <v>3.95</v>
      </c>
      <c r="E253" s="334">
        <v>5.15</v>
      </c>
      <c r="F253" s="333">
        <v>5.15</v>
      </c>
    </row>
    <row r="254" spans="1:6" customFormat="1" ht="12.75">
      <c r="A254" s="336">
        <v>244</v>
      </c>
      <c r="B254" s="335">
        <v>3.21</v>
      </c>
      <c r="C254" s="334">
        <v>3.21</v>
      </c>
      <c r="D254" s="335">
        <v>3.96</v>
      </c>
      <c r="E254" s="334">
        <v>5.15</v>
      </c>
      <c r="F254" s="333">
        <v>5.15</v>
      </c>
    </row>
    <row r="255" spans="1:6" customFormat="1" ht="12.75">
      <c r="A255" s="336">
        <v>245</v>
      </c>
      <c r="B255" s="335">
        <v>3.23</v>
      </c>
      <c r="C255" s="334">
        <v>3.23</v>
      </c>
      <c r="D255" s="335">
        <v>3.98</v>
      </c>
      <c r="E255" s="334">
        <v>5.2</v>
      </c>
      <c r="F255" s="333">
        <v>5.2</v>
      </c>
    </row>
    <row r="256" spans="1:6" customFormat="1" ht="12.75">
      <c r="A256" s="336">
        <v>246</v>
      </c>
      <c r="B256" s="335">
        <v>3.25</v>
      </c>
      <c r="C256" s="334">
        <v>3.25</v>
      </c>
      <c r="D256" s="335">
        <v>3.99</v>
      </c>
      <c r="E256" s="334">
        <v>5.2</v>
      </c>
      <c r="F256" s="333">
        <v>5.2</v>
      </c>
    </row>
    <row r="257" spans="1:6" customFormat="1" ht="12.75">
      <c r="A257" s="336">
        <v>247</v>
      </c>
      <c r="B257" s="335">
        <v>3.26</v>
      </c>
      <c r="C257" s="334">
        <v>3.26</v>
      </c>
      <c r="D257" s="335">
        <v>4</v>
      </c>
      <c r="E257" s="334">
        <v>5.25</v>
      </c>
      <c r="F257" s="333">
        <v>5.25</v>
      </c>
    </row>
    <row r="258" spans="1:6" customFormat="1" ht="12.75">
      <c r="A258" s="336">
        <v>248</v>
      </c>
      <c r="B258" s="335">
        <v>3.28</v>
      </c>
      <c r="C258" s="334">
        <v>3.28</v>
      </c>
      <c r="D258" s="335">
        <v>4.0199999999999996</v>
      </c>
      <c r="E258" s="334">
        <v>5.25</v>
      </c>
      <c r="F258" s="333">
        <v>5.25</v>
      </c>
    </row>
    <row r="259" spans="1:6" customFormat="1" ht="12.75">
      <c r="A259" s="336">
        <v>249</v>
      </c>
      <c r="B259" s="335">
        <v>3.28</v>
      </c>
      <c r="C259" s="334">
        <v>3.28</v>
      </c>
      <c r="D259" s="335">
        <v>4.03</v>
      </c>
      <c r="E259" s="334">
        <v>5.25</v>
      </c>
      <c r="F259" s="333">
        <v>5.25</v>
      </c>
    </row>
    <row r="260" spans="1:6" customFormat="1" ht="12.75">
      <c r="A260" s="336">
        <v>250</v>
      </c>
      <c r="B260" s="335">
        <v>3.29</v>
      </c>
      <c r="C260" s="334">
        <v>3.29</v>
      </c>
      <c r="D260" s="335">
        <v>4.05</v>
      </c>
      <c r="E260" s="334">
        <v>5.3</v>
      </c>
      <c r="F260" s="333">
        <v>5.3</v>
      </c>
    </row>
    <row r="261" spans="1:6" customFormat="1" ht="12.75">
      <c r="A261" s="336">
        <v>251</v>
      </c>
      <c r="B261" s="335">
        <v>3.3</v>
      </c>
      <c r="C261" s="334">
        <v>3.3</v>
      </c>
      <c r="D261" s="335">
        <v>4.0599999999999996</v>
      </c>
      <c r="E261" s="334">
        <v>5.3</v>
      </c>
      <c r="F261" s="333">
        <v>5.3</v>
      </c>
    </row>
    <row r="262" spans="1:6" customFormat="1" ht="12.75">
      <c r="A262" s="336">
        <v>252</v>
      </c>
      <c r="B262" s="335">
        <v>3.33</v>
      </c>
      <c r="C262" s="334">
        <v>3.33</v>
      </c>
      <c r="D262" s="335">
        <v>4.08</v>
      </c>
      <c r="E262" s="334">
        <v>5.35</v>
      </c>
      <c r="F262" s="333">
        <v>5.35</v>
      </c>
    </row>
    <row r="263" spans="1:6" customFormat="1" ht="12.75">
      <c r="A263" s="336">
        <v>253</v>
      </c>
      <c r="B263" s="335">
        <v>3.34</v>
      </c>
      <c r="C263" s="334">
        <v>3.34</v>
      </c>
      <c r="D263" s="335">
        <v>4.09</v>
      </c>
      <c r="E263" s="334">
        <v>5.35</v>
      </c>
      <c r="F263" s="333">
        <v>5.35</v>
      </c>
    </row>
    <row r="264" spans="1:6" customFormat="1" ht="12.75">
      <c r="A264" s="336">
        <v>254</v>
      </c>
      <c r="B264" s="335">
        <v>3.35</v>
      </c>
      <c r="C264" s="334">
        <v>3.35</v>
      </c>
      <c r="D264" s="335">
        <v>4.1100000000000003</v>
      </c>
      <c r="E264" s="334">
        <v>5.35</v>
      </c>
      <c r="F264" s="333">
        <v>5.35</v>
      </c>
    </row>
    <row r="265" spans="1:6" customFormat="1" ht="12.75">
      <c r="A265" s="336">
        <v>255</v>
      </c>
      <c r="B265" s="335">
        <v>3.35</v>
      </c>
      <c r="C265" s="334">
        <v>3.35</v>
      </c>
      <c r="D265" s="335">
        <v>4.12</v>
      </c>
      <c r="E265" s="334">
        <v>5.4</v>
      </c>
      <c r="F265" s="333">
        <v>5.4</v>
      </c>
    </row>
    <row r="266" spans="1:6" customFormat="1" ht="12.75">
      <c r="A266" s="336">
        <v>256</v>
      </c>
      <c r="B266" s="335">
        <v>3.36</v>
      </c>
      <c r="C266" s="334">
        <v>3.36</v>
      </c>
      <c r="D266" s="335">
        <v>4.1399999999999997</v>
      </c>
      <c r="E266" s="334">
        <v>5.4</v>
      </c>
      <c r="F266" s="333">
        <v>5.4</v>
      </c>
    </row>
    <row r="267" spans="1:6" customFormat="1" ht="12.75">
      <c r="A267" s="336">
        <v>257</v>
      </c>
      <c r="B267" s="335">
        <v>3.38</v>
      </c>
      <c r="C267" s="334">
        <v>3.38</v>
      </c>
      <c r="D267" s="335">
        <v>4.1500000000000004</v>
      </c>
      <c r="E267" s="334">
        <v>5.45</v>
      </c>
      <c r="F267" s="333">
        <v>5.45</v>
      </c>
    </row>
    <row r="268" spans="1:6" customFormat="1" ht="12.75">
      <c r="A268" s="336">
        <v>258</v>
      </c>
      <c r="B268" s="335">
        <v>3.39</v>
      </c>
      <c r="C268" s="334">
        <v>3.39</v>
      </c>
      <c r="D268" s="335">
        <v>4.17</v>
      </c>
      <c r="E268" s="334">
        <v>5.45</v>
      </c>
      <c r="F268" s="333">
        <v>5.45</v>
      </c>
    </row>
    <row r="269" spans="1:6" customFormat="1" ht="12.75">
      <c r="A269" s="336">
        <v>259</v>
      </c>
      <c r="B269" s="335">
        <v>3.41</v>
      </c>
      <c r="C269" s="334">
        <v>3.41</v>
      </c>
      <c r="D269" s="335">
        <v>4.18</v>
      </c>
      <c r="E269" s="334">
        <v>5.45</v>
      </c>
      <c r="F269" s="333">
        <v>5.45</v>
      </c>
    </row>
    <row r="270" spans="1:6" customFormat="1" ht="12.75">
      <c r="A270" s="336">
        <v>260</v>
      </c>
      <c r="B270" s="335">
        <v>3.43</v>
      </c>
      <c r="C270" s="334">
        <v>3.43</v>
      </c>
      <c r="D270" s="335">
        <v>4.2</v>
      </c>
      <c r="E270" s="334">
        <v>5.5</v>
      </c>
      <c r="F270" s="333">
        <v>5.5</v>
      </c>
    </row>
    <row r="271" spans="1:6" customFormat="1" ht="12.75">
      <c r="A271" s="336">
        <v>261</v>
      </c>
      <c r="B271" s="335">
        <v>3.43</v>
      </c>
      <c r="C271" s="334">
        <v>3.43</v>
      </c>
      <c r="D271" s="335">
        <v>4.21</v>
      </c>
      <c r="E271" s="334">
        <v>5.5</v>
      </c>
      <c r="F271" s="333">
        <v>5.5</v>
      </c>
    </row>
    <row r="272" spans="1:6" customFormat="1" ht="12.75">
      <c r="A272" s="336">
        <v>262</v>
      </c>
      <c r="B272" s="335">
        <v>3.44</v>
      </c>
      <c r="C272" s="334">
        <v>3.44</v>
      </c>
      <c r="D272" s="335">
        <v>4.2300000000000004</v>
      </c>
      <c r="E272" s="334">
        <v>5.55</v>
      </c>
      <c r="F272" s="333">
        <v>5.55</v>
      </c>
    </row>
    <row r="273" spans="1:6" customFormat="1" ht="12.75">
      <c r="A273" s="336">
        <v>263</v>
      </c>
      <c r="B273" s="335">
        <v>3.45</v>
      </c>
      <c r="C273" s="334">
        <v>3.45</v>
      </c>
      <c r="D273" s="335">
        <v>4.24</v>
      </c>
      <c r="E273" s="334">
        <v>5.55</v>
      </c>
      <c r="F273" s="333">
        <v>5.55</v>
      </c>
    </row>
    <row r="274" spans="1:6" customFormat="1" ht="12.75">
      <c r="A274" s="336">
        <v>264</v>
      </c>
      <c r="B274" s="335">
        <v>3.46</v>
      </c>
      <c r="C274" s="334">
        <v>3.46</v>
      </c>
      <c r="D274" s="335">
        <v>4.26</v>
      </c>
      <c r="E274" s="334">
        <v>5.55</v>
      </c>
      <c r="F274" s="333">
        <v>5.55</v>
      </c>
    </row>
    <row r="275" spans="1:6" customFormat="1" ht="12.75">
      <c r="A275" s="336">
        <v>265</v>
      </c>
      <c r="B275" s="335">
        <v>3.48</v>
      </c>
      <c r="C275" s="334">
        <v>3.48</v>
      </c>
      <c r="D275" s="335">
        <v>4.2699999999999996</v>
      </c>
      <c r="E275" s="334">
        <v>5.6</v>
      </c>
      <c r="F275" s="333">
        <v>5.6</v>
      </c>
    </row>
    <row r="276" spans="1:6" customFormat="1" ht="12.75">
      <c r="A276" s="336">
        <v>266</v>
      </c>
      <c r="B276" s="335">
        <v>3.5</v>
      </c>
      <c r="C276" s="334">
        <v>3.5</v>
      </c>
      <c r="D276" s="335">
        <v>4.29</v>
      </c>
      <c r="E276" s="334">
        <v>5.6</v>
      </c>
      <c r="F276" s="333">
        <v>5.6</v>
      </c>
    </row>
    <row r="277" spans="1:6" customFormat="1" ht="12.75">
      <c r="A277" s="336">
        <v>267</v>
      </c>
      <c r="B277" s="335">
        <v>3.5</v>
      </c>
      <c r="C277" s="334">
        <v>3.5</v>
      </c>
      <c r="D277" s="335">
        <v>4.3</v>
      </c>
      <c r="E277" s="334">
        <v>5.65</v>
      </c>
      <c r="F277" s="333">
        <v>5.65</v>
      </c>
    </row>
    <row r="278" spans="1:6" customFormat="1" ht="12.75">
      <c r="A278" s="336">
        <v>268</v>
      </c>
      <c r="B278" s="335">
        <v>3.51</v>
      </c>
      <c r="C278" s="334">
        <v>3.51</v>
      </c>
      <c r="D278" s="335">
        <v>4.32</v>
      </c>
      <c r="E278" s="334">
        <v>5.65</v>
      </c>
      <c r="F278" s="333">
        <v>5.65</v>
      </c>
    </row>
    <row r="279" spans="1:6" customFormat="1" ht="12.75">
      <c r="A279" s="336">
        <v>269</v>
      </c>
      <c r="B279" s="335">
        <v>3.53</v>
      </c>
      <c r="C279" s="334">
        <v>3.53</v>
      </c>
      <c r="D279" s="335">
        <v>4.33</v>
      </c>
      <c r="E279" s="334">
        <v>5.65</v>
      </c>
      <c r="F279" s="333">
        <v>5.65</v>
      </c>
    </row>
    <row r="280" spans="1:6" customFormat="1" ht="12.75">
      <c r="A280" s="336">
        <v>270</v>
      </c>
      <c r="B280" s="335">
        <v>3.54</v>
      </c>
      <c r="C280" s="334">
        <v>3.54</v>
      </c>
      <c r="D280" s="335">
        <v>4.3499999999999996</v>
      </c>
      <c r="E280" s="334">
        <v>5.7</v>
      </c>
      <c r="F280" s="333">
        <v>5.7</v>
      </c>
    </row>
    <row r="281" spans="1:6" customFormat="1" ht="12.75">
      <c r="A281" s="336">
        <v>271</v>
      </c>
      <c r="B281" s="335">
        <v>3.55</v>
      </c>
      <c r="C281" s="334">
        <v>3.55</v>
      </c>
      <c r="D281" s="335">
        <v>4.3600000000000003</v>
      </c>
      <c r="E281" s="334">
        <v>5.7</v>
      </c>
      <c r="F281" s="333">
        <v>5.7</v>
      </c>
    </row>
    <row r="282" spans="1:6" customFormat="1" ht="12.75">
      <c r="A282" s="336">
        <v>272</v>
      </c>
      <c r="B282" s="335">
        <v>3.58</v>
      </c>
      <c r="C282" s="334">
        <v>3.58</v>
      </c>
      <c r="D282" s="335">
        <v>4.38</v>
      </c>
      <c r="E282" s="334">
        <v>5.7</v>
      </c>
      <c r="F282" s="333">
        <v>5.7</v>
      </c>
    </row>
    <row r="283" spans="1:6" customFormat="1" ht="12.75">
      <c r="A283" s="336">
        <v>273</v>
      </c>
      <c r="B283" s="335">
        <v>3.58</v>
      </c>
      <c r="C283" s="334">
        <v>3.58</v>
      </c>
      <c r="D283" s="335">
        <v>4.3899999999999997</v>
      </c>
      <c r="E283" s="334">
        <v>5.75</v>
      </c>
      <c r="F283" s="333">
        <v>5.75</v>
      </c>
    </row>
    <row r="284" spans="1:6" customFormat="1" ht="12.75">
      <c r="A284" s="336">
        <v>274</v>
      </c>
      <c r="B284" s="335">
        <v>3.59</v>
      </c>
      <c r="C284" s="334">
        <v>3.59</v>
      </c>
      <c r="D284" s="335">
        <v>4.41</v>
      </c>
      <c r="E284" s="334">
        <v>5.75</v>
      </c>
      <c r="F284" s="333">
        <v>5.75</v>
      </c>
    </row>
    <row r="285" spans="1:6" customFormat="1" ht="12.75">
      <c r="A285" s="336">
        <v>275</v>
      </c>
      <c r="B285" s="335">
        <v>3.6</v>
      </c>
      <c r="C285" s="334">
        <v>3.6</v>
      </c>
      <c r="D285" s="335">
        <v>4.42</v>
      </c>
      <c r="E285" s="334">
        <v>5.8</v>
      </c>
      <c r="F285" s="333">
        <v>5.8</v>
      </c>
    </row>
    <row r="286" spans="1:6" customFormat="1" ht="12.75">
      <c r="A286" s="336">
        <v>276</v>
      </c>
      <c r="B286" s="335">
        <v>3.61</v>
      </c>
      <c r="C286" s="334">
        <v>3.61</v>
      </c>
      <c r="D286" s="335">
        <v>4.4400000000000004</v>
      </c>
      <c r="E286" s="334">
        <v>5.8</v>
      </c>
      <c r="F286" s="333">
        <v>5.8</v>
      </c>
    </row>
    <row r="287" spans="1:6" customFormat="1" ht="12.75">
      <c r="A287" s="336">
        <v>277</v>
      </c>
      <c r="B287" s="335">
        <v>3.63</v>
      </c>
      <c r="C287" s="334">
        <v>3.63</v>
      </c>
      <c r="D287" s="335">
        <v>4.45</v>
      </c>
      <c r="E287" s="334">
        <v>5.8</v>
      </c>
      <c r="F287" s="333">
        <v>5.8</v>
      </c>
    </row>
    <row r="288" spans="1:6" customFormat="1" ht="12.75">
      <c r="A288" s="336">
        <v>278</v>
      </c>
      <c r="B288" s="335">
        <v>3.64</v>
      </c>
      <c r="C288" s="334">
        <v>3.64</v>
      </c>
      <c r="D288" s="335">
        <v>4.47</v>
      </c>
      <c r="E288" s="334">
        <v>5.85</v>
      </c>
      <c r="F288" s="333">
        <v>5.85</v>
      </c>
    </row>
    <row r="289" spans="1:6" customFormat="1" ht="12.75">
      <c r="A289" s="336">
        <v>279</v>
      </c>
      <c r="B289" s="335">
        <v>3.64</v>
      </c>
      <c r="C289" s="334">
        <v>3.64</v>
      </c>
      <c r="D289" s="335">
        <v>4.4800000000000004</v>
      </c>
      <c r="E289" s="334">
        <v>5.85</v>
      </c>
      <c r="F289" s="333">
        <v>5.85</v>
      </c>
    </row>
    <row r="290" spans="1:6" customFormat="1" ht="12.75">
      <c r="A290" s="336">
        <v>280</v>
      </c>
      <c r="B290" s="335">
        <v>3.66</v>
      </c>
      <c r="C290" s="334">
        <v>3.66</v>
      </c>
      <c r="D290" s="335">
        <v>4.5</v>
      </c>
      <c r="E290" s="334">
        <v>5.9</v>
      </c>
      <c r="F290" s="333">
        <v>5.9</v>
      </c>
    </row>
    <row r="291" spans="1:6" customFormat="1" ht="12.75">
      <c r="A291" s="336">
        <v>281</v>
      </c>
      <c r="B291" s="335">
        <v>3.68</v>
      </c>
      <c r="C291" s="334">
        <v>3.68</v>
      </c>
      <c r="D291" s="335">
        <v>4.51</v>
      </c>
      <c r="E291" s="334">
        <v>5.9</v>
      </c>
      <c r="F291" s="333">
        <v>5.9</v>
      </c>
    </row>
    <row r="292" spans="1:6" customFormat="1" ht="12.75">
      <c r="A292" s="336">
        <v>282</v>
      </c>
      <c r="B292" s="335">
        <v>3.69</v>
      </c>
      <c r="C292" s="334">
        <v>3.69</v>
      </c>
      <c r="D292" s="335">
        <v>4.53</v>
      </c>
      <c r="E292" s="334">
        <v>5.9</v>
      </c>
      <c r="F292" s="333">
        <v>5.9</v>
      </c>
    </row>
    <row r="293" spans="1:6" customFormat="1" ht="12.75">
      <c r="A293" s="336">
        <v>283</v>
      </c>
      <c r="B293" s="335">
        <v>3.7</v>
      </c>
      <c r="C293" s="334">
        <v>3.7</v>
      </c>
      <c r="D293" s="335">
        <v>4.54</v>
      </c>
      <c r="E293" s="334">
        <v>5.95</v>
      </c>
      <c r="F293" s="333">
        <v>5.95</v>
      </c>
    </row>
    <row r="294" spans="1:6" customFormat="1" ht="12.75">
      <c r="A294" s="336">
        <v>284</v>
      </c>
      <c r="B294" s="335">
        <v>3.71</v>
      </c>
      <c r="C294" s="334">
        <v>3.71</v>
      </c>
      <c r="D294" s="335">
        <v>4.55</v>
      </c>
      <c r="E294" s="334">
        <v>5.95</v>
      </c>
      <c r="F294" s="333">
        <v>5.95</v>
      </c>
    </row>
    <row r="295" spans="1:6" customFormat="1" ht="12.75">
      <c r="A295" s="336">
        <v>285</v>
      </c>
      <c r="B295" s="335">
        <v>3.71</v>
      </c>
      <c r="C295" s="334">
        <v>3.71</v>
      </c>
      <c r="D295" s="335">
        <v>4.57</v>
      </c>
      <c r="E295" s="334">
        <v>6</v>
      </c>
      <c r="F295" s="333">
        <v>6</v>
      </c>
    </row>
    <row r="296" spans="1:6" customFormat="1" ht="12.75">
      <c r="A296" s="336">
        <v>286</v>
      </c>
      <c r="B296" s="335">
        <v>3.74</v>
      </c>
      <c r="C296" s="334">
        <v>3.74</v>
      </c>
      <c r="D296" s="335">
        <v>4.58</v>
      </c>
      <c r="E296" s="334">
        <v>6</v>
      </c>
      <c r="F296" s="333">
        <v>6</v>
      </c>
    </row>
    <row r="297" spans="1:6" customFormat="1" ht="12.75">
      <c r="A297" s="332">
        <v>287</v>
      </c>
      <c r="B297" s="331">
        <v>3.75</v>
      </c>
      <c r="C297" s="330">
        <v>3.75</v>
      </c>
      <c r="D297" s="331">
        <v>4.5999999999999996</v>
      </c>
      <c r="E297" s="330">
        <v>6</v>
      </c>
      <c r="F297" s="329">
        <v>6</v>
      </c>
    </row>
  </sheetData>
  <mergeCells count="1">
    <mergeCell ref="A9:A10"/>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dimension ref="A1:GI193"/>
  <sheetViews>
    <sheetView workbookViewId="0">
      <selection activeCell="AW18" sqref="AW18"/>
    </sheetView>
  </sheetViews>
  <sheetFormatPr defaultRowHeight="12.75"/>
  <cols>
    <col min="1" max="1" width="18.140625" style="358" customWidth="1"/>
    <col min="2" max="191" width="10.7109375" style="358" customWidth="1"/>
  </cols>
  <sheetData>
    <row r="1" spans="1:191" ht="15.75">
      <c r="A1" s="365" t="s">
        <v>497</v>
      </c>
      <c r="B1" s="365"/>
      <c r="C1" s="365"/>
      <c r="D1" s="365"/>
      <c r="E1" s="365"/>
      <c r="F1" s="365"/>
      <c r="G1" s="365"/>
      <c r="H1" s="365"/>
      <c r="I1" s="365"/>
      <c r="J1" s="365"/>
      <c r="K1" s="365"/>
      <c r="L1" s="365"/>
      <c r="M1" s="365"/>
      <c r="N1" s="365"/>
      <c r="O1" s="365"/>
      <c r="P1" s="365"/>
      <c r="Q1" s="365"/>
      <c r="R1" s="365"/>
      <c r="S1" s="365"/>
      <c r="T1" s="365"/>
      <c r="U1" s="365"/>
      <c r="V1" s="365"/>
      <c r="W1" s="365"/>
      <c r="X1" s="365"/>
      <c r="Y1" s="365"/>
      <c r="Z1" s="365"/>
      <c r="AA1" s="365"/>
      <c r="AB1" s="365"/>
      <c r="AC1" s="365"/>
      <c r="AD1" s="365"/>
      <c r="AE1" s="365"/>
      <c r="AF1" s="365"/>
      <c r="AG1" s="365"/>
      <c r="AH1" s="365"/>
      <c r="AI1" s="365"/>
      <c r="AJ1" s="365"/>
      <c r="AK1" s="365"/>
      <c r="AL1" s="365"/>
      <c r="AM1" s="365"/>
      <c r="AN1" s="365"/>
      <c r="AO1" s="365"/>
      <c r="AP1" s="365"/>
      <c r="AQ1" s="365"/>
      <c r="AR1" s="365"/>
      <c r="AS1" s="365"/>
      <c r="AT1" s="365"/>
      <c r="AU1" s="365"/>
      <c r="AV1" s="365"/>
      <c r="AW1" s="365"/>
      <c r="AX1" s="365"/>
      <c r="AY1" s="365"/>
      <c r="AZ1" s="365"/>
      <c r="BA1" s="365"/>
      <c r="BB1" s="365"/>
      <c r="BC1" s="365"/>
      <c r="BD1" s="365"/>
      <c r="BE1" s="365"/>
      <c r="BF1" s="365"/>
      <c r="BG1" s="365"/>
      <c r="BH1" s="365"/>
      <c r="BI1" s="365"/>
      <c r="BJ1" s="365"/>
      <c r="BK1" s="365"/>
      <c r="BL1" s="365"/>
      <c r="BM1" s="365"/>
      <c r="BN1" s="365"/>
      <c r="BO1" s="365"/>
      <c r="BP1" s="365"/>
      <c r="BQ1" s="365"/>
      <c r="BR1" s="365"/>
      <c r="BS1" s="365"/>
      <c r="BT1" s="365"/>
      <c r="BU1" s="365"/>
      <c r="BV1" s="365"/>
      <c r="BW1" s="365"/>
      <c r="BX1" s="365"/>
      <c r="BY1" s="365"/>
      <c r="BZ1" s="365"/>
      <c r="CA1" s="365"/>
      <c r="CB1" s="365"/>
      <c r="CC1" s="365"/>
      <c r="CD1" s="365"/>
      <c r="CE1" s="365"/>
      <c r="CF1" s="365"/>
      <c r="CG1" s="365"/>
      <c r="CH1" s="365"/>
      <c r="CI1" s="365"/>
      <c r="CJ1" s="365"/>
      <c r="CK1" s="365"/>
      <c r="CL1" s="365"/>
      <c r="CM1" s="365"/>
      <c r="CN1" s="365"/>
      <c r="CO1" s="365"/>
      <c r="CP1" s="365"/>
      <c r="CQ1" s="365"/>
      <c r="CR1" s="365"/>
      <c r="CS1" s="365"/>
      <c r="CT1" s="365"/>
      <c r="CU1" s="365"/>
      <c r="CV1" s="365"/>
      <c r="CW1" s="365"/>
      <c r="CX1" s="365"/>
      <c r="CY1" s="365"/>
      <c r="CZ1" s="365"/>
      <c r="DA1" s="365"/>
      <c r="DB1" s="365"/>
      <c r="DC1" s="365"/>
      <c r="DD1" s="365"/>
      <c r="DE1" s="365"/>
      <c r="DF1" s="365"/>
      <c r="DG1" s="365"/>
      <c r="DH1" s="365"/>
      <c r="DI1" s="365"/>
      <c r="DJ1" s="365"/>
      <c r="DK1" s="365"/>
      <c r="DL1" s="365"/>
      <c r="DM1" s="365"/>
      <c r="DN1" s="365"/>
      <c r="DO1" s="365"/>
      <c r="DP1" s="365"/>
      <c r="DQ1" s="365"/>
      <c r="DR1" s="365"/>
      <c r="DS1" s="365"/>
      <c r="DT1" s="365"/>
      <c r="DU1" s="365"/>
      <c r="DV1" s="365"/>
      <c r="DW1" s="365"/>
      <c r="DX1" s="365"/>
      <c r="DY1" s="365"/>
      <c r="DZ1" s="365"/>
      <c r="EA1" s="365"/>
      <c r="EB1" s="365"/>
      <c r="EC1" s="365"/>
      <c r="ED1" s="365"/>
      <c r="EE1" s="365"/>
      <c r="EF1" s="365"/>
      <c r="EG1" s="365"/>
      <c r="EH1" s="365"/>
      <c r="EI1" s="365"/>
      <c r="EJ1" s="365"/>
      <c r="EK1" s="365"/>
      <c r="EL1" s="365"/>
      <c r="EM1" s="365"/>
      <c r="EN1" s="365"/>
      <c r="EO1" s="365"/>
      <c r="EP1" s="365"/>
      <c r="EQ1" s="365"/>
      <c r="ER1" s="365"/>
      <c r="ES1" s="365"/>
      <c r="ET1" s="365"/>
      <c r="EU1" s="365"/>
      <c r="EV1" s="365"/>
      <c r="EW1" s="365"/>
      <c r="EX1" s="365"/>
      <c r="EY1" s="365"/>
      <c r="EZ1" s="365"/>
      <c r="FA1" s="365"/>
      <c r="FB1" s="365"/>
      <c r="FC1" s="365"/>
      <c r="FD1" s="365"/>
      <c r="FE1" s="365"/>
      <c r="FF1" s="365"/>
      <c r="FG1" s="365"/>
      <c r="FH1" s="365"/>
      <c r="FI1" s="365"/>
      <c r="FJ1" s="365"/>
      <c r="FK1" s="365"/>
      <c r="FL1" s="365"/>
      <c r="FM1" s="365"/>
      <c r="FN1" s="365"/>
      <c r="FO1" s="365"/>
      <c r="FP1" s="365"/>
      <c r="FQ1" s="365"/>
      <c r="FR1" s="365"/>
      <c r="FS1" s="365"/>
      <c r="FT1" s="365"/>
      <c r="FU1" s="365"/>
      <c r="FV1" s="365"/>
      <c r="FW1" s="365"/>
      <c r="FX1" s="365"/>
      <c r="FY1" s="365"/>
      <c r="FZ1" s="365"/>
      <c r="GA1" s="365"/>
      <c r="GB1" s="365"/>
      <c r="GC1" s="365"/>
      <c r="GD1" s="365"/>
      <c r="GE1" s="365"/>
      <c r="GF1" s="365"/>
      <c r="GG1" s="365"/>
      <c r="GH1" s="365"/>
      <c r="GI1" s="365"/>
    </row>
    <row r="3" spans="1:191">
      <c r="A3" s="364" t="s">
        <v>496</v>
      </c>
      <c r="B3" s="363" t="s">
        <v>495</v>
      </c>
      <c r="C3" s="363" t="s">
        <v>494</v>
      </c>
      <c r="D3" s="363" t="s">
        <v>493</v>
      </c>
      <c r="E3" s="363" t="s">
        <v>492</v>
      </c>
      <c r="F3" s="363" t="s">
        <v>491</v>
      </c>
      <c r="G3" s="363" t="s">
        <v>490</v>
      </c>
      <c r="H3" s="363" t="s">
        <v>489</v>
      </c>
      <c r="I3" s="363" t="s">
        <v>488</v>
      </c>
      <c r="J3" s="363" t="s">
        <v>487</v>
      </c>
      <c r="K3" s="363" t="s">
        <v>486</v>
      </c>
      <c r="L3" s="363" t="s">
        <v>485</v>
      </c>
      <c r="M3" s="363" t="s">
        <v>484</v>
      </c>
      <c r="N3" s="363" t="s">
        <v>483</v>
      </c>
      <c r="O3" s="363" t="s">
        <v>482</v>
      </c>
      <c r="P3" s="363" t="s">
        <v>481</v>
      </c>
      <c r="Q3" s="363" t="s">
        <v>480</v>
      </c>
      <c r="R3" s="363" t="s">
        <v>479</v>
      </c>
      <c r="S3" s="363" t="s">
        <v>478</v>
      </c>
      <c r="T3" s="363" t="s">
        <v>477</v>
      </c>
      <c r="U3" s="363" t="s">
        <v>476</v>
      </c>
      <c r="V3" s="363" t="s">
        <v>475</v>
      </c>
      <c r="W3" s="363" t="s">
        <v>474</v>
      </c>
      <c r="X3" s="363" t="s">
        <v>473</v>
      </c>
      <c r="Y3" s="363" t="s">
        <v>472</v>
      </c>
      <c r="Z3" s="363" t="s">
        <v>471</v>
      </c>
      <c r="AA3" s="363" t="s">
        <v>470</v>
      </c>
      <c r="AB3" s="363" t="s">
        <v>469</v>
      </c>
      <c r="AC3" s="363" t="s">
        <v>468</v>
      </c>
      <c r="AD3" s="363" t="s">
        <v>467</v>
      </c>
      <c r="AE3" s="363" t="s">
        <v>466</v>
      </c>
      <c r="AF3" s="363" t="s">
        <v>465</v>
      </c>
      <c r="AG3" s="363" t="s">
        <v>464</v>
      </c>
      <c r="AH3" s="363" t="s">
        <v>463</v>
      </c>
      <c r="AI3" s="363" t="s">
        <v>462</v>
      </c>
      <c r="AJ3" s="363" t="s">
        <v>461</v>
      </c>
      <c r="AK3" s="363" t="s">
        <v>460</v>
      </c>
      <c r="AL3" s="363" t="s">
        <v>459</v>
      </c>
      <c r="AM3" s="363" t="s">
        <v>458</v>
      </c>
      <c r="AN3" s="363" t="s">
        <v>457</v>
      </c>
      <c r="AO3" s="363" t="s">
        <v>456</v>
      </c>
      <c r="AP3" s="363" t="s">
        <v>455</v>
      </c>
      <c r="AQ3" s="363" t="s">
        <v>454</v>
      </c>
      <c r="AR3" s="363" t="s">
        <v>453</v>
      </c>
      <c r="AS3" s="363" t="s">
        <v>452</v>
      </c>
      <c r="AT3" s="363" t="s">
        <v>451</v>
      </c>
      <c r="AU3" s="363" t="s">
        <v>450</v>
      </c>
      <c r="AV3" s="363" t="s">
        <v>449</v>
      </c>
      <c r="AW3" s="363" t="s">
        <v>448</v>
      </c>
      <c r="AX3" s="363" t="s">
        <v>447</v>
      </c>
      <c r="AY3" s="363" t="s">
        <v>446</v>
      </c>
      <c r="AZ3" s="363" t="s">
        <v>445</v>
      </c>
      <c r="BA3" s="363" t="s">
        <v>444</v>
      </c>
      <c r="BB3" s="363" t="s">
        <v>443</v>
      </c>
      <c r="BC3" s="363" t="s">
        <v>442</v>
      </c>
      <c r="BD3" s="363" t="s">
        <v>441</v>
      </c>
      <c r="BE3" s="363" t="s">
        <v>440</v>
      </c>
      <c r="BF3" s="363" t="s">
        <v>439</v>
      </c>
      <c r="BG3" s="363" t="s">
        <v>438</v>
      </c>
      <c r="BH3" s="363" t="s">
        <v>437</v>
      </c>
      <c r="BI3" s="363" t="s">
        <v>436</v>
      </c>
      <c r="BJ3" s="363" t="s">
        <v>435</v>
      </c>
      <c r="BK3" s="363" t="s">
        <v>434</v>
      </c>
      <c r="BL3" s="363" t="s">
        <v>433</v>
      </c>
      <c r="BM3" s="363" t="s">
        <v>432</v>
      </c>
      <c r="BN3" s="363" t="s">
        <v>431</v>
      </c>
      <c r="BO3" s="363" t="s">
        <v>430</v>
      </c>
      <c r="BP3" s="363" t="s">
        <v>429</v>
      </c>
      <c r="BQ3" s="363" t="s">
        <v>428</v>
      </c>
      <c r="BR3" s="363" t="s">
        <v>427</v>
      </c>
      <c r="BS3" s="363" t="s">
        <v>426</v>
      </c>
      <c r="BT3" s="363" t="s">
        <v>425</v>
      </c>
      <c r="BU3" s="363" t="s">
        <v>424</v>
      </c>
      <c r="BV3" s="363" t="s">
        <v>423</v>
      </c>
      <c r="BW3" s="363" t="s">
        <v>422</v>
      </c>
      <c r="BX3" s="363" t="s">
        <v>421</v>
      </c>
      <c r="BY3" s="363" t="s">
        <v>420</v>
      </c>
      <c r="BZ3" s="363" t="s">
        <v>419</v>
      </c>
      <c r="CA3" s="363" t="s">
        <v>418</v>
      </c>
      <c r="CB3" s="363" t="s">
        <v>417</v>
      </c>
      <c r="CC3" s="363" t="s">
        <v>416</v>
      </c>
      <c r="CD3" s="363" t="s">
        <v>415</v>
      </c>
      <c r="CE3" s="363" t="s">
        <v>414</v>
      </c>
      <c r="CF3" s="363" t="s">
        <v>413</v>
      </c>
      <c r="CG3" s="363" t="s">
        <v>412</v>
      </c>
      <c r="CH3" s="363" t="s">
        <v>411</v>
      </c>
      <c r="CI3" s="363" t="s">
        <v>410</v>
      </c>
      <c r="CJ3" s="363" t="s">
        <v>409</v>
      </c>
      <c r="CK3" s="363" t="s">
        <v>408</v>
      </c>
      <c r="CL3" s="363" t="s">
        <v>407</v>
      </c>
      <c r="CM3" s="363" t="s">
        <v>406</v>
      </c>
      <c r="CN3" s="363" t="s">
        <v>405</v>
      </c>
      <c r="CO3" s="363" t="s">
        <v>404</v>
      </c>
      <c r="CP3" s="363" t="s">
        <v>403</v>
      </c>
      <c r="CQ3" s="363" t="s">
        <v>402</v>
      </c>
      <c r="CR3" s="363" t="s">
        <v>401</v>
      </c>
      <c r="CS3" s="363" t="s">
        <v>400</v>
      </c>
      <c r="CT3" s="363" t="s">
        <v>399</v>
      </c>
      <c r="CU3" s="363" t="s">
        <v>398</v>
      </c>
      <c r="CV3" s="363" t="s">
        <v>397</v>
      </c>
      <c r="CW3" s="363" t="s">
        <v>396</v>
      </c>
      <c r="CX3" s="363" t="s">
        <v>395</v>
      </c>
      <c r="CY3" s="363" t="s">
        <v>394</v>
      </c>
      <c r="CZ3" s="363" t="s">
        <v>393</v>
      </c>
      <c r="DA3" s="363" t="s">
        <v>392</v>
      </c>
      <c r="DB3" s="363" t="s">
        <v>391</v>
      </c>
      <c r="DC3" s="363" t="s">
        <v>390</v>
      </c>
      <c r="DD3" s="363" t="s">
        <v>389</v>
      </c>
      <c r="DE3" s="363" t="s">
        <v>388</v>
      </c>
      <c r="DF3" s="363" t="s">
        <v>387</v>
      </c>
      <c r="DG3" s="363" t="s">
        <v>386</v>
      </c>
      <c r="DH3" s="363" t="s">
        <v>385</v>
      </c>
      <c r="DI3" s="363" t="s">
        <v>384</v>
      </c>
      <c r="DJ3" s="363" t="s">
        <v>383</v>
      </c>
      <c r="DK3" s="363" t="s">
        <v>382</v>
      </c>
      <c r="DL3" s="363" t="s">
        <v>381</v>
      </c>
      <c r="DM3" s="363" t="s">
        <v>380</v>
      </c>
      <c r="DN3" s="363" t="s">
        <v>379</v>
      </c>
      <c r="DO3" s="363" t="s">
        <v>378</v>
      </c>
      <c r="DP3" s="363" t="s">
        <v>377</v>
      </c>
      <c r="DQ3" s="363" t="s">
        <v>376</v>
      </c>
      <c r="DR3" s="363" t="s">
        <v>375</v>
      </c>
      <c r="DS3" s="363" t="s">
        <v>374</v>
      </c>
      <c r="DT3" s="363" t="s">
        <v>373</v>
      </c>
      <c r="DU3" s="363" t="s">
        <v>372</v>
      </c>
      <c r="DV3" s="363" t="s">
        <v>371</v>
      </c>
      <c r="DW3" s="363" t="s">
        <v>370</v>
      </c>
      <c r="DX3" s="363" t="s">
        <v>369</v>
      </c>
      <c r="DY3" s="363" t="s">
        <v>368</v>
      </c>
      <c r="DZ3" s="363" t="s">
        <v>367</v>
      </c>
      <c r="EA3" s="363" t="s">
        <v>366</v>
      </c>
      <c r="EB3" s="363" t="s">
        <v>365</v>
      </c>
      <c r="EC3" s="363" t="s">
        <v>364</v>
      </c>
      <c r="ED3" s="363" t="s">
        <v>363</v>
      </c>
      <c r="EE3" s="363" t="s">
        <v>362</v>
      </c>
      <c r="EF3" s="363" t="s">
        <v>361</v>
      </c>
      <c r="EG3" s="363" t="s">
        <v>360</v>
      </c>
      <c r="EH3" s="363" t="s">
        <v>359</v>
      </c>
      <c r="EI3" s="363" t="s">
        <v>358</v>
      </c>
      <c r="EJ3" s="363" t="s">
        <v>357</v>
      </c>
      <c r="EK3" s="363" t="s">
        <v>356</v>
      </c>
      <c r="EL3" s="363" t="s">
        <v>355</v>
      </c>
      <c r="EM3" s="363" t="s">
        <v>354</v>
      </c>
      <c r="EN3" s="363" t="s">
        <v>353</v>
      </c>
      <c r="EO3" s="363" t="s">
        <v>352</v>
      </c>
      <c r="EP3" s="363" t="s">
        <v>351</v>
      </c>
      <c r="EQ3" s="363" t="s">
        <v>350</v>
      </c>
      <c r="ER3" s="363" t="s">
        <v>349</v>
      </c>
      <c r="ES3" s="363" t="s">
        <v>348</v>
      </c>
      <c r="ET3" s="363" t="s">
        <v>347</v>
      </c>
      <c r="EU3" s="363" t="s">
        <v>346</v>
      </c>
      <c r="EV3" s="363" t="s">
        <v>345</v>
      </c>
      <c r="EW3" s="363" t="s">
        <v>344</v>
      </c>
      <c r="EX3" s="363" t="s">
        <v>343</v>
      </c>
      <c r="EY3" s="363" t="s">
        <v>342</v>
      </c>
      <c r="EZ3" s="363" t="s">
        <v>341</v>
      </c>
      <c r="FA3" s="363" t="s">
        <v>340</v>
      </c>
      <c r="FB3" s="363" t="s">
        <v>339</v>
      </c>
      <c r="FC3" s="363" t="s">
        <v>338</v>
      </c>
      <c r="FD3" s="363" t="s">
        <v>337</v>
      </c>
      <c r="FE3" s="363" t="s">
        <v>336</v>
      </c>
      <c r="FF3" s="363" t="s">
        <v>335</v>
      </c>
      <c r="FG3" s="363" t="s">
        <v>334</v>
      </c>
      <c r="FH3" s="363" t="s">
        <v>333</v>
      </c>
      <c r="FI3" s="363" t="s">
        <v>332</v>
      </c>
      <c r="FJ3" s="363" t="s">
        <v>331</v>
      </c>
      <c r="FK3" s="363" t="s">
        <v>330</v>
      </c>
      <c r="FL3" s="363" t="s">
        <v>329</v>
      </c>
      <c r="FM3" s="363" t="s">
        <v>328</v>
      </c>
      <c r="FN3" s="363" t="s">
        <v>327</v>
      </c>
      <c r="FO3" s="363" t="s">
        <v>326</v>
      </c>
      <c r="FP3" s="363" t="s">
        <v>325</v>
      </c>
      <c r="FQ3" s="363" t="s">
        <v>324</v>
      </c>
      <c r="FR3" s="363" t="s">
        <v>323</v>
      </c>
      <c r="FS3" s="363" t="s">
        <v>322</v>
      </c>
      <c r="FT3" s="363" t="s">
        <v>321</v>
      </c>
      <c r="FU3" s="363" t="s">
        <v>320</v>
      </c>
      <c r="FV3" s="363" t="s">
        <v>319</v>
      </c>
      <c r="FW3" s="363" t="s">
        <v>318</v>
      </c>
      <c r="FX3" s="363" t="s">
        <v>317</v>
      </c>
      <c r="FY3" s="363" t="s">
        <v>316</v>
      </c>
      <c r="FZ3" s="363" t="s">
        <v>315</v>
      </c>
      <c r="GA3" s="363" t="s">
        <v>314</v>
      </c>
      <c r="GB3" s="363" t="s">
        <v>313</v>
      </c>
      <c r="GC3" s="363" t="s">
        <v>312</v>
      </c>
      <c r="GD3" s="363" t="s">
        <v>311</v>
      </c>
      <c r="GE3" s="363" t="s">
        <v>158</v>
      </c>
      <c r="GF3" s="363" t="s">
        <v>310</v>
      </c>
      <c r="GG3" s="363" t="s">
        <v>309</v>
      </c>
      <c r="GH3" s="363" t="s">
        <v>308</v>
      </c>
      <c r="GI3" s="362" t="s">
        <v>307</v>
      </c>
    </row>
    <row r="4" spans="1:191">
      <c r="A4" s="336" t="s">
        <v>495</v>
      </c>
      <c r="C4" s="358">
        <v>4</v>
      </c>
      <c r="D4" s="358">
        <v>6</v>
      </c>
      <c r="E4" s="358">
        <v>7</v>
      </c>
      <c r="F4" s="358">
        <v>10</v>
      </c>
      <c r="G4" s="358">
        <v>13</v>
      </c>
      <c r="H4" s="358">
        <v>16</v>
      </c>
      <c r="I4" s="358">
        <v>18</v>
      </c>
      <c r="J4" s="358">
        <v>21</v>
      </c>
      <c r="K4" s="358">
        <v>25</v>
      </c>
      <c r="L4" s="358">
        <v>27</v>
      </c>
      <c r="M4" s="358">
        <v>30</v>
      </c>
      <c r="N4" s="358">
        <v>32</v>
      </c>
      <c r="O4" s="358">
        <v>37</v>
      </c>
      <c r="P4" s="358">
        <v>43</v>
      </c>
      <c r="Q4" s="358">
        <v>45</v>
      </c>
      <c r="R4" s="358">
        <v>48</v>
      </c>
      <c r="S4" s="358">
        <v>50</v>
      </c>
      <c r="T4" s="358">
        <v>53</v>
      </c>
      <c r="U4" s="358">
        <v>56</v>
      </c>
      <c r="V4" s="358">
        <v>2</v>
      </c>
      <c r="W4" s="358">
        <v>4</v>
      </c>
      <c r="X4" s="358">
        <v>6</v>
      </c>
      <c r="Y4" s="358">
        <v>8</v>
      </c>
      <c r="Z4" s="358">
        <v>10</v>
      </c>
      <c r="AA4" s="358">
        <v>11</v>
      </c>
      <c r="AB4" s="358">
        <v>13</v>
      </c>
      <c r="AC4" s="358">
        <v>16</v>
      </c>
      <c r="AD4" s="358">
        <v>18</v>
      </c>
      <c r="AE4" s="358">
        <v>23</v>
      </c>
      <c r="AF4" s="358">
        <v>28</v>
      </c>
      <c r="AG4" s="358">
        <v>33</v>
      </c>
      <c r="AH4" s="358">
        <v>34</v>
      </c>
      <c r="AI4" s="358">
        <v>35</v>
      </c>
      <c r="AJ4" s="358">
        <v>39</v>
      </c>
      <c r="AK4" s="358">
        <v>45</v>
      </c>
      <c r="AL4" s="358">
        <v>51</v>
      </c>
      <c r="AM4" s="358">
        <v>56</v>
      </c>
      <c r="AN4" s="358">
        <v>62</v>
      </c>
      <c r="AO4" s="358">
        <v>66</v>
      </c>
      <c r="AP4" s="358">
        <v>72</v>
      </c>
      <c r="AQ4" s="358">
        <v>78</v>
      </c>
      <c r="AR4" s="358">
        <v>82</v>
      </c>
      <c r="AS4" s="358">
        <v>94</v>
      </c>
      <c r="AT4" s="358">
        <v>102</v>
      </c>
      <c r="AU4" s="358">
        <v>112</v>
      </c>
      <c r="AV4" s="358">
        <v>121</v>
      </c>
      <c r="AW4" s="358">
        <v>129</v>
      </c>
      <c r="AX4" s="358">
        <v>3</v>
      </c>
      <c r="AY4" s="358">
        <v>7</v>
      </c>
      <c r="AZ4" s="358">
        <v>8</v>
      </c>
      <c r="BA4" s="358">
        <v>9</v>
      </c>
      <c r="BB4" s="358">
        <v>10</v>
      </c>
      <c r="BC4" s="358">
        <v>13</v>
      </c>
      <c r="BD4" s="358">
        <v>17</v>
      </c>
      <c r="BE4" s="358">
        <v>19</v>
      </c>
      <c r="BF4" s="358">
        <v>20</v>
      </c>
      <c r="BG4" s="358">
        <v>23</v>
      </c>
      <c r="BH4" s="358">
        <v>24</v>
      </c>
      <c r="BI4" s="358">
        <v>25</v>
      </c>
      <c r="BJ4" s="358">
        <v>27</v>
      </c>
      <c r="BK4" s="358">
        <v>28</v>
      </c>
      <c r="BL4" s="358">
        <v>29</v>
      </c>
      <c r="BM4" s="358">
        <v>31</v>
      </c>
      <c r="BN4" s="358">
        <v>32</v>
      </c>
      <c r="BO4" s="358">
        <v>35</v>
      </c>
      <c r="BP4" s="358">
        <v>40</v>
      </c>
      <c r="BQ4" s="358">
        <v>44</v>
      </c>
      <c r="BR4" s="358">
        <v>54</v>
      </c>
      <c r="BS4" s="358">
        <v>61</v>
      </c>
      <c r="BT4" s="358">
        <v>65</v>
      </c>
      <c r="BU4" s="358">
        <v>68</v>
      </c>
      <c r="BV4" s="358">
        <v>5</v>
      </c>
      <c r="BW4" s="358">
        <v>6</v>
      </c>
      <c r="BX4" s="358">
        <v>9</v>
      </c>
      <c r="BY4" s="358">
        <v>13</v>
      </c>
      <c r="BZ4" s="358">
        <v>18</v>
      </c>
      <c r="CA4" s="358">
        <v>22</v>
      </c>
      <c r="CB4" s="358">
        <v>29</v>
      </c>
      <c r="CC4" s="358">
        <v>34</v>
      </c>
      <c r="CD4" s="358">
        <v>37</v>
      </c>
      <c r="CE4" s="358">
        <v>41</v>
      </c>
      <c r="CF4" s="358">
        <v>43</v>
      </c>
      <c r="CG4" s="358">
        <v>50</v>
      </c>
      <c r="CH4" s="358">
        <v>52</v>
      </c>
      <c r="CI4" s="358">
        <v>56</v>
      </c>
      <c r="CJ4" s="358">
        <v>59</v>
      </c>
      <c r="CK4" s="358">
        <v>66</v>
      </c>
      <c r="CL4" s="358">
        <v>72</v>
      </c>
      <c r="CM4" s="358">
        <v>76</v>
      </c>
      <c r="CN4" s="358">
        <v>81</v>
      </c>
      <c r="CO4" s="358">
        <v>88</v>
      </c>
      <c r="CP4" s="358">
        <v>99</v>
      </c>
      <c r="CQ4" s="358">
        <v>112</v>
      </c>
      <c r="CR4" s="358">
        <v>117</v>
      </c>
      <c r="CS4" s="358">
        <v>6</v>
      </c>
      <c r="CT4" s="358">
        <v>11</v>
      </c>
      <c r="CU4" s="358">
        <v>17</v>
      </c>
      <c r="CV4" s="358">
        <v>23</v>
      </c>
      <c r="CW4" s="358">
        <v>29</v>
      </c>
      <c r="CX4" s="358">
        <v>34</v>
      </c>
      <c r="CY4" s="358">
        <v>41</v>
      </c>
      <c r="CZ4" s="358">
        <v>44</v>
      </c>
      <c r="DA4" s="358">
        <v>48</v>
      </c>
      <c r="DB4" s="358">
        <v>53</v>
      </c>
      <c r="DC4" s="358">
        <v>64</v>
      </c>
      <c r="DD4" s="358">
        <v>74</v>
      </c>
      <c r="DE4" s="358">
        <v>78</v>
      </c>
      <c r="DF4" s="358">
        <v>84</v>
      </c>
      <c r="DG4" s="358">
        <v>93</v>
      </c>
      <c r="DH4" s="358">
        <v>98</v>
      </c>
      <c r="DI4" s="358">
        <v>105</v>
      </c>
      <c r="DJ4" s="358">
        <v>114</v>
      </c>
      <c r="DK4" s="358">
        <v>121</v>
      </c>
      <c r="DL4" s="358">
        <v>129</v>
      </c>
      <c r="DM4" s="358">
        <v>141</v>
      </c>
      <c r="DN4" s="358">
        <v>144</v>
      </c>
      <c r="DO4" s="358">
        <v>155</v>
      </c>
      <c r="DP4" s="358">
        <v>164</v>
      </c>
      <c r="DQ4" s="358">
        <v>7</v>
      </c>
      <c r="DR4" s="358">
        <v>12</v>
      </c>
      <c r="DS4" s="358">
        <v>16</v>
      </c>
      <c r="DT4" s="358">
        <v>18</v>
      </c>
      <c r="DU4" s="358">
        <v>21</v>
      </c>
      <c r="DV4" s="358">
        <v>22</v>
      </c>
      <c r="DW4" s="358">
        <v>28</v>
      </c>
      <c r="DX4" s="358">
        <v>31</v>
      </c>
      <c r="DY4" s="358">
        <v>37</v>
      </c>
      <c r="DZ4" s="358">
        <v>42</v>
      </c>
      <c r="EA4" s="358">
        <v>46</v>
      </c>
      <c r="EB4" s="358">
        <v>50</v>
      </c>
      <c r="EC4" s="358">
        <v>55</v>
      </c>
      <c r="ED4" s="358">
        <v>61</v>
      </c>
      <c r="EE4" s="358">
        <v>67</v>
      </c>
      <c r="EF4" s="358">
        <v>70</v>
      </c>
      <c r="EG4" s="358">
        <v>74</v>
      </c>
      <c r="EH4" s="358">
        <v>79</v>
      </c>
      <c r="EI4" s="358">
        <v>84</v>
      </c>
      <c r="EJ4" s="358">
        <v>88</v>
      </c>
      <c r="EK4" s="358">
        <v>93</v>
      </c>
      <c r="EL4" s="358">
        <v>97</v>
      </c>
      <c r="EM4" s="358">
        <v>146</v>
      </c>
      <c r="EN4" s="358">
        <v>158</v>
      </c>
      <c r="EO4" s="358">
        <v>169</v>
      </c>
      <c r="EP4" s="358">
        <v>179</v>
      </c>
      <c r="EQ4" s="358">
        <v>186</v>
      </c>
      <c r="ES4" s="358">
        <v>198</v>
      </c>
      <c r="ET4" s="358">
        <v>203</v>
      </c>
      <c r="EU4" s="358">
        <v>212</v>
      </c>
      <c r="EV4" s="358">
        <v>218</v>
      </c>
      <c r="EW4" s="358">
        <v>142</v>
      </c>
      <c r="EX4" s="358">
        <v>153</v>
      </c>
      <c r="EY4" s="358">
        <v>164</v>
      </c>
      <c r="EZ4" s="358">
        <v>180</v>
      </c>
      <c r="FA4" s="358">
        <v>188</v>
      </c>
      <c r="FB4" s="358">
        <v>198</v>
      </c>
      <c r="FC4" s="358">
        <v>212</v>
      </c>
      <c r="FD4" s="358">
        <v>224</v>
      </c>
      <c r="FE4" s="358">
        <v>231</v>
      </c>
      <c r="FF4" s="358">
        <v>236</v>
      </c>
      <c r="FG4" s="358">
        <v>248</v>
      </c>
      <c r="FH4" s="358">
        <v>257</v>
      </c>
      <c r="FI4" s="358">
        <v>268</v>
      </c>
      <c r="FJ4" s="358">
        <v>274</v>
      </c>
      <c r="FK4" s="358">
        <v>279</v>
      </c>
      <c r="FL4" s="358">
        <v>121</v>
      </c>
      <c r="FM4" s="358">
        <v>131</v>
      </c>
      <c r="FN4" s="358">
        <v>137</v>
      </c>
      <c r="FO4" s="358">
        <v>144</v>
      </c>
      <c r="FP4" s="358">
        <v>157</v>
      </c>
      <c r="FQ4" s="358">
        <v>172</v>
      </c>
      <c r="FR4" s="358">
        <v>180</v>
      </c>
      <c r="FS4" s="358">
        <v>187</v>
      </c>
      <c r="FT4" s="358">
        <v>194</v>
      </c>
      <c r="FU4" s="358">
        <v>201</v>
      </c>
      <c r="FV4" s="358">
        <v>211</v>
      </c>
      <c r="FW4" s="358">
        <v>72</v>
      </c>
      <c r="FX4" s="358">
        <v>119</v>
      </c>
      <c r="FY4" s="358">
        <v>126</v>
      </c>
      <c r="FZ4" s="358">
        <v>154</v>
      </c>
      <c r="GA4" s="358">
        <v>223</v>
      </c>
      <c r="GB4" s="358">
        <v>259</v>
      </c>
      <c r="GC4" s="358">
        <v>111</v>
      </c>
      <c r="GD4" s="358">
        <v>147</v>
      </c>
      <c r="GE4" s="358">
        <v>176</v>
      </c>
      <c r="GF4" s="358">
        <v>168</v>
      </c>
      <c r="GG4" s="358">
        <v>92</v>
      </c>
      <c r="GH4" s="358">
        <v>104</v>
      </c>
      <c r="GI4" s="361">
        <v>130</v>
      </c>
    </row>
    <row r="5" spans="1:191">
      <c r="A5" s="336" t="s">
        <v>494</v>
      </c>
      <c r="B5" s="358">
        <v>4</v>
      </c>
      <c r="D5" s="358">
        <v>2</v>
      </c>
      <c r="E5" s="358">
        <v>3</v>
      </c>
      <c r="F5" s="358">
        <v>6</v>
      </c>
      <c r="G5" s="358">
        <v>9</v>
      </c>
      <c r="H5" s="358">
        <v>12</v>
      </c>
      <c r="I5" s="358">
        <v>14</v>
      </c>
      <c r="J5" s="358">
        <v>17</v>
      </c>
      <c r="K5" s="358">
        <v>21</v>
      </c>
      <c r="L5" s="358">
        <v>23</v>
      </c>
      <c r="M5" s="358">
        <v>26</v>
      </c>
      <c r="N5" s="358">
        <v>28</v>
      </c>
      <c r="O5" s="358">
        <v>33</v>
      </c>
      <c r="P5" s="358">
        <v>39</v>
      </c>
      <c r="Q5" s="358">
        <v>41</v>
      </c>
      <c r="R5" s="358">
        <v>44</v>
      </c>
      <c r="S5" s="358">
        <v>46</v>
      </c>
      <c r="T5" s="358">
        <v>49</v>
      </c>
      <c r="U5" s="358">
        <v>52</v>
      </c>
      <c r="V5" s="358">
        <v>6</v>
      </c>
      <c r="W5" s="358">
        <v>8</v>
      </c>
      <c r="X5" s="358">
        <v>10</v>
      </c>
      <c r="Y5" s="358">
        <v>12</v>
      </c>
      <c r="Z5" s="358">
        <v>14</v>
      </c>
      <c r="AA5" s="358">
        <v>15</v>
      </c>
      <c r="AB5" s="358">
        <v>17</v>
      </c>
      <c r="AC5" s="358">
        <v>20</v>
      </c>
      <c r="AD5" s="358">
        <v>22</v>
      </c>
      <c r="AE5" s="358">
        <v>27</v>
      </c>
      <c r="AF5" s="358">
        <v>32</v>
      </c>
      <c r="AG5" s="358">
        <v>37</v>
      </c>
      <c r="AH5" s="358">
        <v>38</v>
      </c>
      <c r="AI5" s="358">
        <v>39</v>
      </c>
      <c r="AJ5" s="358">
        <v>43</v>
      </c>
      <c r="AK5" s="358">
        <v>49</v>
      </c>
      <c r="AL5" s="358">
        <v>55</v>
      </c>
      <c r="AM5" s="358">
        <v>60</v>
      </c>
      <c r="AN5" s="358">
        <v>66</v>
      </c>
      <c r="AO5" s="358">
        <v>70</v>
      </c>
      <c r="AP5" s="358">
        <v>76</v>
      </c>
      <c r="AQ5" s="358">
        <v>82</v>
      </c>
      <c r="AR5" s="358">
        <v>86</v>
      </c>
      <c r="AS5" s="358">
        <v>98</v>
      </c>
      <c r="AT5" s="358">
        <v>106</v>
      </c>
      <c r="AU5" s="358">
        <v>116</v>
      </c>
      <c r="AV5" s="358">
        <v>125</v>
      </c>
      <c r="AW5" s="358">
        <v>133</v>
      </c>
      <c r="AX5" s="358">
        <v>7</v>
      </c>
      <c r="AY5" s="358">
        <v>11</v>
      </c>
      <c r="AZ5" s="358">
        <v>12</v>
      </c>
      <c r="BA5" s="358">
        <v>13</v>
      </c>
      <c r="BB5" s="358">
        <v>14</v>
      </c>
      <c r="BC5" s="358">
        <v>17</v>
      </c>
      <c r="BD5" s="358">
        <v>21</v>
      </c>
      <c r="BE5" s="358">
        <v>23</v>
      </c>
      <c r="BF5" s="358">
        <v>24</v>
      </c>
      <c r="BG5" s="358">
        <v>27</v>
      </c>
      <c r="BH5" s="358">
        <v>28</v>
      </c>
      <c r="BI5" s="358">
        <v>29</v>
      </c>
      <c r="BJ5" s="358">
        <v>31</v>
      </c>
      <c r="BK5" s="358">
        <v>32</v>
      </c>
      <c r="BL5" s="358">
        <v>33</v>
      </c>
      <c r="BM5" s="358">
        <v>35</v>
      </c>
      <c r="BN5" s="358">
        <v>36</v>
      </c>
      <c r="BO5" s="358">
        <v>39</v>
      </c>
      <c r="BP5" s="358">
        <v>44</v>
      </c>
      <c r="BQ5" s="358">
        <v>48</v>
      </c>
      <c r="BR5" s="358">
        <v>58</v>
      </c>
      <c r="BS5" s="358">
        <v>65</v>
      </c>
      <c r="BT5" s="358">
        <v>69</v>
      </c>
      <c r="BU5" s="358">
        <v>72</v>
      </c>
      <c r="BV5" s="358">
        <v>9</v>
      </c>
      <c r="BW5" s="358">
        <v>10</v>
      </c>
      <c r="BX5" s="358">
        <v>13</v>
      </c>
      <c r="BY5" s="358">
        <v>17</v>
      </c>
      <c r="BZ5" s="358">
        <v>22</v>
      </c>
      <c r="CA5" s="358">
        <v>26</v>
      </c>
      <c r="CB5" s="358">
        <v>33</v>
      </c>
      <c r="CC5" s="358">
        <v>38</v>
      </c>
      <c r="CD5" s="358">
        <v>41</v>
      </c>
      <c r="CE5" s="358">
        <v>45</v>
      </c>
      <c r="CF5" s="358">
        <v>47</v>
      </c>
      <c r="CG5" s="358">
        <v>54</v>
      </c>
      <c r="CH5" s="358">
        <v>56</v>
      </c>
      <c r="CI5" s="358">
        <v>60</v>
      </c>
      <c r="CJ5" s="358">
        <v>63</v>
      </c>
      <c r="CK5" s="358">
        <v>70</v>
      </c>
      <c r="CL5" s="358">
        <v>76</v>
      </c>
      <c r="CM5" s="358">
        <v>80</v>
      </c>
      <c r="CN5" s="358">
        <v>85</v>
      </c>
      <c r="CO5" s="358">
        <v>92</v>
      </c>
      <c r="CP5" s="358">
        <v>103</v>
      </c>
      <c r="CQ5" s="358">
        <v>116</v>
      </c>
      <c r="CR5" s="358">
        <v>121</v>
      </c>
      <c r="CS5" s="358">
        <v>2</v>
      </c>
      <c r="CT5" s="358">
        <v>7</v>
      </c>
      <c r="CU5" s="358">
        <v>13</v>
      </c>
      <c r="CV5" s="358">
        <v>19</v>
      </c>
      <c r="CW5" s="358">
        <v>25</v>
      </c>
      <c r="CX5" s="358">
        <v>30</v>
      </c>
      <c r="CY5" s="358">
        <v>37</v>
      </c>
      <c r="CZ5" s="358">
        <v>40</v>
      </c>
      <c r="DA5" s="358">
        <v>44</v>
      </c>
      <c r="DB5" s="358">
        <v>49</v>
      </c>
      <c r="DC5" s="358">
        <v>60</v>
      </c>
      <c r="DD5" s="358">
        <v>70</v>
      </c>
      <c r="DE5" s="358">
        <v>74</v>
      </c>
      <c r="DF5" s="358">
        <v>80</v>
      </c>
      <c r="DG5" s="358">
        <v>89</v>
      </c>
      <c r="DH5" s="358">
        <v>94</v>
      </c>
      <c r="DI5" s="358">
        <v>101</v>
      </c>
      <c r="DJ5" s="358">
        <v>110</v>
      </c>
      <c r="DK5" s="358">
        <v>117</v>
      </c>
      <c r="DL5" s="358">
        <v>125</v>
      </c>
      <c r="DM5" s="358">
        <v>137</v>
      </c>
      <c r="DN5" s="358">
        <v>140</v>
      </c>
      <c r="DO5" s="358">
        <v>151</v>
      </c>
      <c r="DP5" s="358">
        <v>160</v>
      </c>
      <c r="DQ5" s="358">
        <v>11</v>
      </c>
      <c r="DR5" s="358">
        <v>16</v>
      </c>
      <c r="DS5" s="358">
        <v>20</v>
      </c>
      <c r="DT5" s="358">
        <v>22</v>
      </c>
      <c r="DU5" s="358">
        <v>25</v>
      </c>
      <c r="DV5" s="358">
        <v>26</v>
      </c>
      <c r="DW5" s="358">
        <v>32</v>
      </c>
      <c r="DX5" s="358">
        <v>35</v>
      </c>
      <c r="DY5" s="358">
        <v>41</v>
      </c>
      <c r="DZ5" s="358">
        <v>46</v>
      </c>
      <c r="EA5" s="358">
        <v>50</v>
      </c>
      <c r="EB5" s="358">
        <v>54</v>
      </c>
      <c r="EC5" s="358">
        <v>59</v>
      </c>
      <c r="ED5" s="358">
        <v>65</v>
      </c>
      <c r="EE5" s="358">
        <v>71</v>
      </c>
      <c r="EF5" s="358">
        <v>74</v>
      </c>
      <c r="EG5" s="358">
        <v>78</v>
      </c>
      <c r="EH5" s="358">
        <v>83</v>
      </c>
      <c r="EI5" s="358">
        <v>88</v>
      </c>
      <c r="EJ5" s="358">
        <v>92</v>
      </c>
      <c r="EK5" s="358">
        <v>97</v>
      </c>
      <c r="EL5" s="358">
        <v>101</v>
      </c>
      <c r="EM5" s="358">
        <v>150</v>
      </c>
      <c r="EN5" s="358">
        <v>162</v>
      </c>
      <c r="EO5" s="358">
        <v>173</v>
      </c>
      <c r="EP5" s="358">
        <v>183</v>
      </c>
      <c r="EQ5" s="358">
        <v>190</v>
      </c>
      <c r="ES5" s="358">
        <v>202</v>
      </c>
      <c r="ET5" s="358">
        <v>207</v>
      </c>
      <c r="EU5" s="358">
        <v>216</v>
      </c>
      <c r="EV5" s="358">
        <v>222</v>
      </c>
      <c r="EW5" s="358">
        <v>146</v>
      </c>
      <c r="EX5" s="358">
        <v>157</v>
      </c>
      <c r="EY5" s="358">
        <v>168</v>
      </c>
      <c r="EZ5" s="358">
        <v>184</v>
      </c>
      <c r="FA5" s="358">
        <v>192</v>
      </c>
      <c r="FB5" s="358">
        <v>202</v>
      </c>
      <c r="FC5" s="358">
        <v>216</v>
      </c>
      <c r="FD5" s="358">
        <v>228</v>
      </c>
      <c r="FE5" s="358">
        <v>235</v>
      </c>
      <c r="FF5" s="358">
        <v>240</v>
      </c>
      <c r="FG5" s="358">
        <v>252</v>
      </c>
      <c r="FH5" s="358">
        <v>261</v>
      </c>
      <c r="FI5" s="358">
        <v>272</v>
      </c>
      <c r="FJ5" s="358">
        <v>278</v>
      </c>
      <c r="FK5" s="358">
        <v>283</v>
      </c>
      <c r="FL5" s="358">
        <v>125</v>
      </c>
      <c r="FM5" s="358">
        <v>135</v>
      </c>
      <c r="FN5" s="358">
        <v>141</v>
      </c>
      <c r="FO5" s="358">
        <v>148</v>
      </c>
      <c r="FP5" s="358">
        <v>161</v>
      </c>
      <c r="FQ5" s="358">
        <v>176</v>
      </c>
      <c r="FR5" s="358">
        <v>184</v>
      </c>
      <c r="FS5" s="358">
        <v>191</v>
      </c>
      <c r="FT5" s="358">
        <v>198</v>
      </c>
      <c r="FU5" s="358">
        <v>205</v>
      </c>
      <c r="FV5" s="358">
        <v>215</v>
      </c>
      <c r="FW5" s="358">
        <v>76</v>
      </c>
      <c r="FX5" s="358">
        <v>123</v>
      </c>
      <c r="FY5" s="358">
        <v>130</v>
      </c>
      <c r="FZ5" s="358">
        <v>158</v>
      </c>
      <c r="GA5" s="358">
        <v>227</v>
      </c>
      <c r="GB5" s="358">
        <v>263</v>
      </c>
      <c r="GC5" s="358">
        <v>115</v>
      </c>
      <c r="GD5" s="358">
        <v>151</v>
      </c>
      <c r="GE5" s="358">
        <v>180</v>
      </c>
      <c r="GF5" s="358">
        <v>164</v>
      </c>
      <c r="GG5" s="358">
        <v>96</v>
      </c>
      <c r="GH5" s="358">
        <v>108</v>
      </c>
      <c r="GI5" s="361">
        <v>134</v>
      </c>
    </row>
    <row r="6" spans="1:191">
      <c r="A6" s="336" t="s">
        <v>493</v>
      </c>
      <c r="B6" s="358">
        <v>6</v>
      </c>
      <c r="C6" s="358">
        <v>2</v>
      </c>
      <c r="E6" s="358">
        <v>1</v>
      </c>
      <c r="F6" s="358">
        <v>4</v>
      </c>
      <c r="G6" s="358">
        <v>7</v>
      </c>
      <c r="H6" s="358">
        <v>10</v>
      </c>
      <c r="I6" s="358">
        <v>12</v>
      </c>
      <c r="J6" s="358">
        <v>15</v>
      </c>
      <c r="K6" s="358">
        <v>19</v>
      </c>
      <c r="L6" s="358">
        <v>21</v>
      </c>
      <c r="M6" s="358">
        <v>24</v>
      </c>
      <c r="N6" s="358">
        <v>26</v>
      </c>
      <c r="O6" s="358">
        <v>31</v>
      </c>
      <c r="P6" s="358">
        <v>37</v>
      </c>
      <c r="Q6" s="358">
        <v>39</v>
      </c>
      <c r="R6" s="358">
        <v>42</v>
      </c>
      <c r="S6" s="358">
        <v>44</v>
      </c>
      <c r="T6" s="358">
        <v>47</v>
      </c>
      <c r="U6" s="358">
        <v>50</v>
      </c>
      <c r="V6" s="358">
        <v>8</v>
      </c>
      <c r="W6" s="358">
        <v>10</v>
      </c>
      <c r="X6" s="358">
        <v>12</v>
      </c>
      <c r="Y6" s="358">
        <v>14</v>
      </c>
      <c r="Z6" s="358">
        <v>16</v>
      </c>
      <c r="AA6" s="358">
        <v>17</v>
      </c>
      <c r="AB6" s="358">
        <v>19</v>
      </c>
      <c r="AC6" s="358">
        <v>22</v>
      </c>
      <c r="AD6" s="358">
        <v>24</v>
      </c>
      <c r="AE6" s="358">
        <v>29</v>
      </c>
      <c r="AF6" s="358">
        <v>34</v>
      </c>
      <c r="AG6" s="358">
        <v>39</v>
      </c>
      <c r="AH6" s="358">
        <v>40</v>
      </c>
      <c r="AI6" s="358">
        <v>41</v>
      </c>
      <c r="AJ6" s="358">
        <v>45</v>
      </c>
      <c r="AK6" s="358">
        <v>51</v>
      </c>
      <c r="AL6" s="358">
        <v>57</v>
      </c>
      <c r="AM6" s="358">
        <v>62</v>
      </c>
      <c r="AN6" s="358">
        <v>68</v>
      </c>
      <c r="AO6" s="358">
        <v>72</v>
      </c>
      <c r="AP6" s="358">
        <v>78</v>
      </c>
      <c r="AQ6" s="358">
        <v>84</v>
      </c>
      <c r="AR6" s="358">
        <v>88</v>
      </c>
      <c r="AS6" s="358">
        <v>100</v>
      </c>
      <c r="AT6" s="358">
        <v>108</v>
      </c>
      <c r="AU6" s="358">
        <v>118</v>
      </c>
      <c r="AV6" s="358">
        <v>127</v>
      </c>
      <c r="AW6" s="358">
        <v>135</v>
      </c>
      <c r="AX6" s="358">
        <v>9</v>
      </c>
      <c r="AY6" s="358">
        <v>13</v>
      </c>
      <c r="AZ6" s="358">
        <v>14</v>
      </c>
      <c r="BA6" s="358">
        <v>15</v>
      </c>
      <c r="BB6" s="358">
        <v>16</v>
      </c>
      <c r="BC6" s="358">
        <v>19</v>
      </c>
      <c r="BD6" s="358">
        <v>23</v>
      </c>
      <c r="BE6" s="358">
        <v>25</v>
      </c>
      <c r="BF6" s="358">
        <v>26</v>
      </c>
      <c r="BG6" s="358">
        <v>29</v>
      </c>
      <c r="BH6" s="358">
        <v>30</v>
      </c>
      <c r="BI6" s="358">
        <v>31</v>
      </c>
      <c r="BJ6" s="358">
        <v>33</v>
      </c>
      <c r="BK6" s="358">
        <v>34</v>
      </c>
      <c r="BL6" s="358">
        <v>35</v>
      </c>
      <c r="BM6" s="358">
        <v>37</v>
      </c>
      <c r="BN6" s="358">
        <v>38</v>
      </c>
      <c r="BO6" s="358">
        <v>41</v>
      </c>
      <c r="BP6" s="358">
        <v>46</v>
      </c>
      <c r="BQ6" s="358">
        <v>50</v>
      </c>
      <c r="BR6" s="358">
        <v>60</v>
      </c>
      <c r="BS6" s="358">
        <v>67</v>
      </c>
      <c r="BT6" s="358">
        <v>71</v>
      </c>
      <c r="BU6" s="358">
        <v>74</v>
      </c>
      <c r="BV6" s="358">
        <v>11</v>
      </c>
      <c r="BW6" s="358">
        <v>12</v>
      </c>
      <c r="BX6" s="358">
        <v>15</v>
      </c>
      <c r="BY6" s="358">
        <v>19</v>
      </c>
      <c r="BZ6" s="358">
        <v>24</v>
      </c>
      <c r="CA6" s="358">
        <v>28</v>
      </c>
      <c r="CB6" s="358">
        <v>35</v>
      </c>
      <c r="CC6" s="358">
        <v>40</v>
      </c>
      <c r="CD6" s="358">
        <v>43</v>
      </c>
      <c r="CE6" s="358">
        <v>47</v>
      </c>
      <c r="CF6" s="358">
        <v>49</v>
      </c>
      <c r="CG6" s="358">
        <v>56</v>
      </c>
      <c r="CH6" s="358">
        <v>58</v>
      </c>
      <c r="CI6" s="358">
        <v>62</v>
      </c>
      <c r="CJ6" s="358">
        <v>65</v>
      </c>
      <c r="CK6" s="358">
        <v>72</v>
      </c>
      <c r="CL6" s="358">
        <v>78</v>
      </c>
      <c r="CM6" s="358">
        <v>82</v>
      </c>
      <c r="CN6" s="358">
        <v>87</v>
      </c>
      <c r="CO6" s="358">
        <v>94</v>
      </c>
      <c r="CP6" s="358">
        <v>105</v>
      </c>
      <c r="CQ6" s="358">
        <v>118</v>
      </c>
      <c r="CR6" s="358">
        <v>123</v>
      </c>
      <c r="CS6" s="358">
        <v>4</v>
      </c>
      <c r="CT6" s="358">
        <v>9</v>
      </c>
      <c r="CU6" s="358">
        <v>15</v>
      </c>
      <c r="CV6" s="358">
        <v>21</v>
      </c>
      <c r="CW6" s="358">
        <v>27</v>
      </c>
      <c r="CX6" s="358">
        <v>32</v>
      </c>
      <c r="CY6" s="358">
        <v>39</v>
      </c>
      <c r="CZ6" s="358">
        <v>42</v>
      </c>
      <c r="DA6" s="358">
        <v>46</v>
      </c>
      <c r="DB6" s="358">
        <v>51</v>
      </c>
      <c r="DC6" s="358">
        <v>62</v>
      </c>
      <c r="DD6" s="358">
        <v>72</v>
      </c>
      <c r="DE6" s="358">
        <v>76</v>
      </c>
      <c r="DF6" s="358">
        <v>82</v>
      </c>
      <c r="DG6" s="358">
        <v>91</v>
      </c>
      <c r="DH6" s="358">
        <v>96</v>
      </c>
      <c r="DI6" s="358">
        <v>103</v>
      </c>
      <c r="DJ6" s="358">
        <v>112</v>
      </c>
      <c r="DK6" s="358">
        <v>119</v>
      </c>
      <c r="DL6" s="358">
        <v>127</v>
      </c>
      <c r="DM6" s="358">
        <v>139</v>
      </c>
      <c r="DN6" s="358">
        <v>142</v>
      </c>
      <c r="DO6" s="358">
        <v>153</v>
      </c>
      <c r="DP6" s="358">
        <v>162</v>
      </c>
      <c r="DQ6" s="358">
        <v>13</v>
      </c>
      <c r="DR6" s="358">
        <v>18</v>
      </c>
      <c r="DS6" s="358">
        <v>22</v>
      </c>
      <c r="DT6" s="358">
        <v>24</v>
      </c>
      <c r="DU6" s="358">
        <v>27</v>
      </c>
      <c r="DV6" s="358">
        <v>28</v>
      </c>
      <c r="DW6" s="358">
        <v>34</v>
      </c>
      <c r="DX6" s="358">
        <v>37</v>
      </c>
      <c r="DY6" s="358">
        <v>43</v>
      </c>
      <c r="DZ6" s="358">
        <v>48</v>
      </c>
      <c r="EA6" s="358">
        <v>52</v>
      </c>
      <c r="EB6" s="358">
        <v>56</v>
      </c>
      <c r="EC6" s="358">
        <v>61</v>
      </c>
      <c r="ED6" s="358">
        <v>67</v>
      </c>
      <c r="EE6" s="358">
        <v>73</v>
      </c>
      <c r="EF6" s="358">
        <v>76</v>
      </c>
      <c r="EG6" s="358">
        <v>80</v>
      </c>
      <c r="EH6" s="358">
        <v>85</v>
      </c>
      <c r="EI6" s="358">
        <v>90</v>
      </c>
      <c r="EJ6" s="358">
        <v>94</v>
      </c>
      <c r="EK6" s="358">
        <v>99</v>
      </c>
      <c r="EL6" s="358">
        <v>103</v>
      </c>
      <c r="EM6" s="358">
        <v>152</v>
      </c>
      <c r="EN6" s="358">
        <v>164</v>
      </c>
      <c r="EO6" s="358">
        <v>175</v>
      </c>
      <c r="EP6" s="358">
        <v>185</v>
      </c>
      <c r="EQ6" s="358">
        <v>192</v>
      </c>
      <c r="ES6" s="358">
        <v>204</v>
      </c>
      <c r="ET6" s="358">
        <v>209</v>
      </c>
      <c r="EU6" s="358">
        <v>218</v>
      </c>
      <c r="EV6" s="358">
        <v>224</v>
      </c>
      <c r="EW6" s="358">
        <v>148</v>
      </c>
      <c r="EX6" s="358">
        <v>159</v>
      </c>
      <c r="EY6" s="358">
        <v>170</v>
      </c>
      <c r="EZ6" s="358">
        <v>186</v>
      </c>
      <c r="FA6" s="358">
        <v>194</v>
      </c>
      <c r="FB6" s="358">
        <v>204</v>
      </c>
      <c r="FC6" s="358">
        <v>218</v>
      </c>
      <c r="FD6" s="358">
        <v>230</v>
      </c>
      <c r="FE6" s="358">
        <v>237</v>
      </c>
      <c r="FF6" s="358">
        <v>242</v>
      </c>
      <c r="FG6" s="358">
        <v>254</v>
      </c>
      <c r="FH6" s="358">
        <v>263</v>
      </c>
      <c r="FI6" s="358">
        <v>274</v>
      </c>
      <c r="FJ6" s="358">
        <v>280</v>
      </c>
      <c r="FK6" s="358">
        <v>285</v>
      </c>
      <c r="FL6" s="358">
        <v>127</v>
      </c>
      <c r="FM6" s="358">
        <v>137</v>
      </c>
      <c r="FN6" s="358">
        <v>143</v>
      </c>
      <c r="FO6" s="358">
        <v>150</v>
      </c>
      <c r="FP6" s="358">
        <v>163</v>
      </c>
      <c r="FQ6" s="358">
        <v>178</v>
      </c>
      <c r="FR6" s="358">
        <v>186</v>
      </c>
      <c r="FS6" s="358">
        <v>193</v>
      </c>
      <c r="FT6" s="358">
        <v>200</v>
      </c>
      <c r="FU6" s="358">
        <v>207</v>
      </c>
      <c r="FV6" s="358">
        <v>217</v>
      </c>
      <c r="FW6" s="358">
        <v>78</v>
      </c>
      <c r="FX6" s="358">
        <v>125</v>
      </c>
      <c r="FY6" s="358">
        <v>132</v>
      </c>
      <c r="FZ6" s="358">
        <v>160</v>
      </c>
      <c r="GA6" s="358">
        <v>229</v>
      </c>
      <c r="GB6" s="358">
        <v>265</v>
      </c>
      <c r="GC6" s="358">
        <v>117</v>
      </c>
      <c r="GD6" s="358">
        <v>153</v>
      </c>
      <c r="GE6" s="358">
        <v>182</v>
      </c>
      <c r="GF6" s="358">
        <v>166</v>
      </c>
      <c r="GG6" s="358">
        <v>98</v>
      </c>
      <c r="GH6" s="358">
        <v>110</v>
      </c>
      <c r="GI6" s="361">
        <v>136</v>
      </c>
    </row>
    <row r="7" spans="1:191">
      <c r="A7" s="336" t="s">
        <v>492</v>
      </c>
      <c r="B7" s="358">
        <v>7</v>
      </c>
      <c r="C7" s="358">
        <v>3</v>
      </c>
      <c r="D7" s="358">
        <v>1</v>
      </c>
      <c r="F7" s="358">
        <v>3</v>
      </c>
      <c r="G7" s="358">
        <v>6</v>
      </c>
      <c r="H7" s="358">
        <v>9</v>
      </c>
      <c r="I7" s="358">
        <v>11</v>
      </c>
      <c r="J7" s="358">
        <v>14</v>
      </c>
      <c r="K7" s="358">
        <v>18</v>
      </c>
      <c r="L7" s="358">
        <v>20</v>
      </c>
      <c r="M7" s="358">
        <v>23</v>
      </c>
      <c r="N7" s="358">
        <v>25</v>
      </c>
      <c r="O7" s="358">
        <v>30</v>
      </c>
      <c r="P7" s="358">
        <v>36</v>
      </c>
      <c r="Q7" s="358">
        <v>38</v>
      </c>
      <c r="R7" s="358">
        <v>41</v>
      </c>
      <c r="S7" s="358">
        <v>43</v>
      </c>
      <c r="T7" s="358">
        <v>46</v>
      </c>
      <c r="U7" s="358">
        <v>49</v>
      </c>
      <c r="V7" s="358">
        <v>9</v>
      </c>
      <c r="W7" s="358">
        <v>11</v>
      </c>
      <c r="X7" s="358">
        <v>13</v>
      </c>
      <c r="Y7" s="358">
        <v>15</v>
      </c>
      <c r="Z7" s="358">
        <v>17</v>
      </c>
      <c r="AA7" s="358">
        <v>18</v>
      </c>
      <c r="AB7" s="358">
        <v>20</v>
      </c>
      <c r="AC7" s="358">
        <v>23</v>
      </c>
      <c r="AD7" s="358">
        <v>25</v>
      </c>
      <c r="AE7" s="358">
        <v>30</v>
      </c>
      <c r="AF7" s="358">
        <v>35</v>
      </c>
      <c r="AG7" s="358">
        <v>40</v>
      </c>
      <c r="AH7" s="358">
        <v>41</v>
      </c>
      <c r="AI7" s="358">
        <v>42</v>
      </c>
      <c r="AJ7" s="358">
        <v>46</v>
      </c>
      <c r="AK7" s="358">
        <v>52</v>
      </c>
      <c r="AL7" s="358">
        <v>58</v>
      </c>
      <c r="AM7" s="358">
        <v>63</v>
      </c>
      <c r="AN7" s="358">
        <v>69</v>
      </c>
      <c r="AO7" s="358">
        <v>73</v>
      </c>
      <c r="AP7" s="358">
        <v>79</v>
      </c>
      <c r="AQ7" s="358">
        <v>85</v>
      </c>
      <c r="AR7" s="358">
        <v>89</v>
      </c>
      <c r="AS7" s="358">
        <v>101</v>
      </c>
      <c r="AT7" s="358">
        <v>109</v>
      </c>
      <c r="AU7" s="358">
        <v>119</v>
      </c>
      <c r="AV7" s="358">
        <v>128</v>
      </c>
      <c r="AW7" s="358">
        <v>136</v>
      </c>
      <c r="AX7" s="358">
        <v>10</v>
      </c>
      <c r="AY7" s="358">
        <v>14</v>
      </c>
      <c r="AZ7" s="358">
        <v>15</v>
      </c>
      <c r="BA7" s="358">
        <v>16</v>
      </c>
      <c r="BB7" s="358">
        <v>17</v>
      </c>
      <c r="BC7" s="358">
        <v>20</v>
      </c>
      <c r="BD7" s="358">
        <v>24</v>
      </c>
      <c r="BE7" s="358">
        <v>26</v>
      </c>
      <c r="BF7" s="358">
        <v>27</v>
      </c>
      <c r="BG7" s="358">
        <v>30</v>
      </c>
      <c r="BH7" s="358">
        <v>31</v>
      </c>
      <c r="BI7" s="358">
        <v>32</v>
      </c>
      <c r="BJ7" s="358">
        <v>34</v>
      </c>
      <c r="BK7" s="358">
        <v>35</v>
      </c>
      <c r="BL7" s="358">
        <v>36</v>
      </c>
      <c r="BM7" s="358">
        <v>38</v>
      </c>
      <c r="BN7" s="358">
        <v>39</v>
      </c>
      <c r="BO7" s="358">
        <v>42</v>
      </c>
      <c r="BP7" s="358">
        <v>47</v>
      </c>
      <c r="BQ7" s="358">
        <v>51</v>
      </c>
      <c r="BR7" s="358">
        <v>61</v>
      </c>
      <c r="BS7" s="358">
        <v>68</v>
      </c>
      <c r="BT7" s="358">
        <v>72</v>
      </c>
      <c r="BU7" s="358">
        <v>75</v>
      </c>
      <c r="BV7" s="358">
        <v>12</v>
      </c>
      <c r="BW7" s="358">
        <v>13</v>
      </c>
      <c r="BX7" s="358">
        <v>16</v>
      </c>
      <c r="BY7" s="358">
        <v>20</v>
      </c>
      <c r="BZ7" s="358">
        <v>25</v>
      </c>
      <c r="CA7" s="358">
        <v>29</v>
      </c>
      <c r="CB7" s="358">
        <v>36</v>
      </c>
      <c r="CC7" s="358">
        <v>41</v>
      </c>
      <c r="CD7" s="358">
        <v>44</v>
      </c>
      <c r="CE7" s="358">
        <v>48</v>
      </c>
      <c r="CF7" s="358">
        <v>50</v>
      </c>
      <c r="CG7" s="358">
        <v>57</v>
      </c>
      <c r="CH7" s="358">
        <v>59</v>
      </c>
      <c r="CI7" s="358">
        <v>63</v>
      </c>
      <c r="CJ7" s="358">
        <v>66</v>
      </c>
      <c r="CK7" s="358">
        <v>73</v>
      </c>
      <c r="CL7" s="358">
        <v>79</v>
      </c>
      <c r="CM7" s="358">
        <v>83</v>
      </c>
      <c r="CN7" s="358">
        <v>88</v>
      </c>
      <c r="CO7" s="358">
        <v>95</v>
      </c>
      <c r="CP7" s="358">
        <v>106</v>
      </c>
      <c r="CQ7" s="358">
        <v>119</v>
      </c>
      <c r="CR7" s="358">
        <v>124</v>
      </c>
      <c r="CS7" s="358">
        <v>5</v>
      </c>
      <c r="CT7" s="358">
        <v>10</v>
      </c>
      <c r="CU7" s="358">
        <v>16</v>
      </c>
      <c r="CV7" s="358">
        <v>22</v>
      </c>
      <c r="CW7" s="358">
        <v>28</v>
      </c>
      <c r="CX7" s="358">
        <v>33</v>
      </c>
      <c r="CY7" s="358">
        <v>40</v>
      </c>
      <c r="CZ7" s="358">
        <v>43</v>
      </c>
      <c r="DA7" s="358">
        <v>47</v>
      </c>
      <c r="DB7" s="358">
        <v>52</v>
      </c>
      <c r="DC7" s="358">
        <v>63</v>
      </c>
      <c r="DD7" s="358">
        <v>73</v>
      </c>
      <c r="DE7" s="358">
        <v>77</v>
      </c>
      <c r="DF7" s="358">
        <v>83</v>
      </c>
      <c r="DG7" s="358">
        <v>92</v>
      </c>
      <c r="DH7" s="358">
        <v>97</v>
      </c>
      <c r="DI7" s="358">
        <v>104</v>
      </c>
      <c r="DJ7" s="358">
        <v>113</v>
      </c>
      <c r="DK7" s="358">
        <v>120</v>
      </c>
      <c r="DL7" s="358">
        <v>128</v>
      </c>
      <c r="DM7" s="358">
        <v>140</v>
      </c>
      <c r="DN7" s="358">
        <v>143</v>
      </c>
      <c r="DO7" s="358">
        <v>154</v>
      </c>
      <c r="DP7" s="358">
        <v>163</v>
      </c>
      <c r="DQ7" s="358">
        <v>14</v>
      </c>
      <c r="DR7" s="358">
        <v>19</v>
      </c>
      <c r="DS7" s="358">
        <v>23</v>
      </c>
      <c r="DT7" s="358">
        <v>25</v>
      </c>
      <c r="DU7" s="358">
        <v>28</v>
      </c>
      <c r="DV7" s="358">
        <v>29</v>
      </c>
      <c r="DW7" s="358">
        <v>35</v>
      </c>
      <c r="DX7" s="358">
        <v>38</v>
      </c>
      <c r="DY7" s="358">
        <v>44</v>
      </c>
      <c r="DZ7" s="358">
        <v>49</v>
      </c>
      <c r="EA7" s="358">
        <v>53</v>
      </c>
      <c r="EB7" s="358">
        <v>57</v>
      </c>
      <c r="EC7" s="358">
        <v>62</v>
      </c>
      <c r="ED7" s="358">
        <v>68</v>
      </c>
      <c r="EE7" s="358">
        <v>74</v>
      </c>
      <c r="EF7" s="358">
        <v>77</v>
      </c>
      <c r="EG7" s="358">
        <v>81</v>
      </c>
      <c r="EH7" s="358">
        <v>86</v>
      </c>
      <c r="EI7" s="358">
        <v>91</v>
      </c>
      <c r="EJ7" s="358">
        <v>95</v>
      </c>
      <c r="EK7" s="358">
        <v>100</v>
      </c>
      <c r="EL7" s="358">
        <v>104</v>
      </c>
      <c r="EM7" s="358">
        <v>153</v>
      </c>
      <c r="EN7" s="358">
        <v>165</v>
      </c>
      <c r="EO7" s="358">
        <v>176</v>
      </c>
      <c r="EP7" s="358">
        <v>186</v>
      </c>
      <c r="EQ7" s="358">
        <v>193</v>
      </c>
      <c r="ES7" s="358">
        <v>205</v>
      </c>
      <c r="ET7" s="358">
        <v>210</v>
      </c>
      <c r="EU7" s="358">
        <v>219</v>
      </c>
      <c r="EV7" s="358">
        <v>225</v>
      </c>
      <c r="EW7" s="358">
        <v>149</v>
      </c>
      <c r="EX7" s="358">
        <v>160</v>
      </c>
      <c r="EY7" s="358">
        <v>171</v>
      </c>
      <c r="EZ7" s="358">
        <v>187</v>
      </c>
      <c r="FA7" s="358">
        <v>195</v>
      </c>
      <c r="FB7" s="358">
        <v>205</v>
      </c>
      <c r="FC7" s="358">
        <v>219</v>
      </c>
      <c r="FD7" s="358">
        <v>231</v>
      </c>
      <c r="FE7" s="358">
        <v>238</v>
      </c>
      <c r="FF7" s="358">
        <v>243</v>
      </c>
      <c r="FG7" s="358">
        <v>255</v>
      </c>
      <c r="FH7" s="358">
        <v>264</v>
      </c>
      <c r="FI7" s="358">
        <v>275</v>
      </c>
      <c r="FJ7" s="358">
        <v>281</v>
      </c>
      <c r="FK7" s="358">
        <v>286</v>
      </c>
      <c r="FL7" s="358">
        <v>128</v>
      </c>
      <c r="FM7" s="358">
        <v>138</v>
      </c>
      <c r="FN7" s="358">
        <v>144</v>
      </c>
      <c r="FO7" s="358">
        <v>151</v>
      </c>
      <c r="FP7" s="358">
        <v>164</v>
      </c>
      <c r="FQ7" s="358">
        <v>179</v>
      </c>
      <c r="FR7" s="358">
        <v>187</v>
      </c>
      <c r="FS7" s="358">
        <v>194</v>
      </c>
      <c r="FT7" s="358">
        <v>201</v>
      </c>
      <c r="FU7" s="358">
        <v>208</v>
      </c>
      <c r="FV7" s="358">
        <v>218</v>
      </c>
      <c r="FW7" s="358">
        <v>79</v>
      </c>
      <c r="FX7" s="358">
        <v>126</v>
      </c>
      <c r="FY7" s="358">
        <v>133</v>
      </c>
      <c r="FZ7" s="358">
        <v>161</v>
      </c>
      <c r="GA7" s="358">
        <v>230</v>
      </c>
      <c r="GB7" s="358">
        <v>266</v>
      </c>
      <c r="GC7" s="358">
        <v>118</v>
      </c>
      <c r="GD7" s="358">
        <v>154</v>
      </c>
      <c r="GE7" s="358">
        <v>183</v>
      </c>
      <c r="GF7" s="358">
        <v>167</v>
      </c>
      <c r="GG7" s="358">
        <v>99</v>
      </c>
      <c r="GH7" s="358">
        <v>111</v>
      </c>
      <c r="GI7" s="361">
        <v>137</v>
      </c>
    </row>
    <row r="8" spans="1:191">
      <c r="A8" s="336" t="s">
        <v>491</v>
      </c>
      <c r="B8" s="358">
        <v>10</v>
      </c>
      <c r="C8" s="358">
        <v>6</v>
      </c>
      <c r="D8" s="358">
        <v>4</v>
      </c>
      <c r="E8" s="358">
        <v>3</v>
      </c>
      <c r="G8" s="358">
        <v>3</v>
      </c>
      <c r="H8" s="358">
        <v>6</v>
      </c>
      <c r="I8" s="358">
        <v>8</v>
      </c>
      <c r="J8" s="358">
        <v>11</v>
      </c>
      <c r="K8" s="358">
        <v>15</v>
      </c>
      <c r="L8" s="358">
        <v>17</v>
      </c>
      <c r="M8" s="358">
        <v>20</v>
      </c>
      <c r="N8" s="358">
        <v>22</v>
      </c>
      <c r="O8" s="358">
        <v>27</v>
      </c>
      <c r="P8" s="358">
        <v>33</v>
      </c>
      <c r="Q8" s="358">
        <v>35</v>
      </c>
      <c r="R8" s="358">
        <v>38</v>
      </c>
      <c r="S8" s="358">
        <v>40</v>
      </c>
      <c r="T8" s="358">
        <v>43</v>
      </c>
      <c r="U8" s="358">
        <v>46</v>
      </c>
      <c r="V8" s="358">
        <v>12</v>
      </c>
      <c r="W8" s="358">
        <v>14</v>
      </c>
      <c r="X8" s="358">
        <v>16</v>
      </c>
      <c r="Y8" s="358">
        <v>18</v>
      </c>
      <c r="Z8" s="358">
        <v>20</v>
      </c>
      <c r="AA8" s="358">
        <v>21</v>
      </c>
      <c r="AB8" s="358">
        <v>23</v>
      </c>
      <c r="AC8" s="358">
        <v>26</v>
      </c>
      <c r="AD8" s="358">
        <v>28</v>
      </c>
      <c r="AE8" s="358">
        <v>33</v>
      </c>
      <c r="AF8" s="358">
        <v>38</v>
      </c>
      <c r="AG8" s="358">
        <v>43</v>
      </c>
      <c r="AH8" s="358">
        <v>44</v>
      </c>
      <c r="AI8" s="358">
        <v>45</v>
      </c>
      <c r="AJ8" s="358">
        <v>49</v>
      </c>
      <c r="AK8" s="358">
        <v>55</v>
      </c>
      <c r="AL8" s="358">
        <v>61</v>
      </c>
      <c r="AM8" s="358">
        <v>66</v>
      </c>
      <c r="AN8" s="358">
        <v>72</v>
      </c>
      <c r="AO8" s="358">
        <v>76</v>
      </c>
      <c r="AP8" s="358">
        <v>82</v>
      </c>
      <c r="AQ8" s="358">
        <v>88</v>
      </c>
      <c r="AR8" s="358">
        <v>92</v>
      </c>
      <c r="AS8" s="358">
        <v>104</v>
      </c>
      <c r="AT8" s="358">
        <v>112</v>
      </c>
      <c r="AU8" s="358">
        <v>122</v>
      </c>
      <c r="AV8" s="358">
        <v>131</v>
      </c>
      <c r="AW8" s="358">
        <v>139</v>
      </c>
      <c r="AX8" s="358">
        <v>13</v>
      </c>
      <c r="AY8" s="358">
        <v>17</v>
      </c>
      <c r="AZ8" s="358">
        <v>18</v>
      </c>
      <c r="BA8" s="358">
        <v>19</v>
      </c>
      <c r="BB8" s="358">
        <v>20</v>
      </c>
      <c r="BC8" s="358">
        <v>23</v>
      </c>
      <c r="BD8" s="358">
        <v>27</v>
      </c>
      <c r="BE8" s="358">
        <v>29</v>
      </c>
      <c r="BF8" s="358">
        <v>30</v>
      </c>
      <c r="BG8" s="358">
        <v>33</v>
      </c>
      <c r="BH8" s="358">
        <v>34</v>
      </c>
      <c r="BI8" s="358">
        <v>35</v>
      </c>
      <c r="BJ8" s="358">
        <v>37</v>
      </c>
      <c r="BK8" s="358">
        <v>38</v>
      </c>
      <c r="BL8" s="358">
        <v>39</v>
      </c>
      <c r="BM8" s="358">
        <v>41</v>
      </c>
      <c r="BN8" s="358">
        <v>42</v>
      </c>
      <c r="BO8" s="358">
        <v>45</v>
      </c>
      <c r="BP8" s="358">
        <v>50</v>
      </c>
      <c r="BQ8" s="358">
        <v>54</v>
      </c>
      <c r="BR8" s="358">
        <v>64</v>
      </c>
      <c r="BS8" s="358">
        <v>71</v>
      </c>
      <c r="BT8" s="358">
        <v>75</v>
      </c>
      <c r="BU8" s="358">
        <v>78</v>
      </c>
      <c r="BV8" s="358">
        <v>15</v>
      </c>
      <c r="BW8" s="358">
        <v>16</v>
      </c>
      <c r="BX8" s="358">
        <v>19</v>
      </c>
      <c r="BY8" s="358">
        <v>23</v>
      </c>
      <c r="BZ8" s="358">
        <v>28</v>
      </c>
      <c r="CA8" s="358">
        <v>32</v>
      </c>
      <c r="CB8" s="358">
        <v>39</v>
      </c>
      <c r="CC8" s="358">
        <v>44</v>
      </c>
      <c r="CD8" s="358">
        <v>47</v>
      </c>
      <c r="CE8" s="358">
        <v>51</v>
      </c>
      <c r="CF8" s="358">
        <v>53</v>
      </c>
      <c r="CG8" s="358">
        <v>60</v>
      </c>
      <c r="CH8" s="358">
        <v>62</v>
      </c>
      <c r="CI8" s="358">
        <v>66</v>
      </c>
      <c r="CJ8" s="358">
        <v>69</v>
      </c>
      <c r="CK8" s="358">
        <v>76</v>
      </c>
      <c r="CL8" s="358">
        <v>82</v>
      </c>
      <c r="CM8" s="358">
        <v>86</v>
      </c>
      <c r="CN8" s="358">
        <v>91</v>
      </c>
      <c r="CO8" s="358">
        <v>98</v>
      </c>
      <c r="CP8" s="358">
        <v>109</v>
      </c>
      <c r="CQ8" s="358">
        <v>122</v>
      </c>
      <c r="CR8" s="358">
        <v>127</v>
      </c>
      <c r="CS8" s="358">
        <v>8</v>
      </c>
      <c r="CT8" s="358">
        <v>13</v>
      </c>
      <c r="CU8" s="358">
        <v>19</v>
      </c>
      <c r="CV8" s="358">
        <v>25</v>
      </c>
      <c r="CW8" s="358">
        <v>31</v>
      </c>
      <c r="CX8" s="358">
        <v>36</v>
      </c>
      <c r="CY8" s="358">
        <v>43</v>
      </c>
      <c r="CZ8" s="358">
        <v>46</v>
      </c>
      <c r="DA8" s="358">
        <v>50</v>
      </c>
      <c r="DB8" s="358">
        <v>55</v>
      </c>
      <c r="DC8" s="358">
        <v>66</v>
      </c>
      <c r="DD8" s="358">
        <v>76</v>
      </c>
      <c r="DE8" s="358">
        <v>80</v>
      </c>
      <c r="DF8" s="358">
        <v>86</v>
      </c>
      <c r="DG8" s="358">
        <v>95</v>
      </c>
      <c r="DH8" s="358">
        <v>100</v>
      </c>
      <c r="DI8" s="358">
        <v>107</v>
      </c>
      <c r="DJ8" s="358">
        <v>116</v>
      </c>
      <c r="DK8" s="358">
        <v>123</v>
      </c>
      <c r="DL8" s="358">
        <v>131</v>
      </c>
      <c r="DM8" s="358">
        <v>143</v>
      </c>
      <c r="DN8" s="358">
        <v>146</v>
      </c>
      <c r="DO8" s="358">
        <v>157</v>
      </c>
      <c r="DP8" s="358">
        <v>166</v>
      </c>
      <c r="DQ8" s="358">
        <v>17</v>
      </c>
      <c r="DR8" s="358">
        <v>22</v>
      </c>
      <c r="DS8" s="358">
        <v>26</v>
      </c>
      <c r="DT8" s="358">
        <v>28</v>
      </c>
      <c r="DU8" s="358">
        <v>31</v>
      </c>
      <c r="DV8" s="358">
        <v>32</v>
      </c>
      <c r="DW8" s="358">
        <v>38</v>
      </c>
      <c r="DX8" s="358">
        <v>41</v>
      </c>
      <c r="DY8" s="358">
        <v>47</v>
      </c>
      <c r="DZ8" s="358">
        <v>52</v>
      </c>
      <c r="EA8" s="358">
        <v>56</v>
      </c>
      <c r="EB8" s="358">
        <v>60</v>
      </c>
      <c r="EC8" s="358">
        <v>65</v>
      </c>
      <c r="ED8" s="358">
        <v>71</v>
      </c>
      <c r="EE8" s="358">
        <v>77</v>
      </c>
      <c r="EF8" s="358">
        <v>80</v>
      </c>
      <c r="EG8" s="358">
        <v>84</v>
      </c>
      <c r="EH8" s="358">
        <v>89</v>
      </c>
      <c r="EI8" s="358">
        <v>94</v>
      </c>
      <c r="EJ8" s="358">
        <v>98</v>
      </c>
      <c r="EK8" s="358">
        <v>103</v>
      </c>
      <c r="EL8" s="358">
        <v>107</v>
      </c>
      <c r="EM8" s="358">
        <v>156</v>
      </c>
      <c r="EN8" s="358">
        <v>168</v>
      </c>
      <c r="EO8" s="358">
        <v>179</v>
      </c>
      <c r="EP8" s="358">
        <v>189</v>
      </c>
      <c r="EQ8" s="358">
        <v>196</v>
      </c>
      <c r="ES8" s="358">
        <v>208</v>
      </c>
      <c r="ET8" s="358">
        <v>213</v>
      </c>
      <c r="EU8" s="358">
        <v>222</v>
      </c>
      <c r="EV8" s="358">
        <v>228</v>
      </c>
      <c r="EW8" s="358">
        <v>152</v>
      </c>
      <c r="EX8" s="358">
        <v>163</v>
      </c>
      <c r="EY8" s="358">
        <v>174</v>
      </c>
      <c r="EZ8" s="358">
        <v>190</v>
      </c>
      <c r="FA8" s="358">
        <v>198</v>
      </c>
      <c r="FB8" s="358">
        <v>208</v>
      </c>
      <c r="FC8" s="358">
        <v>222</v>
      </c>
      <c r="FD8" s="358">
        <v>234</v>
      </c>
      <c r="FE8" s="358">
        <v>241</v>
      </c>
      <c r="FF8" s="358">
        <v>246</v>
      </c>
      <c r="FG8" s="358">
        <v>258</v>
      </c>
      <c r="FH8" s="358">
        <v>267</v>
      </c>
      <c r="FI8" s="358">
        <v>278</v>
      </c>
      <c r="FJ8" s="358">
        <v>284</v>
      </c>
      <c r="FK8" s="358">
        <v>289</v>
      </c>
      <c r="FL8" s="358">
        <v>131</v>
      </c>
      <c r="FM8" s="358">
        <v>141</v>
      </c>
      <c r="FN8" s="358">
        <v>147</v>
      </c>
      <c r="FO8" s="358">
        <v>154</v>
      </c>
      <c r="FP8" s="358">
        <v>167</v>
      </c>
      <c r="FQ8" s="358">
        <v>182</v>
      </c>
      <c r="FR8" s="358">
        <v>190</v>
      </c>
      <c r="FS8" s="358">
        <v>197</v>
      </c>
      <c r="FT8" s="358">
        <v>204</v>
      </c>
      <c r="FU8" s="358">
        <v>211</v>
      </c>
      <c r="FV8" s="358">
        <v>221</v>
      </c>
      <c r="FW8" s="358">
        <v>82</v>
      </c>
      <c r="FX8" s="358">
        <v>129</v>
      </c>
      <c r="FY8" s="358">
        <v>136</v>
      </c>
      <c r="FZ8" s="358">
        <v>164</v>
      </c>
      <c r="GA8" s="358">
        <v>233</v>
      </c>
      <c r="GB8" s="358">
        <v>269</v>
      </c>
      <c r="GC8" s="358">
        <v>121</v>
      </c>
      <c r="GD8" s="358">
        <v>157</v>
      </c>
      <c r="GE8" s="358">
        <v>186</v>
      </c>
      <c r="GF8" s="358">
        <v>170</v>
      </c>
      <c r="GG8" s="358">
        <v>102</v>
      </c>
      <c r="GH8" s="358">
        <v>114</v>
      </c>
      <c r="GI8" s="361">
        <v>140</v>
      </c>
    </row>
    <row r="9" spans="1:191">
      <c r="A9" s="336" t="s">
        <v>490</v>
      </c>
      <c r="B9" s="358">
        <v>13</v>
      </c>
      <c r="C9" s="358">
        <v>9</v>
      </c>
      <c r="D9" s="358">
        <v>7</v>
      </c>
      <c r="E9" s="358">
        <v>6</v>
      </c>
      <c r="F9" s="358">
        <v>3</v>
      </c>
      <c r="H9" s="358">
        <v>3</v>
      </c>
      <c r="I9" s="358">
        <v>5</v>
      </c>
      <c r="J9" s="358">
        <v>8</v>
      </c>
      <c r="K9" s="358">
        <v>12</v>
      </c>
      <c r="L9" s="358">
        <v>14</v>
      </c>
      <c r="M9" s="358">
        <v>17</v>
      </c>
      <c r="N9" s="358">
        <v>19</v>
      </c>
      <c r="O9" s="358">
        <v>24</v>
      </c>
      <c r="P9" s="358">
        <v>30</v>
      </c>
      <c r="Q9" s="358">
        <v>32</v>
      </c>
      <c r="R9" s="358">
        <v>35</v>
      </c>
      <c r="S9" s="358">
        <v>37</v>
      </c>
      <c r="T9" s="358">
        <v>40</v>
      </c>
      <c r="U9" s="358">
        <v>43</v>
      </c>
      <c r="V9" s="358">
        <v>15</v>
      </c>
      <c r="W9" s="358">
        <v>17</v>
      </c>
      <c r="X9" s="358">
        <v>19</v>
      </c>
      <c r="Y9" s="358">
        <v>21</v>
      </c>
      <c r="Z9" s="358">
        <v>23</v>
      </c>
      <c r="AA9" s="358">
        <v>24</v>
      </c>
      <c r="AB9" s="358">
        <v>26</v>
      </c>
      <c r="AC9" s="358">
        <v>29</v>
      </c>
      <c r="AD9" s="358">
        <v>31</v>
      </c>
      <c r="AE9" s="358">
        <v>36</v>
      </c>
      <c r="AF9" s="358">
        <v>41</v>
      </c>
      <c r="AG9" s="358">
        <v>46</v>
      </c>
      <c r="AH9" s="358">
        <v>47</v>
      </c>
      <c r="AI9" s="358">
        <v>48</v>
      </c>
      <c r="AJ9" s="358">
        <v>52</v>
      </c>
      <c r="AK9" s="358">
        <v>58</v>
      </c>
      <c r="AL9" s="358">
        <v>64</v>
      </c>
      <c r="AM9" s="358">
        <v>69</v>
      </c>
      <c r="AN9" s="358">
        <v>75</v>
      </c>
      <c r="AO9" s="358">
        <v>79</v>
      </c>
      <c r="AP9" s="358">
        <v>85</v>
      </c>
      <c r="AQ9" s="358">
        <v>91</v>
      </c>
      <c r="AR9" s="358">
        <v>95</v>
      </c>
      <c r="AS9" s="358">
        <v>107</v>
      </c>
      <c r="AT9" s="358">
        <v>115</v>
      </c>
      <c r="AU9" s="358">
        <v>125</v>
      </c>
      <c r="AV9" s="358">
        <v>134</v>
      </c>
      <c r="AW9" s="358">
        <v>142</v>
      </c>
      <c r="AX9" s="358">
        <v>16</v>
      </c>
      <c r="AY9" s="358">
        <v>20</v>
      </c>
      <c r="AZ9" s="358">
        <v>21</v>
      </c>
      <c r="BA9" s="358">
        <v>22</v>
      </c>
      <c r="BB9" s="358">
        <v>23</v>
      </c>
      <c r="BC9" s="358">
        <v>26</v>
      </c>
      <c r="BD9" s="358">
        <v>30</v>
      </c>
      <c r="BE9" s="358">
        <v>32</v>
      </c>
      <c r="BF9" s="358">
        <v>33</v>
      </c>
      <c r="BG9" s="358">
        <v>36</v>
      </c>
      <c r="BH9" s="358">
        <v>37</v>
      </c>
      <c r="BI9" s="358">
        <v>38</v>
      </c>
      <c r="BJ9" s="358">
        <v>40</v>
      </c>
      <c r="BK9" s="358">
        <v>41</v>
      </c>
      <c r="BL9" s="358">
        <v>42</v>
      </c>
      <c r="BM9" s="358">
        <v>44</v>
      </c>
      <c r="BN9" s="358">
        <v>45</v>
      </c>
      <c r="BO9" s="358">
        <v>48</v>
      </c>
      <c r="BP9" s="358">
        <v>53</v>
      </c>
      <c r="BQ9" s="358">
        <v>57</v>
      </c>
      <c r="BR9" s="358">
        <v>67</v>
      </c>
      <c r="BS9" s="358">
        <v>74</v>
      </c>
      <c r="BT9" s="358">
        <v>78</v>
      </c>
      <c r="BU9" s="358">
        <v>81</v>
      </c>
      <c r="BV9" s="358">
        <v>18</v>
      </c>
      <c r="BW9" s="358">
        <v>19</v>
      </c>
      <c r="BX9" s="358">
        <v>22</v>
      </c>
      <c r="BY9" s="358">
        <v>26</v>
      </c>
      <c r="BZ9" s="358">
        <v>31</v>
      </c>
      <c r="CA9" s="358">
        <v>35</v>
      </c>
      <c r="CB9" s="358">
        <v>42</v>
      </c>
      <c r="CC9" s="358">
        <v>47</v>
      </c>
      <c r="CD9" s="358">
        <v>50</v>
      </c>
      <c r="CE9" s="358">
        <v>54</v>
      </c>
      <c r="CF9" s="358">
        <v>56</v>
      </c>
      <c r="CG9" s="358">
        <v>63</v>
      </c>
      <c r="CH9" s="358">
        <v>65</v>
      </c>
      <c r="CI9" s="358">
        <v>69</v>
      </c>
      <c r="CJ9" s="358">
        <v>72</v>
      </c>
      <c r="CK9" s="358">
        <v>79</v>
      </c>
      <c r="CL9" s="358">
        <v>85</v>
      </c>
      <c r="CM9" s="358">
        <v>89</v>
      </c>
      <c r="CN9" s="358">
        <v>94</v>
      </c>
      <c r="CO9" s="358">
        <v>101</v>
      </c>
      <c r="CP9" s="358">
        <v>112</v>
      </c>
      <c r="CQ9" s="358">
        <v>125</v>
      </c>
      <c r="CR9" s="358">
        <v>130</v>
      </c>
      <c r="CS9" s="358">
        <v>11</v>
      </c>
      <c r="CT9" s="358">
        <v>16</v>
      </c>
      <c r="CU9" s="358">
        <v>22</v>
      </c>
      <c r="CV9" s="358">
        <v>28</v>
      </c>
      <c r="CW9" s="358">
        <v>34</v>
      </c>
      <c r="CX9" s="358">
        <v>39</v>
      </c>
      <c r="CY9" s="358">
        <v>46</v>
      </c>
      <c r="CZ9" s="358">
        <v>49</v>
      </c>
      <c r="DA9" s="358">
        <v>53</v>
      </c>
      <c r="DB9" s="358">
        <v>58</v>
      </c>
      <c r="DC9" s="358">
        <v>69</v>
      </c>
      <c r="DD9" s="358">
        <v>79</v>
      </c>
      <c r="DE9" s="358">
        <v>83</v>
      </c>
      <c r="DF9" s="358">
        <v>89</v>
      </c>
      <c r="DG9" s="358">
        <v>98</v>
      </c>
      <c r="DH9" s="358">
        <v>103</v>
      </c>
      <c r="DI9" s="358">
        <v>110</v>
      </c>
      <c r="DJ9" s="358">
        <v>119</v>
      </c>
      <c r="DK9" s="358">
        <v>126</v>
      </c>
      <c r="DL9" s="358">
        <v>134</v>
      </c>
      <c r="DM9" s="358">
        <v>146</v>
      </c>
      <c r="DN9" s="358">
        <v>149</v>
      </c>
      <c r="DO9" s="358">
        <v>160</v>
      </c>
      <c r="DP9" s="358">
        <v>169</v>
      </c>
      <c r="DQ9" s="358">
        <v>20</v>
      </c>
      <c r="DR9" s="358">
        <v>25</v>
      </c>
      <c r="DS9" s="358">
        <v>29</v>
      </c>
      <c r="DT9" s="358">
        <v>31</v>
      </c>
      <c r="DU9" s="358">
        <v>34</v>
      </c>
      <c r="DV9" s="358">
        <v>35</v>
      </c>
      <c r="DW9" s="358">
        <v>41</v>
      </c>
      <c r="DX9" s="358">
        <v>44</v>
      </c>
      <c r="DY9" s="358">
        <v>50</v>
      </c>
      <c r="DZ9" s="358">
        <v>55</v>
      </c>
      <c r="EA9" s="358">
        <v>59</v>
      </c>
      <c r="EB9" s="358">
        <v>63</v>
      </c>
      <c r="EC9" s="358">
        <v>68</v>
      </c>
      <c r="ED9" s="358">
        <v>74</v>
      </c>
      <c r="EE9" s="358">
        <v>80</v>
      </c>
      <c r="EF9" s="358">
        <v>83</v>
      </c>
      <c r="EG9" s="358">
        <v>87</v>
      </c>
      <c r="EH9" s="358">
        <v>92</v>
      </c>
      <c r="EI9" s="358">
        <v>97</v>
      </c>
      <c r="EJ9" s="358">
        <v>101</v>
      </c>
      <c r="EK9" s="358">
        <v>106</v>
      </c>
      <c r="EL9" s="358">
        <v>110</v>
      </c>
      <c r="EM9" s="358">
        <v>159</v>
      </c>
      <c r="EN9" s="358">
        <v>171</v>
      </c>
      <c r="EO9" s="358">
        <v>182</v>
      </c>
      <c r="EP9" s="358">
        <v>192</v>
      </c>
      <c r="EQ9" s="358">
        <v>199</v>
      </c>
      <c r="ES9" s="358">
        <v>211</v>
      </c>
      <c r="ET9" s="358">
        <v>216</v>
      </c>
      <c r="EU9" s="358">
        <v>225</v>
      </c>
      <c r="EV9" s="358">
        <v>231</v>
      </c>
      <c r="EW9" s="358">
        <v>155</v>
      </c>
      <c r="EX9" s="358">
        <v>166</v>
      </c>
      <c r="EY9" s="358">
        <v>177</v>
      </c>
      <c r="EZ9" s="358">
        <v>193</v>
      </c>
      <c r="FA9" s="358">
        <v>201</v>
      </c>
      <c r="FB9" s="358">
        <v>211</v>
      </c>
      <c r="FC9" s="358">
        <v>225</v>
      </c>
      <c r="FD9" s="358">
        <v>237</v>
      </c>
      <c r="FE9" s="358">
        <v>244</v>
      </c>
      <c r="FF9" s="358">
        <v>249</v>
      </c>
      <c r="FG9" s="358">
        <v>261</v>
      </c>
      <c r="FH9" s="358">
        <v>270</v>
      </c>
      <c r="FI9" s="358">
        <v>281</v>
      </c>
      <c r="FJ9" s="358">
        <v>287</v>
      </c>
      <c r="FK9" s="358">
        <v>292</v>
      </c>
      <c r="FL9" s="358">
        <v>134</v>
      </c>
      <c r="FM9" s="358">
        <v>144</v>
      </c>
      <c r="FN9" s="358">
        <v>150</v>
      </c>
      <c r="FO9" s="358">
        <v>157</v>
      </c>
      <c r="FP9" s="358">
        <v>170</v>
      </c>
      <c r="FQ9" s="358">
        <v>185</v>
      </c>
      <c r="FR9" s="358">
        <v>193</v>
      </c>
      <c r="FS9" s="358">
        <v>200</v>
      </c>
      <c r="FT9" s="358">
        <v>207</v>
      </c>
      <c r="FU9" s="358">
        <v>214</v>
      </c>
      <c r="FV9" s="358">
        <v>224</v>
      </c>
      <c r="FW9" s="358">
        <v>85</v>
      </c>
      <c r="FX9" s="358">
        <v>132</v>
      </c>
      <c r="FY9" s="358">
        <v>139</v>
      </c>
      <c r="FZ9" s="358">
        <v>167</v>
      </c>
      <c r="GA9" s="358">
        <v>236</v>
      </c>
      <c r="GB9" s="358">
        <v>272</v>
      </c>
      <c r="GC9" s="358">
        <v>124</v>
      </c>
      <c r="GD9" s="358">
        <v>160</v>
      </c>
      <c r="GE9" s="358">
        <v>189</v>
      </c>
      <c r="GF9" s="358">
        <v>173</v>
      </c>
      <c r="GG9" s="358">
        <v>105</v>
      </c>
      <c r="GH9" s="358">
        <v>117</v>
      </c>
      <c r="GI9" s="361">
        <v>143</v>
      </c>
    </row>
    <row r="10" spans="1:191">
      <c r="A10" s="336" t="s">
        <v>489</v>
      </c>
      <c r="B10" s="358">
        <v>16</v>
      </c>
      <c r="C10" s="358">
        <v>12</v>
      </c>
      <c r="D10" s="358">
        <v>10</v>
      </c>
      <c r="E10" s="358">
        <v>9</v>
      </c>
      <c r="F10" s="358">
        <v>6</v>
      </c>
      <c r="G10" s="358">
        <v>3</v>
      </c>
      <c r="I10" s="358">
        <v>2</v>
      </c>
      <c r="J10" s="358">
        <v>5</v>
      </c>
      <c r="K10" s="358">
        <v>9</v>
      </c>
      <c r="L10" s="358">
        <v>11</v>
      </c>
      <c r="M10" s="358">
        <v>14</v>
      </c>
      <c r="N10" s="358">
        <v>16</v>
      </c>
      <c r="O10" s="358">
        <v>21</v>
      </c>
      <c r="P10" s="358">
        <v>27</v>
      </c>
      <c r="Q10" s="358">
        <v>29</v>
      </c>
      <c r="R10" s="358">
        <v>32</v>
      </c>
      <c r="S10" s="358">
        <v>34</v>
      </c>
      <c r="T10" s="358">
        <v>37</v>
      </c>
      <c r="U10" s="358">
        <v>40</v>
      </c>
      <c r="V10" s="358">
        <v>18</v>
      </c>
      <c r="W10" s="358">
        <v>20</v>
      </c>
      <c r="X10" s="358">
        <v>22</v>
      </c>
      <c r="Y10" s="358">
        <v>24</v>
      </c>
      <c r="Z10" s="358">
        <v>26</v>
      </c>
      <c r="AA10" s="358">
        <v>27</v>
      </c>
      <c r="AB10" s="358">
        <v>29</v>
      </c>
      <c r="AC10" s="358">
        <v>32</v>
      </c>
      <c r="AD10" s="358">
        <v>34</v>
      </c>
      <c r="AE10" s="358">
        <v>39</v>
      </c>
      <c r="AF10" s="358">
        <v>44</v>
      </c>
      <c r="AG10" s="358">
        <v>49</v>
      </c>
      <c r="AH10" s="358">
        <v>50</v>
      </c>
      <c r="AI10" s="358">
        <v>51</v>
      </c>
      <c r="AJ10" s="358">
        <v>55</v>
      </c>
      <c r="AK10" s="358">
        <v>61</v>
      </c>
      <c r="AL10" s="358">
        <v>67</v>
      </c>
      <c r="AM10" s="358">
        <v>72</v>
      </c>
      <c r="AN10" s="358">
        <v>78</v>
      </c>
      <c r="AO10" s="358">
        <v>82</v>
      </c>
      <c r="AP10" s="358">
        <v>88</v>
      </c>
      <c r="AQ10" s="358">
        <v>94</v>
      </c>
      <c r="AR10" s="358">
        <v>98</v>
      </c>
      <c r="AS10" s="358">
        <v>110</v>
      </c>
      <c r="AT10" s="358">
        <v>118</v>
      </c>
      <c r="AU10" s="358">
        <v>128</v>
      </c>
      <c r="AV10" s="358">
        <v>137</v>
      </c>
      <c r="AW10" s="358">
        <v>145</v>
      </c>
      <c r="AX10" s="358">
        <v>19</v>
      </c>
      <c r="AY10" s="358">
        <v>23</v>
      </c>
      <c r="AZ10" s="358">
        <v>24</v>
      </c>
      <c r="BA10" s="358">
        <v>25</v>
      </c>
      <c r="BB10" s="358">
        <v>26</v>
      </c>
      <c r="BC10" s="358">
        <v>29</v>
      </c>
      <c r="BD10" s="358">
        <v>33</v>
      </c>
      <c r="BE10" s="358">
        <v>35</v>
      </c>
      <c r="BF10" s="358">
        <v>36</v>
      </c>
      <c r="BG10" s="358">
        <v>39</v>
      </c>
      <c r="BH10" s="358">
        <v>40</v>
      </c>
      <c r="BI10" s="358">
        <v>41</v>
      </c>
      <c r="BJ10" s="358">
        <v>43</v>
      </c>
      <c r="BK10" s="358">
        <v>44</v>
      </c>
      <c r="BL10" s="358">
        <v>45</v>
      </c>
      <c r="BM10" s="358">
        <v>47</v>
      </c>
      <c r="BN10" s="358">
        <v>48</v>
      </c>
      <c r="BO10" s="358">
        <v>51</v>
      </c>
      <c r="BP10" s="358">
        <v>56</v>
      </c>
      <c r="BQ10" s="358">
        <v>60</v>
      </c>
      <c r="BR10" s="358">
        <v>70</v>
      </c>
      <c r="BS10" s="358">
        <v>77</v>
      </c>
      <c r="BT10" s="358">
        <v>81</v>
      </c>
      <c r="BU10" s="358">
        <v>84</v>
      </c>
      <c r="BV10" s="358">
        <v>21</v>
      </c>
      <c r="BW10" s="358">
        <v>22</v>
      </c>
      <c r="BX10" s="358">
        <v>25</v>
      </c>
      <c r="BY10" s="358">
        <v>29</v>
      </c>
      <c r="BZ10" s="358">
        <v>34</v>
      </c>
      <c r="CA10" s="358">
        <v>38</v>
      </c>
      <c r="CB10" s="358">
        <v>45</v>
      </c>
      <c r="CC10" s="358">
        <v>50</v>
      </c>
      <c r="CD10" s="358">
        <v>53</v>
      </c>
      <c r="CE10" s="358">
        <v>57</v>
      </c>
      <c r="CF10" s="358">
        <v>59</v>
      </c>
      <c r="CG10" s="358">
        <v>66</v>
      </c>
      <c r="CH10" s="358">
        <v>68</v>
      </c>
      <c r="CI10" s="358">
        <v>72</v>
      </c>
      <c r="CJ10" s="358">
        <v>75</v>
      </c>
      <c r="CK10" s="358">
        <v>82</v>
      </c>
      <c r="CL10" s="358">
        <v>88</v>
      </c>
      <c r="CM10" s="358">
        <v>92</v>
      </c>
      <c r="CN10" s="358">
        <v>97</v>
      </c>
      <c r="CO10" s="358">
        <v>104</v>
      </c>
      <c r="CP10" s="358">
        <v>115</v>
      </c>
      <c r="CQ10" s="358">
        <v>128</v>
      </c>
      <c r="CR10" s="358">
        <v>133</v>
      </c>
      <c r="CS10" s="358">
        <v>14</v>
      </c>
      <c r="CT10" s="358">
        <v>19</v>
      </c>
      <c r="CU10" s="358">
        <v>25</v>
      </c>
      <c r="CV10" s="358">
        <v>31</v>
      </c>
      <c r="CW10" s="358">
        <v>37</v>
      </c>
      <c r="CX10" s="358">
        <v>42</v>
      </c>
      <c r="CY10" s="358">
        <v>49</v>
      </c>
      <c r="CZ10" s="358">
        <v>52</v>
      </c>
      <c r="DA10" s="358">
        <v>56</v>
      </c>
      <c r="DB10" s="358">
        <v>61</v>
      </c>
      <c r="DC10" s="358">
        <v>72</v>
      </c>
      <c r="DD10" s="358">
        <v>82</v>
      </c>
      <c r="DE10" s="358">
        <v>86</v>
      </c>
      <c r="DF10" s="358">
        <v>92</v>
      </c>
      <c r="DG10" s="358">
        <v>101</v>
      </c>
      <c r="DH10" s="358">
        <v>106</v>
      </c>
      <c r="DI10" s="358">
        <v>113</v>
      </c>
      <c r="DJ10" s="358">
        <v>122</v>
      </c>
      <c r="DK10" s="358">
        <v>129</v>
      </c>
      <c r="DL10" s="358">
        <v>137</v>
      </c>
      <c r="DM10" s="358">
        <v>149</v>
      </c>
      <c r="DN10" s="358">
        <v>152</v>
      </c>
      <c r="DO10" s="358">
        <v>163</v>
      </c>
      <c r="DP10" s="358">
        <v>172</v>
      </c>
      <c r="DQ10" s="358">
        <v>23</v>
      </c>
      <c r="DR10" s="358">
        <v>28</v>
      </c>
      <c r="DS10" s="358">
        <v>32</v>
      </c>
      <c r="DT10" s="358">
        <v>34</v>
      </c>
      <c r="DU10" s="358">
        <v>37</v>
      </c>
      <c r="DV10" s="358">
        <v>38</v>
      </c>
      <c r="DW10" s="358">
        <v>44</v>
      </c>
      <c r="DX10" s="358">
        <v>47</v>
      </c>
      <c r="DY10" s="358">
        <v>53</v>
      </c>
      <c r="DZ10" s="358">
        <v>58</v>
      </c>
      <c r="EA10" s="358">
        <v>62</v>
      </c>
      <c r="EB10" s="358">
        <v>66</v>
      </c>
      <c r="EC10" s="358">
        <v>71</v>
      </c>
      <c r="ED10" s="358">
        <v>77</v>
      </c>
      <c r="EE10" s="358">
        <v>83</v>
      </c>
      <c r="EF10" s="358">
        <v>86</v>
      </c>
      <c r="EG10" s="358">
        <v>90</v>
      </c>
      <c r="EH10" s="358">
        <v>95</v>
      </c>
      <c r="EI10" s="358">
        <v>100</v>
      </c>
      <c r="EJ10" s="358">
        <v>104</v>
      </c>
      <c r="EK10" s="358">
        <v>109</v>
      </c>
      <c r="EL10" s="358">
        <v>113</v>
      </c>
      <c r="EM10" s="358">
        <v>162</v>
      </c>
      <c r="EN10" s="358">
        <v>174</v>
      </c>
      <c r="EO10" s="358">
        <v>185</v>
      </c>
      <c r="EP10" s="358">
        <v>195</v>
      </c>
      <c r="EQ10" s="358">
        <v>202</v>
      </c>
      <c r="ES10" s="358">
        <v>214</v>
      </c>
      <c r="ET10" s="358">
        <v>219</v>
      </c>
      <c r="EU10" s="358">
        <v>228</v>
      </c>
      <c r="EV10" s="358">
        <v>234</v>
      </c>
      <c r="EW10" s="358">
        <v>158</v>
      </c>
      <c r="EX10" s="358">
        <v>169</v>
      </c>
      <c r="EY10" s="358">
        <v>180</v>
      </c>
      <c r="EZ10" s="358">
        <v>196</v>
      </c>
      <c r="FA10" s="358">
        <v>204</v>
      </c>
      <c r="FB10" s="358">
        <v>214</v>
      </c>
      <c r="FC10" s="358">
        <v>228</v>
      </c>
      <c r="FD10" s="358">
        <v>240</v>
      </c>
      <c r="FE10" s="358">
        <v>247</v>
      </c>
      <c r="FF10" s="358">
        <v>252</v>
      </c>
      <c r="FG10" s="358">
        <v>264</v>
      </c>
      <c r="FH10" s="358">
        <v>273</v>
      </c>
      <c r="FI10" s="358">
        <v>284</v>
      </c>
      <c r="FJ10" s="358">
        <v>290</v>
      </c>
      <c r="FK10" s="358">
        <v>295</v>
      </c>
      <c r="FL10" s="358">
        <v>137</v>
      </c>
      <c r="FM10" s="358">
        <v>147</v>
      </c>
      <c r="FN10" s="358">
        <v>153</v>
      </c>
      <c r="FO10" s="358">
        <v>160</v>
      </c>
      <c r="FP10" s="358">
        <v>173</v>
      </c>
      <c r="FQ10" s="358">
        <v>188</v>
      </c>
      <c r="FR10" s="358">
        <v>196</v>
      </c>
      <c r="FS10" s="358">
        <v>203</v>
      </c>
      <c r="FT10" s="358">
        <v>210</v>
      </c>
      <c r="FU10" s="358">
        <v>217</v>
      </c>
      <c r="FV10" s="358">
        <v>227</v>
      </c>
      <c r="FW10" s="358">
        <v>88</v>
      </c>
      <c r="FX10" s="358">
        <v>135</v>
      </c>
      <c r="FY10" s="358">
        <v>142</v>
      </c>
      <c r="FZ10" s="358">
        <v>170</v>
      </c>
      <c r="GA10" s="358">
        <v>239</v>
      </c>
      <c r="GB10" s="358">
        <v>275</v>
      </c>
      <c r="GC10" s="358">
        <v>127</v>
      </c>
      <c r="GD10" s="358">
        <v>163</v>
      </c>
      <c r="GE10" s="358">
        <v>192</v>
      </c>
      <c r="GF10" s="358">
        <v>176</v>
      </c>
      <c r="GG10" s="358">
        <v>108</v>
      </c>
      <c r="GH10" s="358">
        <v>120</v>
      </c>
      <c r="GI10" s="361">
        <v>146</v>
      </c>
    </row>
    <row r="11" spans="1:191">
      <c r="A11" s="336" t="s">
        <v>488</v>
      </c>
      <c r="B11" s="358">
        <v>18</v>
      </c>
      <c r="C11" s="358">
        <v>14</v>
      </c>
      <c r="D11" s="358">
        <v>12</v>
      </c>
      <c r="E11" s="358">
        <v>11</v>
      </c>
      <c r="F11" s="358">
        <v>8</v>
      </c>
      <c r="G11" s="358">
        <v>5</v>
      </c>
      <c r="H11" s="358">
        <v>2</v>
      </c>
      <c r="J11" s="358">
        <v>3</v>
      </c>
      <c r="K11" s="358">
        <v>7</v>
      </c>
      <c r="L11" s="358">
        <v>9</v>
      </c>
      <c r="M11" s="358">
        <v>12</v>
      </c>
      <c r="N11" s="358">
        <v>14</v>
      </c>
      <c r="O11" s="358">
        <v>19</v>
      </c>
      <c r="P11" s="358">
        <v>25</v>
      </c>
      <c r="Q11" s="358">
        <v>27</v>
      </c>
      <c r="R11" s="358">
        <v>30</v>
      </c>
      <c r="S11" s="358">
        <v>32</v>
      </c>
      <c r="T11" s="358">
        <v>35</v>
      </c>
      <c r="U11" s="358">
        <v>38</v>
      </c>
      <c r="V11" s="358">
        <v>20</v>
      </c>
      <c r="W11" s="358">
        <v>22</v>
      </c>
      <c r="X11" s="358">
        <v>24</v>
      </c>
      <c r="Y11" s="358">
        <v>26</v>
      </c>
      <c r="Z11" s="358">
        <v>28</v>
      </c>
      <c r="AA11" s="358">
        <v>29</v>
      </c>
      <c r="AB11" s="358">
        <v>31</v>
      </c>
      <c r="AC11" s="358">
        <v>34</v>
      </c>
      <c r="AD11" s="358">
        <v>36</v>
      </c>
      <c r="AE11" s="358">
        <v>41</v>
      </c>
      <c r="AF11" s="358">
        <v>46</v>
      </c>
      <c r="AG11" s="358">
        <v>51</v>
      </c>
      <c r="AH11" s="358">
        <v>52</v>
      </c>
      <c r="AI11" s="358">
        <v>53</v>
      </c>
      <c r="AJ11" s="358">
        <v>57</v>
      </c>
      <c r="AK11" s="358">
        <v>63</v>
      </c>
      <c r="AL11" s="358">
        <v>69</v>
      </c>
      <c r="AM11" s="358">
        <v>74</v>
      </c>
      <c r="AN11" s="358">
        <v>80</v>
      </c>
      <c r="AO11" s="358">
        <v>84</v>
      </c>
      <c r="AP11" s="358">
        <v>90</v>
      </c>
      <c r="AQ11" s="358">
        <v>96</v>
      </c>
      <c r="AR11" s="358">
        <v>100</v>
      </c>
      <c r="AS11" s="358">
        <v>112</v>
      </c>
      <c r="AT11" s="358">
        <v>120</v>
      </c>
      <c r="AU11" s="358">
        <v>130</v>
      </c>
      <c r="AV11" s="358">
        <v>139</v>
      </c>
      <c r="AW11" s="358">
        <v>147</v>
      </c>
      <c r="AX11" s="358">
        <v>21</v>
      </c>
      <c r="AY11" s="358">
        <v>25</v>
      </c>
      <c r="AZ11" s="358">
        <v>26</v>
      </c>
      <c r="BA11" s="358">
        <v>27</v>
      </c>
      <c r="BB11" s="358">
        <v>28</v>
      </c>
      <c r="BC11" s="358">
        <v>31</v>
      </c>
      <c r="BD11" s="358">
        <v>35</v>
      </c>
      <c r="BE11" s="358">
        <v>37</v>
      </c>
      <c r="BF11" s="358">
        <v>38</v>
      </c>
      <c r="BG11" s="358">
        <v>41</v>
      </c>
      <c r="BH11" s="358">
        <v>42</v>
      </c>
      <c r="BI11" s="358">
        <v>43</v>
      </c>
      <c r="BJ11" s="358">
        <v>45</v>
      </c>
      <c r="BK11" s="358">
        <v>46</v>
      </c>
      <c r="BL11" s="358">
        <v>47</v>
      </c>
      <c r="BM11" s="358">
        <v>49</v>
      </c>
      <c r="BN11" s="358">
        <v>50</v>
      </c>
      <c r="BO11" s="358">
        <v>53</v>
      </c>
      <c r="BP11" s="358">
        <v>58</v>
      </c>
      <c r="BQ11" s="358">
        <v>62</v>
      </c>
      <c r="BR11" s="358">
        <v>72</v>
      </c>
      <c r="BS11" s="358">
        <v>79</v>
      </c>
      <c r="BT11" s="358">
        <v>83</v>
      </c>
      <c r="BU11" s="358">
        <v>86</v>
      </c>
      <c r="BV11" s="358">
        <v>23</v>
      </c>
      <c r="BW11" s="358">
        <v>24</v>
      </c>
      <c r="BX11" s="358">
        <v>27</v>
      </c>
      <c r="BY11" s="358">
        <v>31</v>
      </c>
      <c r="BZ11" s="358">
        <v>36</v>
      </c>
      <c r="CA11" s="358">
        <v>40</v>
      </c>
      <c r="CB11" s="358">
        <v>47</v>
      </c>
      <c r="CC11" s="358">
        <v>52</v>
      </c>
      <c r="CD11" s="358">
        <v>55</v>
      </c>
      <c r="CE11" s="358">
        <v>59</v>
      </c>
      <c r="CF11" s="358">
        <v>61</v>
      </c>
      <c r="CG11" s="358">
        <v>68</v>
      </c>
      <c r="CH11" s="358">
        <v>70</v>
      </c>
      <c r="CI11" s="358">
        <v>74</v>
      </c>
      <c r="CJ11" s="358">
        <v>77</v>
      </c>
      <c r="CK11" s="358">
        <v>84</v>
      </c>
      <c r="CL11" s="358">
        <v>90</v>
      </c>
      <c r="CM11" s="358">
        <v>94</v>
      </c>
      <c r="CN11" s="358">
        <v>99</v>
      </c>
      <c r="CO11" s="358">
        <v>106</v>
      </c>
      <c r="CP11" s="358">
        <v>117</v>
      </c>
      <c r="CQ11" s="358">
        <v>130</v>
      </c>
      <c r="CR11" s="358">
        <v>135</v>
      </c>
      <c r="CS11" s="358">
        <v>16</v>
      </c>
      <c r="CT11" s="358">
        <v>21</v>
      </c>
      <c r="CU11" s="358">
        <v>27</v>
      </c>
      <c r="CV11" s="358">
        <v>33</v>
      </c>
      <c r="CW11" s="358">
        <v>39</v>
      </c>
      <c r="CX11" s="358">
        <v>44</v>
      </c>
      <c r="CY11" s="358">
        <v>51</v>
      </c>
      <c r="CZ11" s="358">
        <v>54</v>
      </c>
      <c r="DA11" s="358">
        <v>58</v>
      </c>
      <c r="DB11" s="358">
        <v>63</v>
      </c>
      <c r="DC11" s="358">
        <v>74</v>
      </c>
      <c r="DD11" s="358">
        <v>84</v>
      </c>
      <c r="DE11" s="358">
        <v>88</v>
      </c>
      <c r="DF11" s="358">
        <v>94</v>
      </c>
      <c r="DG11" s="358">
        <v>103</v>
      </c>
      <c r="DH11" s="358">
        <v>108</v>
      </c>
      <c r="DI11" s="358">
        <v>115</v>
      </c>
      <c r="DJ11" s="358">
        <v>124</v>
      </c>
      <c r="DK11" s="358">
        <v>131</v>
      </c>
      <c r="DL11" s="358">
        <v>139</v>
      </c>
      <c r="DM11" s="358">
        <v>151</v>
      </c>
      <c r="DN11" s="358">
        <v>154</v>
      </c>
      <c r="DO11" s="358">
        <v>165</v>
      </c>
      <c r="DP11" s="358">
        <v>174</v>
      </c>
      <c r="DQ11" s="358">
        <v>25</v>
      </c>
      <c r="DR11" s="358">
        <v>30</v>
      </c>
      <c r="DS11" s="358">
        <v>34</v>
      </c>
      <c r="DT11" s="358">
        <v>36</v>
      </c>
      <c r="DU11" s="358">
        <v>39</v>
      </c>
      <c r="DV11" s="358">
        <v>40</v>
      </c>
      <c r="DW11" s="358">
        <v>46</v>
      </c>
      <c r="DX11" s="358">
        <v>49</v>
      </c>
      <c r="DY11" s="358">
        <v>55</v>
      </c>
      <c r="DZ11" s="358">
        <v>60</v>
      </c>
      <c r="EA11" s="358">
        <v>64</v>
      </c>
      <c r="EB11" s="358">
        <v>68</v>
      </c>
      <c r="EC11" s="358">
        <v>73</v>
      </c>
      <c r="ED11" s="358">
        <v>79</v>
      </c>
      <c r="EE11" s="358">
        <v>85</v>
      </c>
      <c r="EF11" s="358">
        <v>88</v>
      </c>
      <c r="EG11" s="358">
        <v>92</v>
      </c>
      <c r="EH11" s="358">
        <v>97</v>
      </c>
      <c r="EI11" s="358">
        <v>102</v>
      </c>
      <c r="EJ11" s="358">
        <v>106</v>
      </c>
      <c r="EK11" s="358">
        <v>111</v>
      </c>
      <c r="EL11" s="358">
        <v>115</v>
      </c>
      <c r="EM11" s="358">
        <v>164</v>
      </c>
      <c r="EN11" s="358">
        <v>176</v>
      </c>
      <c r="EO11" s="358">
        <v>187</v>
      </c>
      <c r="EP11" s="358">
        <v>197</v>
      </c>
      <c r="EQ11" s="358">
        <v>204</v>
      </c>
      <c r="ES11" s="358">
        <v>216</v>
      </c>
      <c r="ET11" s="358">
        <v>221</v>
      </c>
      <c r="EU11" s="358">
        <v>230</v>
      </c>
      <c r="EV11" s="358">
        <v>236</v>
      </c>
      <c r="EW11" s="358">
        <v>160</v>
      </c>
      <c r="EX11" s="358">
        <v>171</v>
      </c>
      <c r="EY11" s="358">
        <v>182</v>
      </c>
      <c r="EZ11" s="358">
        <v>198</v>
      </c>
      <c r="FA11" s="358">
        <v>206</v>
      </c>
      <c r="FB11" s="358">
        <v>216</v>
      </c>
      <c r="FC11" s="358">
        <v>230</v>
      </c>
      <c r="FD11" s="358">
        <v>242</v>
      </c>
      <c r="FE11" s="358">
        <v>249</v>
      </c>
      <c r="FF11" s="358">
        <v>254</v>
      </c>
      <c r="FG11" s="358">
        <v>266</v>
      </c>
      <c r="FH11" s="358">
        <v>275</v>
      </c>
      <c r="FI11" s="358">
        <v>286</v>
      </c>
      <c r="FJ11" s="358">
        <v>292</v>
      </c>
      <c r="FK11" s="358">
        <v>297</v>
      </c>
      <c r="FL11" s="358">
        <v>139</v>
      </c>
      <c r="FM11" s="358">
        <v>149</v>
      </c>
      <c r="FN11" s="358">
        <v>155</v>
      </c>
      <c r="FO11" s="358">
        <v>162</v>
      </c>
      <c r="FP11" s="358">
        <v>175</v>
      </c>
      <c r="FQ11" s="358">
        <v>190</v>
      </c>
      <c r="FR11" s="358">
        <v>198</v>
      </c>
      <c r="FS11" s="358">
        <v>205</v>
      </c>
      <c r="FT11" s="358">
        <v>212</v>
      </c>
      <c r="FU11" s="358">
        <v>219</v>
      </c>
      <c r="FV11" s="358">
        <v>229</v>
      </c>
      <c r="FW11" s="358">
        <v>90</v>
      </c>
      <c r="FX11" s="358">
        <v>137</v>
      </c>
      <c r="FY11" s="358">
        <v>144</v>
      </c>
      <c r="FZ11" s="358">
        <v>172</v>
      </c>
      <c r="GA11" s="358">
        <v>241</v>
      </c>
      <c r="GB11" s="358">
        <v>277</v>
      </c>
      <c r="GC11" s="358">
        <v>129</v>
      </c>
      <c r="GD11" s="358">
        <v>165</v>
      </c>
      <c r="GE11" s="358">
        <v>194</v>
      </c>
      <c r="GF11" s="358">
        <v>178</v>
      </c>
      <c r="GG11" s="358">
        <v>110</v>
      </c>
      <c r="GH11" s="358">
        <v>122</v>
      </c>
      <c r="GI11" s="361">
        <v>148</v>
      </c>
    </row>
    <row r="12" spans="1:191">
      <c r="A12" s="336" t="s">
        <v>487</v>
      </c>
      <c r="B12" s="358">
        <v>21</v>
      </c>
      <c r="C12" s="358">
        <v>17</v>
      </c>
      <c r="D12" s="358">
        <v>15</v>
      </c>
      <c r="E12" s="358">
        <v>14</v>
      </c>
      <c r="F12" s="358">
        <v>11</v>
      </c>
      <c r="G12" s="358">
        <v>8</v>
      </c>
      <c r="H12" s="358">
        <v>5</v>
      </c>
      <c r="I12" s="358">
        <v>3</v>
      </c>
      <c r="K12" s="358">
        <v>4</v>
      </c>
      <c r="L12" s="358">
        <v>6</v>
      </c>
      <c r="M12" s="358">
        <v>9</v>
      </c>
      <c r="N12" s="358">
        <v>11</v>
      </c>
      <c r="O12" s="358">
        <v>16</v>
      </c>
      <c r="P12" s="358">
        <v>22</v>
      </c>
      <c r="Q12" s="358">
        <v>24</v>
      </c>
      <c r="R12" s="358">
        <v>27</v>
      </c>
      <c r="S12" s="358">
        <v>29</v>
      </c>
      <c r="T12" s="358">
        <v>32</v>
      </c>
      <c r="U12" s="358">
        <v>35</v>
      </c>
      <c r="V12" s="358">
        <v>23</v>
      </c>
      <c r="W12" s="358">
        <v>25</v>
      </c>
      <c r="X12" s="358">
        <v>27</v>
      </c>
      <c r="Y12" s="358">
        <v>29</v>
      </c>
      <c r="Z12" s="358">
        <v>31</v>
      </c>
      <c r="AA12" s="358">
        <v>32</v>
      </c>
      <c r="AB12" s="358">
        <v>34</v>
      </c>
      <c r="AC12" s="358">
        <v>37</v>
      </c>
      <c r="AD12" s="358">
        <v>39</v>
      </c>
      <c r="AE12" s="358">
        <v>44</v>
      </c>
      <c r="AF12" s="358">
        <v>49</v>
      </c>
      <c r="AG12" s="358">
        <v>54</v>
      </c>
      <c r="AH12" s="358">
        <v>55</v>
      </c>
      <c r="AI12" s="358">
        <v>56</v>
      </c>
      <c r="AJ12" s="358">
        <v>60</v>
      </c>
      <c r="AK12" s="358">
        <v>66</v>
      </c>
      <c r="AL12" s="358">
        <v>72</v>
      </c>
      <c r="AM12" s="358">
        <v>77</v>
      </c>
      <c r="AN12" s="358">
        <v>83</v>
      </c>
      <c r="AO12" s="358">
        <v>87</v>
      </c>
      <c r="AP12" s="358">
        <v>93</v>
      </c>
      <c r="AQ12" s="358">
        <v>99</v>
      </c>
      <c r="AR12" s="358">
        <v>103</v>
      </c>
      <c r="AS12" s="358">
        <v>115</v>
      </c>
      <c r="AT12" s="358">
        <v>123</v>
      </c>
      <c r="AU12" s="358">
        <v>133</v>
      </c>
      <c r="AV12" s="358">
        <v>142</v>
      </c>
      <c r="AW12" s="358">
        <v>150</v>
      </c>
      <c r="AX12" s="358">
        <v>24</v>
      </c>
      <c r="AY12" s="358">
        <v>28</v>
      </c>
      <c r="AZ12" s="358">
        <v>29</v>
      </c>
      <c r="BA12" s="358">
        <v>30</v>
      </c>
      <c r="BB12" s="358">
        <v>31</v>
      </c>
      <c r="BC12" s="358">
        <v>34</v>
      </c>
      <c r="BD12" s="358">
        <v>38</v>
      </c>
      <c r="BE12" s="358">
        <v>40</v>
      </c>
      <c r="BF12" s="358">
        <v>41</v>
      </c>
      <c r="BG12" s="358">
        <v>44</v>
      </c>
      <c r="BH12" s="358">
        <v>45</v>
      </c>
      <c r="BI12" s="358">
        <v>46</v>
      </c>
      <c r="BJ12" s="358">
        <v>48</v>
      </c>
      <c r="BK12" s="358">
        <v>49</v>
      </c>
      <c r="BL12" s="358">
        <v>50</v>
      </c>
      <c r="BM12" s="358">
        <v>52</v>
      </c>
      <c r="BN12" s="358">
        <v>53</v>
      </c>
      <c r="BO12" s="358">
        <v>56</v>
      </c>
      <c r="BP12" s="358">
        <v>61</v>
      </c>
      <c r="BQ12" s="358">
        <v>65</v>
      </c>
      <c r="BR12" s="358">
        <v>75</v>
      </c>
      <c r="BS12" s="358">
        <v>82</v>
      </c>
      <c r="BT12" s="358">
        <v>86</v>
      </c>
      <c r="BU12" s="358">
        <v>89</v>
      </c>
      <c r="BV12" s="358">
        <v>26</v>
      </c>
      <c r="BW12" s="358">
        <v>27</v>
      </c>
      <c r="BX12" s="358">
        <v>30</v>
      </c>
      <c r="BY12" s="358">
        <v>34</v>
      </c>
      <c r="BZ12" s="358">
        <v>39</v>
      </c>
      <c r="CA12" s="358">
        <v>43</v>
      </c>
      <c r="CB12" s="358">
        <v>50</v>
      </c>
      <c r="CC12" s="358">
        <v>55</v>
      </c>
      <c r="CD12" s="358">
        <v>58</v>
      </c>
      <c r="CE12" s="358">
        <v>62</v>
      </c>
      <c r="CF12" s="358">
        <v>64</v>
      </c>
      <c r="CG12" s="358">
        <v>71</v>
      </c>
      <c r="CH12" s="358">
        <v>73</v>
      </c>
      <c r="CI12" s="358">
        <v>77</v>
      </c>
      <c r="CJ12" s="358">
        <v>80</v>
      </c>
      <c r="CK12" s="358">
        <v>87</v>
      </c>
      <c r="CL12" s="358">
        <v>93</v>
      </c>
      <c r="CM12" s="358">
        <v>97</v>
      </c>
      <c r="CN12" s="358">
        <v>102</v>
      </c>
      <c r="CO12" s="358">
        <v>109</v>
      </c>
      <c r="CP12" s="358">
        <v>120</v>
      </c>
      <c r="CQ12" s="358">
        <v>133</v>
      </c>
      <c r="CR12" s="358">
        <v>138</v>
      </c>
      <c r="CS12" s="358">
        <v>19</v>
      </c>
      <c r="CT12" s="358">
        <v>24</v>
      </c>
      <c r="CU12" s="358">
        <v>30</v>
      </c>
      <c r="CV12" s="358">
        <v>36</v>
      </c>
      <c r="CW12" s="358">
        <v>42</v>
      </c>
      <c r="CX12" s="358">
        <v>47</v>
      </c>
      <c r="CY12" s="358">
        <v>54</v>
      </c>
      <c r="CZ12" s="358">
        <v>57</v>
      </c>
      <c r="DA12" s="358">
        <v>61</v>
      </c>
      <c r="DB12" s="358">
        <v>66</v>
      </c>
      <c r="DC12" s="358">
        <v>77</v>
      </c>
      <c r="DD12" s="358">
        <v>87</v>
      </c>
      <c r="DE12" s="358">
        <v>91</v>
      </c>
      <c r="DF12" s="358">
        <v>97</v>
      </c>
      <c r="DG12" s="358">
        <v>106</v>
      </c>
      <c r="DH12" s="358">
        <v>111</v>
      </c>
      <c r="DI12" s="358">
        <v>118</v>
      </c>
      <c r="DJ12" s="358">
        <v>127</v>
      </c>
      <c r="DK12" s="358">
        <v>134</v>
      </c>
      <c r="DL12" s="358">
        <v>142</v>
      </c>
      <c r="DM12" s="358">
        <v>154</v>
      </c>
      <c r="DN12" s="358">
        <v>157</v>
      </c>
      <c r="DO12" s="358">
        <v>168</v>
      </c>
      <c r="DP12" s="358">
        <v>177</v>
      </c>
      <c r="DQ12" s="358">
        <v>28</v>
      </c>
      <c r="DR12" s="358">
        <v>33</v>
      </c>
      <c r="DS12" s="358">
        <v>37</v>
      </c>
      <c r="DT12" s="358">
        <v>39</v>
      </c>
      <c r="DU12" s="358">
        <v>42</v>
      </c>
      <c r="DV12" s="358">
        <v>43</v>
      </c>
      <c r="DW12" s="358">
        <v>49</v>
      </c>
      <c r="DX12" s="358">
        <v>52</v>
      </c>
      <c r="DY12" s="358">
        <v>58</v>
      </c>
      <c r="DZ12" s="358">
        <v>63</v>
      </c>
      <c r="EA12" s="358">
        <v>67</v>
      </c>
      <c r="EB12" s="358">
        <v>71</v>
      </c>
      <c r="EC12" s="358">
        <v>76</v>
      </c>
      <c r="ED12" s="358">
        <v>82</v>
      </c>
      <c r="EE12" s="358">
        <v>88</v>
      </c>
      <c r="EF12" s="358">
        <v>91</v>
      </c>
      <c r="EG12" s="358">
        <v>95</v>
      </c>
      <c r="EH12" s="358">
        <v>100</v>
      </c>
      <c r="EI12" s="358">
        <v>105</v>
      </c>
      <c r="EJ12" s="358">
        <v>109</v>
      </c>
      <c r="EK12" s="358">
        <v>114</v>
      </c>
      <c r="EL12" s="358">
        <v>118</v>
      </c>
      <c r="EM12" s="358">
        <v>167</v>
      </c>
      <c r="EN12" s="358">
        <v>179</v>
      </c>
      <c r="EO12" s="358">
        <v>190</v>
      </c>
      <c r="EP12" s="358">
        <v>200</v>
      </c>
      <c r="EQ12" s="358">
        <v>207</v>
      </c>
      <c r="ES12" s="358">
        <v>219</v>
      </c>
      <c r="ET12" s="358">
        <v>224</v>
      </c>
      <c r="EU12" s="358">
        <v>233</v>
      </c>
      <c r="EV12" s="358">
        <v>239</v>
      </c>
      <c r="EW12" s="358">
        <v>163</v>
      </c>
      <c r="EX12" s="358">
        <v>174</v>
      </c>
      <c r="EY12" s="358">
        <v>185</v>
      </c>
      <c r="EZ12" s="358">
        <v>201</v>
      </c>
      <c r="FA12" s="358">
        <v>209</v>
      </c>
      <c r="FB12" s="358">
        <v>219</v>
      </c>
      <c r="FC12" s="358">
        <v>233</v>
      </c>
      <c r="FD12" s="358">
        <v>245</v>
      </c>
      <c r="FE12" s="358">
        <v>252</v>
      </c>
      <c r="FF12" s="358">
        <v>257</v>
      </c>
      <c r="FG12" s="358">
        <v>269</v>
      </c>
      <c r="FH12" s="358">
        <v>278</v>
      </c>
      <c r="FI12" s="358">
        <v>289</v>
      </c>
      <c r="FJ12" s="358">
        <v>295</v>
      </c>
      <c r="FK12" s="358">
        <v>300</v>
      </c>
      <c r="FL12" s="358">
        <v>142</v>
      </c>
      <c r="FM12" s="358">
        <v>152</v>
      </c>
      <c r="FN12" s="358">
        <v>158</v>
      </c>
      <c r="FO12" s="358">
        <v>165</v>
      </c>
      <c r="FP12" s="358">
        <v>178</v>
      </c>
      <c r="FQ12" s="358">
        <v>193</v>
      </c>
      <c r="FR12" s="358">
        <v>201</v>
      </c>
      <c r="FS12" s="358">
        <v>208</v>
      </c>
      <c r="FT12" s="358">
        <v>215</v>
      </c>
      <c r="FU12" s="358">
        <v>222</v>
      </c>
      <c r="FV12" s="358">
        <v>232</v>
      </c>
      <c r="FW12" s="358">
        <v>93</v>
      </c>
      <c r="FX12" s="358">
        <v>140</v>
      </c>
      <c r="FY12" s="358">
        <v>147</v>
      </c>
      <c r="FZ12" s="358">
        <v>175</v>
      </c>
      <c r="GA12" s="358">
        <v>244</v>
      </c>
      <c r="GB12" s="358">
        <v>280</v>
      </c>
      <c r="GC12" s="358">
        <v>132</v>
      </c>
      <c r="GD12" s="358">
        <v>168</v>
      </c>
      <c r="GE12" s="358">
        <v>197</v>
      </c>
      <c r="GF12" s="358">
        <v>181</v>
      </c>
      <c r="GG12" s="358">
        <v>113</v>
      </c>
      <c r="GH12" s="358">
        <v>125</v>
      </c>
      <c r="GI12" s="361">
        <v>151</v>
      </c>
    </row>
    <row r="13" spans="1:191">
      <c r="A13" s="336" t="s">
        <v>486</v>
      </c>
      <c r="B13" s="358">
        <v>25</v>
      </c>
      <c r="C13" s="358">
        <v>21</v>
      </c>
      <c r="D13" s="358">
        <v>19</v>
      </c>
      <c r="E13" s="358">
        <v>18</v>
      </c>
      <c r="F13" s="358">
        <v>15</v>
      </c>
      <c r="G13" s="358">
        <v>12</v>
      </c>
      <c r="H13" s="358">
        <v>9</v>
      </c>
      <c r="I13" s="358">
        <v>7</v>
      </c>
      <c r="J13" s="358">
        <v>4</v>
      </c>
      <c r="L13" s="358">
        <v>2</v>
      </c>
      <c r="M13" s="358">
        <v>5</v>
      </c>
      <c r="N13" s="358">
        <v>7</v>
      </c>
      <c r="O13" s="358">
        <v>12</v>
      </c>
      <c r="P13" s="358">
        <v>18</v>
      </c>
      <c r="Q13" s="358">
        <v>20</v>
      </c>
      <c r="R13" s="358">
        <v>23</v>
      </c>
      <c r="S13" s="358">
        <v>25</v>
      </c>
      <c r="T13" s="358">
        <v>28</v>
      </c>
      <c r="U13" s="358">
        <v>31</v>
      </c>
      <c r="V13" s="358">
        <v>27</v>
      </c>
      <c r="W13" s="358">
        <v>29</v>
      </c>
      <c r="X13" s="358">
        <v>31</v>
      </c>
      <c r="Y13" s="358">
        <v>33</v>
      </c>
      <c r="Z13" s="358">
        <v>35</v>
      </c>
      <c r="AA13" s="358">
        <v>36</v>
      </c>
      <c r="AB13" s="358">
        <v>38</v>
      </c>
      <c r="AC13" s="358">
        <v>41</v>
      </c>
      <c r="AD13" s="358">
        <v>43</v>
      </c>
      <c r="AE13" s="358">
        <v>48</v>
      </c>
      <c r="AF13" s="358">
        <v>53</v>
      </c>
      <c r="AG13" s="358">
        <v>58</v>
      </c>
      <c r="AH13" s="358">
        <v>59</v>
      </c>
      <c r="AI13" s="358">
        <v>60</v>
      </c>
      <c r="AJ13" s="358">
        <v>64</v>
      </c>
      <c r="AK13" s="358">
        <v>70</v>
      </c>
      <c r="AL13" s="358">
        <v>76</v>
      </c>
      <c r="AM13" s="358">
        <v>81</v>
      </c>
      <c r="AN13" s="358">
        <v>87</v>
      </c>
      <c r="AO13" s="358">
        <v>91</v>
      </c>
      <c r="AP13" s="358">
        <v>97</v>
      </c>
      <c r="AQ13" s="358">
        <v>103</v>
      </c>
      <c r="AR13" s="358">
        <v>107</v>
      </c>
      <c r="AS13" s="358">
        <v>119</v>
      </c>
      <c r="AT13" s="358">
        <v>127</v>
      </c>
      <c r="AU13" s="358">
        <v>137</v>
      </c>
      <c r="AV13" s="358">
        <v>146</v>
      </c>
      <c r="AW13" s="358">
        <v>154</v>
      </c>
      <c r="AX13" s="358">
        <v>28</v>
      </c>
      <c r="AY13" s="358">
        <v>32</v>
      </c>
      <c r="AZ13" s="358">
        <v>33</v>
      </c>
      <c r="BA13" s="358">
        <v>34</v>
      </c>
      <c r="BB13" s="358">
        <v>35</v>
      </c>
      <c r="BC13" s="358">
        <v>38</v>
      </c>
      <c r="BD13" s="358">
        <v>42</v>
      </c>
      <c r="BE13" s="358">
        <v>44</v>
      </c>
      <c r="BF13" s="358">
        <v>45</v>
      </c>
      <c r="BG13" s="358">
        <v>48</v>
      </c>
      <c r="BH13" s="358">
        <v>49</v>
      </c>
      <c r="BI13" s="358">
        <v>50</v>
      </c>
      <c r="BJ13" s="358">
        <v>52</v>
      </c>
      <c r="BK13" s="358">
        <v>53</v>
      </c>
      <c r="BL13" s="358">
        <v>54</v>
      </c>
      <c r="BM13" s="358">
        <v>56</v>
      </c>
      <c r="BN13" s="358">
        <v>57</v>
      </c>
      <c r="BO13" s="358">
        <v>60</v>
      </c>
      <c r="BP13" s="358">
        <v>65</v>
      </c>
      <c r="BQ13" s="358">
        <v>69</v>
      </c>
      <c r="BR13" s="358">
        <v>79</v>
      </c>
      <c r="BS13" s="358">
        <v>86</v>
      </c>
      <c r="BT13" s="358">
        <v>90</v>
      </c>
      <c r="BU13" s="358">
        <v>93</v>
      </c>
      <c r="BV13" s="358">
        <v>30</v>
      </c>
      <c r="BW13" s="358">
        <v>31</v>
      </c>
      <c r="BX13" s="358">
        <v>34</v>
      </c>
      <c r="BY13" s="358">
        <v>38</v>
      </c>
      <c r="BZ13" s="358">
        <v>43</v>
      </c>
      <c r="CA13" s="358">
        <v>47</v>
      </c>
      <c r="CB13" s="358">
        <v>54</v>
      </c>
      <c r="CC13" s="358">
        <v>59</v>
      </c>
      <c r="CD13" s="358">
        <v>62</v>
      </c>
      <c r="CE13" s="358">
        <v>66</v>
      </c>
      <c r="CF13" s="358">
        <v>68</v>
      </c>
      <c r="CG13" s="358">
        <v>75</v>
      </c>
      <c r="CH13" s="358">
        <v>77</v>
      </c>
      <c r="CI13" s="358">
        <v>81</v>
      </c>
      <c r="CJ13" s="358">
        <v>84</v>
      </c>
      <c r="CK13" s="358">
        <v>91</v>
      </c>
      <c r="CL13" s="358">
        <v>97</v>
      </c>
      <c r="CM13" s="358">
        <v>101</v>
      </c>
      <c r="CN13" s="358">
        <v>106</v>
      </c>
      <c r="CO13" s="358">
        <v>113</v>
      </c>
      <c r="CP13" s="358">
        <v>124</v>
      </c>
      <c r="CQ13" s="358">
        <v>137</v>
      </c>
      <c r="CR13" s="358">
        <v>142</v>
      </c>
      <c r="CS13" s="358">
        <v>23</v>
      </c>
      <c r="CT13" s="358">
        <v>28</v>
      </c>
      <c r="CU13" s="358">
        <v>34</v>
      </c>
      <c r="CV13" s="358">
        <v>40</v>
      </c>
      <c r="CW13" s="358">
        <v>46</v>
      </c>
      <c r="CX13" s="358">
        <v>51</v>
      </c>
      <c r="CY13" s="358">
        <v>58</v>
      </c>
      <c r="CZ13" s="358">
        <v>61</v>
      </c>
      <c r="DA13" s="358">
        <v>65</v>
      </c>
      <c r="DB13" s="358">
        <v>70</v>
      </c>
      <c r="DC13" s="358">
        <v>81</v>
      </c>
      <c r="DD13" s="358">
        <v>91</v>
      </c>
      <c r="DE13" s="358">
        <v>95</v>
      </c>
      <c r="DF13" s="358">
        <v>101</v>
      </c>
      <c r="DG13" s="358">
        <v>110</v>
      </c>
      <c r="DH13" s="358">
        <v>115</v>
      </c>
      <c r="DI13" s="358">
        <v>122</v>
      </c>
      <c r="DJ13" s="358">
        <v>131</v>
      </c>
      <c r="DK13" s="358">
        <v>138</v>
      </c>
      <c r="DL13" s="358">
        <v>146</v>
      </c>
      <c r="DM13" s="358">
        <v>158</v>
      </c>
      <c r="DN13" s="358">
        <v>161</v>
      </c>
      <c r="DO13" s="358">
        <v>172</v>
      </c>
      <c r="DP13" s="358">
        <v>181</v>
      </c>
      <c r="DQ13" s="358">
        <v>32</v>
      </c>
      <c r="DR13" s="358">
        <v>37</v>
      </c>
      <c r="DS13" s="358">
        <v>41</v>
      </c>
      <c r="DT13" s="358">
        <v>43</v>
      </c>
      <c r="DU13" s="358">
        <v>46</v>
      </c>
      <c r="DV13" s="358">
        <v>47</v>
      </c>
      <c r="DW13" s="358">
        <v>53</v>
      </c>
      <c r="DX13" s="358">
        <v>56</v>
      </c>
      <c r="DY13" s="358">
        <v>62</v>
      </c>
      <c r="DZ13" s="358">
        <v>67</v>
      </c>
      <c r="EA13" s="358">
        <v>71</v>
      </c>
      <c r="EB13" s="358">
        <v>75</v>
      </c>
      <c r="EC13" s="358">
        <v>80</v>
      </c>
      <c r="ED13" s="358">
        <v>86</v>
      </c>
      <c r="EE13" s="358">
        <v>92</v>
      </c>
      <c r="EF13" s="358">
        <v>95</v>
      </c>
      <c r="EG13" s="358">
        <v>99</v>
      </c>
      <c r="EH13" s="358">
        <v>104</v>
      </c>
      <c r="EI13" s="358">
        <v>109</v>
      </c>
      <c r="EJ13" s="358">
        <v>113</v>
      </c>
      <c r="EK13" s="358">
        <v>118</v>
      </c>
      <c r="EL13" s="358">
        <v>122</v>
      </c>
      <c r="EM13" s="358">
        <v>171</v>
      </c>
      <c r="EN13" s="358">
        <v>183</v>
      </c>
      <c r="EO13" s="358">
        <v>194</v>
      </c>
      <c r="EP13" s="358">
        <v>204</v>
      </c>
      <c r="EQ13" s="358">
        <v>211</v>
      </c>
      <c r="ES13" s="358">
        <v>223</v>
      </c>
      <c r="ET13" s="358">
        <v>228</v>
      </c>
      <c r="EU13" s="358">
        <v>237</v>
      </c>
      <c r="EV13" s="358">
        <v>243</v>
      </c>
      <c r="EW13" s="358">
        <v>167</v>
      </c>
      <c r="EX13" s="358">
        <v>178</v>
      </c>
      <c r="EY13" s="358">
        <v>189</v>
      </c>
      <c r="EZ13" s="358">
        <v>205</v>
      </c>
      <c r="FA13" s="358">
        <v>213</v>
      </c>
      <c r="FB13" s="358">
        <v>223</v>
      </c>
      <c r="FC13" s="358">
        <v>237</v>
      </c>
      <c r="FD13" s="358">
        <v>249</v>
      </c>
      <c r="FE13" s="358">
        <v>256</v>
      </c>
      <c r="FF13" s="358">
        <v>261</v>
      </c>
      <c r="FG13" s="358">
        <v>273</v>
      </c>
      <c r="FH13" s="358">
        <v>282</v>
      </c>
      <c r="FI13" s="358">
        <v>293</v>
      </c>
      <c r="FJ13" s="358">
        <v>299</v>
      </c>
      <c r="FK13" s="358">
        <v>304</v>
      </c>
      <c r="FL13" s="358">
        <v>146</v>
      </c>
      <c r="FM13" s="358">
        <v>156</v>
      </c>
      <c r="FN13" s="358">
        <v>162</v>
      </c>
      <c r="FO13" s="358">
        <v>169</v>
      </c>
      <c r="FP13" s="358">
        <v>182</v>
      </c>
      <c r="FQ13" s="358">
        <v>197</v>
      </c>
      <c r="FR13" s="358">
        <v>205</v>
      </c>
      <c r="FS13" s="358">
        <v>212</v>
      </c>
      <c r="FT13" s="358">
        <v>219</v>
      </c>
      <c r="FU13" s="358">
        <v>226</v>
      </c>
      <c r="FV13" s="358">
        <v>236</v>
      </c>
      <c r="FW13" s="358">
        <v>97</v>
      </c>
      <c r="FX13" s="358">
        <v>144</v>
      </c>
      <c r="FY13" s="358">
        <v>151</v>
      </c>
      <c r="FZ13" s="358">
        <v>179</v>
      </c>
      <c r="GA13" s="358">
        <v>248</v>
      </c>
      <c r="GB13" s="358">
        <v>284</v>
      </c>
      <c r="GC13" s="358">
        <v>136</v>
      </c>
      <c r="GD13" s="358">
        <v>172</v>
      </c>
      <c r="GE13" s="358">
        <v>201</v>
      </c>
      <c r="GF13" s="358">
        <v>185</v>
      </c>
      <c r="GG13" s="358">
        <v>117</v>
      </c>
      <c r="GH13" s="358">
        <v>129</v>
      </c>
      <c r="GI13" s="361">
        <v>155</v>
      </c>
    </row>
    <row r="14" spans="1:191">
      <c r="A14" s="336" t="s">
        <v>485</v>
      </c>
      <c r="B14" s="358">
        <v>27</v>
      </c>
      <c r="C14" s="358">
        <v>23</v>
      </c>
      <c r="D14" s="358">
        <v>21</v>
      </c>
      <c r="E14" s="358">
        <v>20</v>
      </c>
      <c r="F14" s="358">
        <v>17</v>
      </c>
      <c r="G14" s="358">
        <v>14</v>
      </c>
      <c r="H14" s="358">
        <v>11</v>
      </c>
      <c r="I14" s="358">
        <v>9</v>
      </c>
      <c r="J14" s="358">
        <v>6</v>
      </c>
      <c r="K14" s="358">
        <v>2</v>
      </c>
      <c r="M14" s="358">
        <v>3</v>
      </c>
      <c r="N14" s="358">
        <v>5</v>
      </c>
      <c r="O14" s="358">
        <v>10</v>
      </c>
      <c r="P14" s="358">
        <v>16</v>
      </c>
      <c r="Q14" s="358">
        <v>18</v>
      </c>
      <c r="R14" s="358">
        <v>21</v>
      </c>
      <c r="S14" s="358">
        <v>23</v>
      </c>
      <c r="T14" s="358">
        <v>26</v>
      </c>
      <c r="U14" s="358">
        <v>29</v>
      </c>
      <c r="V14" s="358">
        <v>29</v>
      </c>
      <c r="W14" s="358">
        <v>31</v>
      </c>
      <c r="X14" s="358">
        <v>33</v>
      </c>
      <c r="Y14" s="358">
        <v>35</v>
      </c>
      <c r="Z14" s="358">
        <v>37</v>
      </c>
      <c r="AA14" s="358">
        <v>38</v>
      </c>
      <c r="AB14" s="358">
        <v>40</v>
      </c>
      <c r="AC14" s="358">
        <v>43</v>
      </c>
      <c r="AD14" s="358">
        <v>45</v>
      </c>
      <c r="AE14" s="358">
        <v>50</v>
      </c>
      <c r="AF14" s="358">
        <v>55</v>
      </c>
      <c r="AG14" s="358">
        <v>60</v>
      </c>
      <c r="AH14" s="358">
        <v>61</v>
      </c>
      <c r="AI14" s="358">
        <v>62</v>
      </c>
      <c r="AJ14" s="358">
        <v>66</v>
      </c>
      <c r="AK14" s="358">
        <v>72</v>
      </c>
      <c r="AL14" s="358">
        <v>78</v>
      </c>
      <c r="AM14" s="358">
        <v>83</v>
      </c>
      <c r="AN14" s="358">
        <v>89</v>
      </c>
      <c r="AO14" s="358">
        <v>93</v>
      </c>
      <c r="AP14" s="358">
        <v>99</v>
      </c>
      <c r="AQ14" s="358">
        <v>105</v>
      </c>
      <c r="AR14" s="358">
        <v>109</v>
      </c>
      <c r="AS14" s="358">
        <v>121</v>
      </c>
      <c r="AT14" s="358">
        <v>129</v>
      </c>
      <c r="AU14" s="358">
        <v>139</v>
      </c>
      <c r="AV14" s="358">
        <v>148</v>
      </c>
      <c r="AW14" s="358">
        <v>156</v>
      </c>
      <c r="AX14" s="358">
        <v>30</v>
      </c>
      <c r="AY14" s="358">
        <v>34</v>
      </c>
      <c r="AZ14" s="358">
        <v>35</v>
      </c>
      <c r="BA14" s="358">
        <v>36</v>
      </c>
      <c r="BB14" s="358">
        <v>37</v>
      </c>
      <c r="BC14" s="358">
        <v>40</v>
      </c>
      <c r="BD14" s="358">
        <v>44</v>
      </c>
      <c r="BE14" s="358">
        <v>46</v>
      </c>
      <c r="BF14" s="358">
        <v>47</v>
      </c>
      <c r="BG14" s="358">
        <v>50</v>
      </c>
      <c r="BH14" s="358">
        <v>51</v>
      </c>
      <c r="BI14" s="358">
        <v>52</v>
      </c>
      <c r="BJ14" s="358">
        <v>54</v>
      </c>
      <c r="BK14" s="358">
        <v>55</v>
      </c>
      <c r="BL14" s="358">
        <v>56</v>
      </c>
      <c r="BM14" s="358">
        <v>58</v>
      </c>
      <c r="BN14" s="358">
        <v>59</v>
      </c>
      <c r="BO14" s="358">
        <v>62</v>
      </c>
      <c r="BP14" s="358">
        <v>67</v>
      </c>
      <c r="BQ14" s="358">
        <v>71</v>
      </c>
      <c r="BR14" s="358">
        <v>81</v>
      </c>
      <c r="BS14" s="358">
        <v>88</v>
      </c>
      <c r="BT14" s="358">
        <v>92</v>
      </c>
      <c r="BU14" s="358">
        <v>95</v>
      </c>
      <c r="BV14" s="358">
        <v>32</v>
      </c>
      <c r="BW14" s="358">
        <v>33</v>
      </c>
      <c r="BX14" s="358">
        <v>36</v>
      </c>
      <c r="BY14" s="358">
        <v>40</v>
      </c>
      <c r="BZ14" s="358">
        <v>45</v>
      </c>
      <c r="CA14" s="358">
        <v>49</v>
      </c>
      <c r="CB14" s="358">
        <v>56</v>
      </c>
      <c r="CC14" s="358">
        <v>61</v>
      </c>
      <c r="CD14" s="358">
        <v>64</v>
      </c>
      <c r="CE14" s="358">
        <v>68</v>
      </c>
      <c r="CF14" s="358">
        <v>70</v>
      </c>
      <c r="CG14" s="358">
        <v>77</v>
      </c>
      <c r="CH14" s="358">
        <v>79</v>
      </c>
      <c r="CI14" s="358">
        <v>83</v>
      </c>
      <c r="CJ14" s="358">
        <v>86</v>
      </c>
      <c r="CK14" s="358">
        <v>93</v>
      </c>
      <c r="CL14" s="358">
        <v>99</v>
      </c>
      <c r="CM14" s="358">
        <v>103</v>
      </c>
      <c r="CN14" s="358">
        <v>108</v>
      </c>
      <c r="CO14" s="358">
        <v>115</v>
      </c>
      <c r="CP14" s="358">
        <v>126</v>
      </c>
      <c r="CQ14" s="358">
        <v>139</v>
      </c>
      <c r="CR14" s="358">
        <v>144</v>
      </c>
      <c r="CS14" s="358">
        <v>25</v>
      </c>
      <c r="CT14" s="358">
        <v>30</v>
      </c>
      <c r="CU14" s="358">
        <v>36</v>
      </c>
      <c r="CV14" s="358">
        <v>42</v>
      </c>
      <c r="CW14" s="358">
        <v>48</v>
      </c>
      <c r="CX14" s="358">
        <v>53</v>
      </c>
      <c r="CY14" s="358">
        <v>60</v>
      </c>
      <c r="CZ14" s="358">
        <v>63</v>
      </c>
      <c r="DA14" s="358">
        <v>67</v>
      </c>
      <c r="DB14" s="358">
        <v>72</v>
      </c>
      <c r="DC14" s="358">
        <v>83</v>
      </c>
      <c r="DD14" s="358">
        <v>93</v>
      </c>
      <c r="DE14" s="358">
        <v>97</v>
      </c>
      <c r="DF14" s="358">
        <v>103</v>
      </c>
      <c r="DG14" s="358">
        <v>112</v>
      </c>
      <c r="DH14" s="358">
        <v>117</v>
      </c>
      <c r="DI14" s="358">
        <v>124</v>
      </c>
      <c r="DJ14" s="358">
        <v>133</v>
      </c>
      <c r="DK14" s="358">
        <v>140</v>
      </c>
      <c r="DL14" s="358">
        <v>148</v>
      </c>
      <c r="DM14" s="358">
        <v>160</v>
      </c>
      <c r="DN14" s="358">
        <v>163</v>
      </c>
      <c r="DO14" s="358">
        <v>174</v>
      </c>
      <c r="DP14" s="358">
        <v>183</v>
      </c>
      <c r="DQ14" s="358">
        <v>34</v>
      </c>
      <c r="DR14" s="358">
        <v>39</v>
      </c>
      <c r="DS14" s="358">
        <v>43</v>
      </c>
      <c r="DT14" s="358">
        <v>45</v>
      </c>
      <c r="DU14" s="358">
        <v>48</v>
      </c>
      <c r="DV14" s="358">
        <v>49</v>
      </c>
      <c r="DW14" s="358">
        <v>55</v>
      </c>
      <c r="DX14" s="358">
        <v>58</v>
      </c>
      <c r="DY14" s="358">
        <v>64</v>
      </c>
      <c r="DZ14" s="358">
        <v>69</v>
      </c>
      <c r="EA14" s="358">
        <v>73</v>
      </c>
      <c r="EB14" s="358">
        <v>77</v>
      </c>
      <c r="EC14" s="358">
        <v>82</v>
      </c>
      <c r="ED14" s="358">
        <v>88</v>
      </c>
      <c r="EE14" s="358">
        <v>94</v>
      </c>
      <c r="EF14" s="358">
        <v>97</v>
      </c>
      <c r="EG14" s="358">
        <v>101</v>
      </c>
      <c r="EH14" s="358">
        <v>106</v>
      </c>
      <c r="EI14" s="358">
        <v>111</v>
      </c>
      <c r="EJ14" s="358">
        <v>115</v>
      </c>
      <c r="EK14" s="358">
        <v>120</v>
      </c>
      <c r="EL14" s="358">
        <v>124</v>
      </c>
      <c r="EM14" s="358">
        <v>173</v>
      </c>
      <c r="EN14" s="358">
        <v>185</v>
      </c>
      <c r="EO14" s="358">
        <v>196</v>
      </c>
      <c r="EP14" s="358">
        <v>206</v>
      </c>
      <c r="EQ14" s="358">
        <v>213</v>
      </c>
      <c r="ES14" s="358">
        <v>225</v>
      </c>
      <c r="ET14" s="358">
        <v>230</v>
      </c>
      <c r="EU14" s="358">
        <v>239</v>
      </c>
      <c r="EV14" s="358">
        <v>245</v>
      </c>
      <c r="EW14" s="358">
        <v>169</v>
      </c>
      <c r="EX14" s="358">
        <v>180</v>
      </c>
      <c r="EY14" s="358">
        <v>191</v>
      </c>
      <c r="EZ14" s="358">
        <v>207</v>
      </c>
      <c r="FA14" s="358">
        <v>215</v>
      </c>
      <c r="FB14" s="358">
        <v>225</v>
      </c>
      <c r="FC14" s="358">
        <v>239</v>
      </c>
      <c r="FD14" s="358">
        <v>251</v>
      </c>
      <c r="FE14" s="358">
        <v>258</v>
      </c>
      <c r="FF14" s="358">
        <v>263</v>
      </c>
      <c r="FG14" s="358">
        <v>275</v>
      </c>
      <c r="FH14" s="358">
        <v>284</v>
      </c>
      <c r="FI14" s="358">
        <v>295</v>
      </c>
      <c r="FJ14" s="358">
        <v>301</v>
      </c>
      <c r="FK14" s="358">
        <v>306</v>
      </c>
      <c r="FL14" s="358">
        <v>148</v>
      </c>
      <c r="FM14" s="358">
        <v>158</v>
      </c>
      <c r="FN14" s="358">
        <v>164</v>
      </c>
      <c r="FO14" s="358">
        <v>171</v>
      </c>
      <c r="FP14" s="358">
        <v>184</v>
      </c>
      <c r="FQ14" s="358">
        <v>199</v>
      </c>
      <c r="FR14" s="358">
        <v>207</v>
      </c>
      <c r="FS14" s="358">
        <v>214</v>
      </c>
      <c r="FT14" s="358">
        <v>221</v>
      </c>
      <c r="FU14" s="358">
        <v>228</v>
      </c>
      <c r="FV14" s="358">
        <v>238</v>
      </c>
      <c r="FW14" s="358">
        <v>99</v>
      </c>
      <c r="FX14" s="358">
        <v>146</v>
      </c>
      <c r="FY14" s="358">
        <v>153</v>
      </c>
      <c r="FZ14" s="358">
        <v>181</v>
      </c>
      <c r="GA14" s="358">
        <v>250</v>
      </c>
      <c r="GB14" s="358">
        <v>286</v>
      </c>
      <c r="GC14" s="358">
        <v>138</v>
      </c>
      <c r="GD14" s="358">
        <v>174</v>
      </c>
      <c r="GE14" s="358">
        <v>203</v>
      </c>
      <c r="GF14" s="358">
        <v>187</v>
      </c>
      <c r="GG14" s="358">
        <v>119</v>
      </c>
      <c r="GH14" s="358">
        <v>131</v>
      </c>
      <c r="GI14" s="361">
        <v>157</v>
      </c>
    </row>
    <row r="15" spans="1:191">
      <c r="A15" s="336" t="s">
        <v>484</v>
      </c>
      <c r="B15" s="358">
        <v>30</v>
      </c>
      <c r="C15" s="358">
        <v>26</v>
      </c>
      <c r="D15" s="358">
        <v>24</v>
      </c>
      <c r="E15" s="358">
        <v>23</v>
      </c>
      <c r="F15" s="358">
        <v>20</v>
      </c>
      <c r="G15" s="358">
        <v>17</v>
      </c>
      <c r="H15" s="358">
        <v>14</v>
      </c>
      <c r="I15" s="358">
        <v>12</v>
      </c>
      <c r="J15" s="358">
        <v>9</v>
      </c>
      <c r="K15" s="358">
        <v>5</v>
      </c>
      <c r="L15" s="358">
        <v>3</v>
      </c>
      <c r="N15" s="358">
        <v>2</v>
      </c>
      <c r="O15" s="358">
        <v>7</v>
      </c>
      <c r="P15" s="358">
        <v>13</v>
      </c>
      <c r="Q15" s="358">
        <v>15</v>
      </c>
      <c r="R15" s="358">
        <v>18</v>
      </c>
      <c r="S15" s="358">
        <v>20</v>
      </c>
      <c r="T15" s="358">
        <v>23</v>
      </c>
      <c r="U15" s="358">
        <v>26</v>
      </c>
      <c r="V15" s="358">
        <v>32</v>
      </c>
      <c r="W15" s="358">
        <v>34</v>
      </c>
      <c r="X15" s="358">
        <v>36</v>
      </c>
      <c r="Y15" s="358">
        <v>38</v>
      </c>
      <c r="Z15" s="358">
        <v>40</v>
      </c>
      <c r="AA15" s="358">
        <v>41</v>
      </c>
      <c r="AB15" s="358">
        <v>43</v>
      </c>
      <c r="AC15" s="358">
        <v>46</v>
      </c>
      <c r="AD15" s="358">
        <v>48</v>
      </c>
      <c r="AE15" s="358">
        <v>53</v>
      </c>
      <c r="AF15" s="358">
        <v>58</v>
      </c>
      <c r="AG15" s="358">
        <v>63</v>
      </c>
      <c r="AH15" s="358">
        <v>64</v>
      </c>
      <c r="AI15" s="358">
        <v>65</v>
      </c>
      <c r="AJ15" s="358">
        <v>69</v>
      </c>
      <c r="AK15" s="358">
        <v>75</v>
      </c>
      <c r="AL15" s="358">
        <v>81</v>
      </c>
      <c r="AM15" s="358">
        <v>86</v>
      </c>
      <c r="AN15" s="358">
        <v>92</v>
      </c>
      <c r="AO15" s="358">
        <v>96</v>
      </c>
      <c r="AP15" s="358">
        <v>102</v>
      </c>
      <c r="AQ15" s="358">
        <v>108</v>
      </c>
      <c r="AR15" s="358">
        <v>112</v>
      </c>
      <c r="AS15" s="358">
        <v>124</v>
      </c>
      <c r="AT15" s="358">
        <v>132</v>
      </c>
      <c r="AU15" s="358">
        <v>142</v>
      </c>
      <c r="AV15" s="358">
        <v>151</v>
      </c>
      <c r="AW15" s="358">
        <v>159</v>
      </c>
      <c r="AX15" s="358">
        <v>33</v>
      </c>
      <c r="AY15" s="358">
        <v>37</v>
      </c>
      <c r="AZ15" s="358">
        <v>38</v>
      </c>
      <c r="BA15" s="358">
        <v>39</v>
      </c>
      <c r="BB15" s="358">
        <v>40</v>
      </c>
      <c r="BC15" s="358">
        <v>43</v>
      </c>
      <c r="BD15" s="358">
        <v>47</v>
      </c>
      <c r="BE15" s="358">
        <v>49</v>
      </c>
      <c r="BF15" s="358">
        <v>50</v>
      </c>
      <c r="BG15" s="358">
        <v>53</v>
      </c>
      <c r="BH15" s="358">
        <v>54</v>
      </c>
      <c r="BI15" s="358">
        <v>55</v>
      </c>
      <c r="BJ15" s="358">
        <v>57</v>
      </c>
      <c r="BK15" s="358">
        <v>58</v>
      </c>
      <c r="BL15" s="358">
        <v>59</v>
      </c>
      <c r="BM15" s="358">
        <v>61</v>
      </c>
      <c r="BN15" s="358">
        <v>62</v>
      </c>
      <c r="BO15" s="358">
        <v>65</v>
      </c>
      <c r="BP15" s="358">
        <v>70</v>
      </c>
      <c r="BQ15" s="358">
        <v>74</v>
      </c>
      <c r="BR15" s="358">
        <v>84</v>
      </c>
      <c r="BS15" s="358">
        <v>91</v>
      </c>
      <c r="BT15" s="358">
        <v>95</v>
      </c>
      <c r="BU15" s="358">
        <v>98</v>
      </c>
      <c r="BV15" s="358">
        <v>35</v>
      </c>
      <c r="BW15" s="358">
        <v>36</v>
      </c>
      <c r="BX15" s="358">
        <v>39</v>
      </c>
      <c r="BY15" s="358">
        <v>43</v>
      </c>
      <c r="BZ15" s="358">
        <v>48</v>
      </c>
      <c r="CA15" s="358">
        <v>52</v>
      </c>
      <c r="CB15" s="358">
        <v>59</v>
      </c>
      <c r="CC15" s="358">
        <v>64</v>
      </c>
      <c r="CD15" s="358">
        <v>67</v>
      </c>
      <c r="CE15" s="358">
        <v>71</v>
      </c>
      <c r="CF15" s="358">
        <v>73</v>
      </c>
      <c r="CG15" s="358">
        <v>80</v>
      </c>
      <c r="CH15" s="358">
        <v>82</v>
      </c>
      <c r="CI15" s="358">
        <v>86</v>
      </c>
      <c r="CJ15" s="358">
        <v>89</v>
      </c>
      <c r="CK15" s="358">
        <v>96</v>
      </c>
      <c r="CL15" s="358">
        <v>102</v>
      </c>
      <c r="CM15" s="358">
        <v>106</v>
      </c>
      <c r="CN15" s="358">
        <v>111</v>
      </c>
      <c r="CO15" s="358">
        <v>118</v>
      </c>
      <c r="CP15" s="358">
        <v>129</v>
      </c>
      <c r="CQ15" s="358">
        <v>142</v>
      </c>
      <c r="CR15" s="358">
        <v>147</v>
      </c>
      <c r="CS15" s="358">
        <v>28</v>
      </c>
      <c r="CT15" s="358">
        <v>33</v>
      </c>
      <c r="CU15" s="358">
        <v>39</v>
      </c>
      <c r="CV15" s="358">
        <v>45</v>
      </c>
      <c r="CW15" s="358">
        <v>51</v>
      </c>
      <c r="CX15" s="358">
        <v>56</v>
      </c>
      <c r="CY15" s="358">
        <v>63</v>
      </c>
      <c r="CZ15" s="358">
        <v>66</v>
      </c>
      <c r="DA15" s="358">
        <v>70</v>
      </c>
      <c r="DB15" s="358">
        <v>75</v>
      </c>
      <c r="DC15" s="358">
        <v>86</v>
      </c>
      <c r="DD15" s="358">
        <v>96</v>
      </c>
      <c r="DE15" s="358">
        <v>100</v>
      </c>
      <c r="DF15" s="358">
        <v>106</v>
      </c>
      <c r="DG15" s="358">
        <v>115</v>
      </c>
      <c r="DH15" s="358">
        <v>120</v>
      </c>
      <c r="DI15" s="358">
        <v>127</v>
      </c>
      <c r="DJ15" s="358">
        <v>136</v>
      </c>
      <c r="DK15" s="358">
        <v>143</v>
      </c>
      <c r="DL15" s="358">
        <v>151</v>
      </c>
      <c r="DM15" s="358">
        <v>163</v>
      </c>
      <c r="DN15" s="358">
        <v>166</v>
      </c>
      <c r="DO15" s="358">
        <v>177</v>
      </c>
      <c r="DP15" s="358">
        <v>186</v>
      </c>
      <c r="DQ15" s="358">
        <v>37</v>
      </c>
      <c r="DR15" s="358">
        <v>42</v>
      </c>
      <c r="DS15" s="358">
        <v>46</v>
      </c>
      <c r="DT15" s="358">
        <v>48</v>
      </c>
      <c r="DU15" s="358">
        <v>51</v>
      </c>
      <c r="DV15" s="358">
        <v>52</v>
      </c>
      <c r="DW15" s="358">
        <v>58</v>
      </c>
      <c r="DX15" s="358">
        <v>61</v>
      </c>
      <c r="DY15" s="358">
        <v>67</v>
      </c>
      <c r="DZ15" s="358">
        <v>72</v>
      </c>
      <c r="EA15" s="358">
        <v>76</v>
      </c>
      <c r="EB15" s="358">
        <v>80</v>
      </c>
      <c r="EC15" s="358">
        <v>85</v>
      </c>
      <c r="ED15" s="358">
        <v>91</v>
      </c>
      <c r="EE15" s="358">
        <v>97</v>
      </c>
      <c r="EF15" s="358">
        <v>100</v>
      </c>
      <c r="EG15" s="358">
        <v>104</v>
      </c>
      <c r="EH15" s="358">
        <v>109</v>
      </c>
      <c r="EI15" s="358">
        <v>114</v>
      </c>
      <c r="EJ15" s="358">
        <v>118</v>
      </c>
      <c r="EK15" s="358">
        <v>123</v>
      </c>
      <c r="EL15" s="358">
        <v>127</v>
      </c>
      <c r="EM15" s="358">
        <v>176</v>
      </c>
      <c r="EN15" s="358">
        <v>188</v>
      </c>
      <c r="EO15" s="358">
        <v>199</v>
      </c>
      <c r="EP15" s="358">
        <v>209</v>
      </c>
      <c r="EQ15" s="358">
        <v>216</v>
      </c>
      <c r="ES15" s="358">
        <v>228</v>
      </c>
      <c r="ET15" s="358">
        <v>233</v>
      </c>
      <c r="EU15" s="358">
        <v>242</v>
      </c>
      <c r="EV15" s="358">
        <v>248</v>
      </c>
      <c r="EW15" s="358">
        <v>172</v>
      </c>
      <c r="EX15" s="358">
        <v>183</v>
      </c>
      <c r="EY15" s="358">
        <v>194</v>
      </c>
      <c r="EZ15" s="358">
        <v>210</v>
      </c>
      <c r="FA15" s="358">
        <v>218</v>
      </c>
      <c r="FB15" s="358">
        <v>228</v>
      </c>
      <c r="FC15" s="358">
        <v>242</v>
      </c>
      <c r="FD15" s="358">
        <v>254</v>
      </c>
      <c r="FE15" s="358">
        <v>261</v>
      </c>
      <c r="FF15" s="358">
        <v>266</v>
      </c>
      <c r="FG15" s="358">
        <v>278</v>
      </c>
      <c r="FH15" s="358">
        <v>287</v>
      </c>
      <c r="FI15" s="358">
        <v>298</v>
      </c>
      <c r="FJ15" s="358">
        <v>304</v>
      </c>
      <c r="FK15" s="358">
        <v>309</v>
      </c>
      <c r="FL15" s="358">
        <v>151</v>
      </c>
      <c r="FM15" s="358">
        <v>161</v>
      </c>
      <c r="FN15" s="358">
        <v>167</v>
      </c>
      <c r="FO15" s="358">
        <v>174</v>
      </c>
      <c r="FP15" s="358">
        <v>187</v>
      </c>
      <c r="FQ15" s="358">
        <v>202</v>
      </c>
      <c r="FR15" s="358">
        <v>210</v>
      </c>
      <c r="FS15" s="358">
        <v>217</v>
      </c>
      <c r="FT15" s="358">
        <v>224</v>
      </c>
      <c r="FU15" s="358">
        <v>231</v>
      </c>
      <c r="FV15" s="358">
        <v>241</v>
      </c>
      <c r="FW15" s="358">
        <v>102</v>
      </c>
      <c r="FX15" s="358">
        <v>149</v>
      </c>
      <c r="FY15" s="358">
        <v>156</v>
      </c>
      <c r="FZ15" s="358">
        <v>184</v>
      </c>
      <c r="GA15" s="358">
        <v>253</v>
      </c>
      <c r="GB15" s="358">
        <v>289</v>
      </c>
      <c r="GC15" s="358">
        <v>141</v>
      </c>
      <c r="GD15" s="358">
        <v>177</v>
      </c>
      <c r="GE15" s="358">
        <v>206</v>
      </c>
      <c r="GF15" s="358">
        <v>190</v>
      </c>
      <c r="GG15" s="358">
        <v>122</v>
      </c>
      <c r="GH15" s="358">
        <v>134</v>
      </c>
      <c r="GI15" s="361">
        <v>160</v>
      </c>
    </row>
    <row r="16" spans="1:191">
      <c r="A16" s="336" t="s">
        <v>483</v>
      </c>
      <c r="B16" s="358">
        <v>32</v>
      </c>
      <c r="C16" s="358">
        <v>28</v>
      </c>
      <c r="D16" s="358">
        <v>26</v>
      </c>
      <c r="E16" s="358">
        <v>25</v>
      </c>
      <c r="F16" s="358">
        <v>22</v>
      </c>
      <c r="G16" s="358">
        <v>19</v>
      </c>
      <c r="H16" s="358">
        <v>16</v>
      </c>
      <c r="I16" s="358">
        <v>14</v>
      </c>
      <c r="J16" s="358">
        <v>11</v>
      </c>
      <c r="K16" s="358">
        <v>7</v>
      </c>
      <c r="L16" s="358">
        <v>5</v>
      </c>
      <c r="M16" s="358">
        <v>2</v>
      </c>
      <c r="O16" s="358">
        <v>5</v>
      </c>
      <c r="P16" s="358">
        <v>11</v>
      </c>
      <c r="Q16" s="358">
        <v>13</v>
      </c>
      <c r="R16" s="358">
        <v>16</v>
      </c>
      <c r="S16" s="358">
        <v>18</v>
      </c>
      <c r="T16" s="358">
        <v>21</v>
      </c>
      <c r="U16" s="358">
        <v>24</v>
      </c>
      <c r="V16" s="358">
        <v>34</v>
      </c>
      <c r="W16" s="358">
        <v>36</v>
      </c>
      <c r="X16" s="358">
        <v>38</v>
      </c>
      <c r="Y16" s="358">
        <v>40</v>
      </c>
      <c r="Z16" s="358">
        <v>42</v>
      </c>
      <c r="AA16" s="358">
        <v>43</v>
      </c>
      <c r="AB16" s="358">
        <v>45</v>
      </c>
      <c r="AC16" s="358">
        <v>48</v>
      </c>
      <c r="AD16" s="358">
        <v>50</v>
      </c>
      <c r="AE16" s="358">
        <v>55</v>
      </c>
      <c r="AF16" s="358">
        <v>60</v>
      </c>
      <c r="AG16" s="358">
        <v>65</v>
      </c>
      <c r="AH16" s="358">
        <v>66</v>
      </c>
      <c r="AI16" s="358">
        <v>67</v>
      </c>
      <c r="AJ16" s="358">
        <v>71</v>
      </c>
      <c r="AK16" s="358">
        <v>77</v>
      </c>
      <c r="AL16" s="358">
        <v>83</v>
      </c>
      <c r="AM16" s="358">
        <v>88</v>
      </c>
      <c r="AN16" s="358">
        <v>94</v>
      </c>
      <c r="AO16" s="358">
        <v>98</v>
      </c>
      <c r="AP16" s="358">
        <v>104</v>
      </c>
      <c r="AQ16" s="358">
        <v>110</v>
      </c>
      <c r="AR16" s="358">
        <v>114</v>
      </c>
      <c r="AS16" s="358">
        <v>126</v>
      </c>
      <c r="AT16" s="358">
        <v>134</v>
      </c>
      <c r="AU16" s="358">
        <v>144</v>
      </c>
      <c r="AV16" s="358">
        <v>153</v>
      </c>
      <c r="AW16" s="358">
        <v>161</v>
      </c>
      <c r="AX16" s="358">
        <v>35</v>
      </c>
      <c r="AY16" s="358">
        <v>39</v>
      </c>
      <c r="AZ16" s="358">
        <v>40</v>
      </c>
      <c r="BA16" s="358">
        <v>41</v>
      </c>
      <c r="BB16" s="358">
        <v>42</v>
      </c>
      <c r="BC16" s="358">
        <v>45</v>
      </c>
      <c r="BD16" s="358">
        <v>49</v>
      </c>
      <c r="BE16" s="358">
        <v>51</v>
      </c>
      <c r="BF16" s="358">
        <v>52</v>
      </c>
      <c r="BG16" s="358">
        <v>55</v>
      </c>
      <c r="BH16" s="358">
        <v>56</v>
      </c>
      <c r="BI16" s="358">
        <v>57</v>
      </c>
      <c r="BJ16" s="358">
        <v>59</v>
      </c>
      <c r="BK16" s="358">
        <v>60</v>
      </c>
      <c r="BL16" s="358">
        <v>61</v>
      </c>
      <c r="BM16" s="358">
        <v>63</v>
      </c>
      <c r="BN16" s="358">
        <v>64</v>
      </c>
      <c r="BO16" s="358">
        <v>67</v>
      </c>
      <c r="BP16" s="358">
        <v>72</v>
      </c>
      <c r="BQ16" s="358">
        <v>76</v>
      </c>
      <c r="BR16" s="358">
        <v>86</v>
      </c>
      <c r="BS16" s="358">
        <v>93</v>
      </c>
      <c r="BT16" s="358">
        <v>97</v>
      </c>
      <c r="BU16" s="358">
        <v>100</v>
      </c>
      <c r="BV16" s="358">
        <v>37</v>
      </c>
      <c r="BW16" s="358">
        <v>38</v>
      </c>
      <c r="BX16" s="358">
        <v>41</v>
      </c>
      <c r="BY16" s="358">
        <v>45</v>
      </c>
      <c r="BZ16" s="358">
        <v>50</v>
      </c>
      <c r="CA16" s="358">
        <v>54</v>
      </c>
      <c r="CB16" s="358">
        <v>61</v>
      </c>
      <c r="CC16" s="358">
        <v>66</v>
      </c>
      <c r="CD16" s="358">
        <v>69</v>
      </c>
      <c r="CE16" s="358">
        <v>73</v>
      </c>
      <c r="CF16" s="358">
        <v>75</v>
      </c>
      <c r="CG16" s="358">
        <v>82</v>
      </c>
      <c r="CH16" s="358">
        <v>84</v>
      </c>
      <c r="CI16" s="358">
        <v>88</v>
      </c>
      <c r="CJ16" s="358">
        <v>91</v>
      </c>
      <c r="CK16" s="358">
        <v>98</v>
      </c>
      <c r="CL16" s="358">
        <v>104</v>
      </c>
      <c r="CM16" s="358">
        <v>108</v>
      </c>
      <c r="CN16" s="358">
        <v>113</v>
      </c>
      <c r="CO16" s="358">
        <v>120</v>
      </c>
      <c r="CP16" s="358">
        <v>131</v>
      </c>
      <c r="CQ16" s="358">
        <v>144</v>
      </c>
      <c r="CR16" s="358">
        <v>149</v>
      </c>
      <c r="CS16" s="358">
        <v>30</v>
      </c>
      <c r="CT16" s="358">
        <v>35</v>
      </c>
      <c r="CU16" s="358">
        <v>41</v>
      </c>
      <c r="CV16" s="358">
        <v>47</v>
      </c>
      <c r="CW16" s="358">
        <v>53</v>
      </c>
      <c r="CX16" s="358">
        <v>58</v>
      </c>
      <c r="CY16" s="358">
        <v>65</v>
      </c>
      <c r="CZ16" s="358">
        <v>68</v>
      </c>
      <c r="DA16" s="358">
        <v>72</v>
      </c>
      <c r="DB16" s="358">
        <v>77</v>
      </c>
      <c r="DC16" s="358">
        <v>88</v>
      </c>
      <c r="DD16" s="358">
        <v>98</v>
      </c>
      <c r="DE16" s="358">
        <v>102</v>
      </c>
      <c r="DF16" s="358">
        <v>108</v>
      </c>
      <c r="DG16" s="358">
        <v>117</v>
      </c>
      <c r="DH16" s="358">
        <v>122</v>
      </c>
      <c r="DI16" s="358">
        <v>129</v>
      </c>
      <c r="DJ16" s="358">
        <v>138</v>
      </c>
      <c r="DK16" s="358">
        <v>145</v>
      </c>
      <c r="DL16" s="358">
        <v>153</v>
      </c>
      <c r="DM16" s="358">
        <v>165</v>
      </c>
      <c r="DN16" s="358">
        <v>168</v>
      </c>
      <c r="DO16" s="358">
        <v>179</v>
      </c>
      <c r="DP16" s="358">
        <v>188</v>
      </c>
      <c r="DQ16" s="358">
        <v>39</v>
      </c>
      <c r="DR16" s="358">
        <v>44</v>
      </c>
      <c r="DS16" s="358">
        <v>48</v>
      </c>
      <c r="DT16" s="358">
        <v>50</v>
      </c>
      <c r="DU16" s="358">
        <v>53</v>
      </c>
      <c r="DV16" s="358">
        <v>54</v>
      </c>
      <c r="DW16" s="358">
        <v>60</v>
      </c>
      <c r="DX16" s="358">
        <v>63</v>
      </c>
      <c r="DY16" s="358">
        <v>69</v>
      </c>
      <c r="DZ16" s="358">
        <v>74</v>
      </c>
      <c r="EA16" s="358">
        <v>78</v>
      </c>
      <c r="EB16" s="358">
        <v>82</v>
      </c>
      <c r="EC16" s="358">
        <v>87</v>
      </c>
      <c r="ED16" s="358">
        <v>93</v>
      </c>
      <c r="EE16" s="358">
        <v>99</v>
      </c>
      <c r="EF16" s="358">
        <v>102</v>
      </c>
      <c r="EG16" s="358">
        <v>106</v>
      </c>
      <c r="EH16" s="358">
        <v>111</v>
      </c>
      <c r="EI16" s="358">
        <v>116</v>
      </c>
      <c r="EJ16" s="358">
        <v>120</v>
      </c>
      <c r="EK16" s="358">
        <v>125</v>
      </c>
      <c r="EL16" s="358">
        <v>129</v>
      </c>
      <c r="EM16" s="358">
        <v>178</v>
      </c>
      <c r="EN16" s="358">
        <v>190</v>
      </c>
      <c r="EO16" s="358">
        <v>201</v>
      </c>
      <c r="EP16" s="358">
        <v>211</v>
      </c>
      <c r="EQ16" s="358">
        <v>218</v>
      </c>
      <c r="ES16" s="358">
        <v>230</v>
      </c>
      <c r="ET16" s="358">
        <v>235</v>
      </c>
      <c r="EU16" s="358">
        <v>244</v>
      </c>
      <c r="EV16" s="358">
        <v>250</v>
      </c>
      <c r="EW16" s="358">
        <v>174</v>
      </c>
      <c r="EX16" s="358">
        <v>185</v>
      </c>
      <c r="EY16" s="358">
        <v>196</v>
      </c>
      <c r="EZ16" s="358">
        <v>212</v>
      </c>
      <c r="FA16" s="358">
        <v>220</v>
      </c>
      <c r="FB16" s="358">
        <v>230</v>
      </c>
      <c r="FC16" s="358">
        <v>244</v>
      </c>
      <c r="FD16" s="358">
        <v>256</v>
      </c>
      <c r="FE16" s="358">
        <v>263</v>
      </c>
      <c r="FF16" s="358">
        <v>268</v>
      </c>
      <c r="FG16" s="358">
        <v>280</v>
      </c>
      <c r="FH16" s="358">
        <v>289</v>
      </c>
      <c r="FI16" s="358">
        <v>300</v>
      </c>
      <c r="FJ16" s="358">
        <v>306</v>
      </c>
      <c r="FK16" s="358">
        <v>311</v>
      </c>
      <c r="FL16" s="358">
        <v>153</v>
      </c>
      <c r="FM16" s="358">
        <v>163</v>
      </c>
      <c r="FN16" s="358">
        <v>169</v>
      </c>
      <c r="FO16" s="358">
        <v>176</v>
      </c>
      <c r="FP16" s="358">
        <v>189</v>
      </c>
      <c r="FQ16" s="358">
        <v>204</v>
      </c>
      <c r="FR16" s="358">
        <v>212</v>
      </c>
      <c r="FS16" s="358">
        <v>219</v>
      </c>
      <c r="FT16" s="358">
        <v>226</v>
      </c>
      <c r="FU16" s="358">
        <v>233</v>
      </c>
      <c r="FV16" s="358">
        <v>243</v>
      </c>
      <c r="FW16" s="358">
        <v>104</v>
      </c>
      <c r="FX16" s="358">
        <v>151</v>
      </c>
      <c r="FY16" s="358">
        <v>158</v>
      </c>
      <c r="FZ16" s="358">
        <v>186</v>
      </c>
      <c r="GA16" s="358">
        <v>255</v>
      </c>
      <c r="GB16" s="358">
        <v>291</v>
      </c>
      <c r="GC16" s="358">
        <v>143</v>
      </c>
      <c r="GD16" s="358">
        <v>179</v>
      </c>
      <c r="GE16" s="358">
        <v>208</v>
      </c>
      <c r="GF16" s="358">
        <v>192</v>
      </c>
      <c r="GG16" s="358">
        <v>124</v>
      </c>
      <c r="GH16" s="358">
        <v>136</v>
      </c>
      <c r="GI16" s="361">
        <v>162</v>
      </c>
    </row>
    <row r="17" spans="1:191">
      <c r="A17" s="336" t="s">
        <v>482</v>
      </c>
      <c r="B17" s="358">
        <v>37</v>
      </c>
      <c r="C17" s="358">
        <v>33</v>
      </c>
      <c r="D17" s="358">
        <v>31</v>
      </c>
      <c r="E17" s="358">
        <v>30</v>
      </c>
      <c r="F17" s="358">
        <v>27</v>
      </c>
      <c r="G17" s="358">
        <v>24</v>
      </c>
      <c r="H17" s="358">
        <v>21</v>
      </c>
      <c r="I17" s="358">
        <v>19</v>
      </c>
      <c r="J17" s="358">
        <v>16</v>
      </c>
      <c r="K17" s="358">
        <v>12</v>
      </c>
      <c r="L17" s="358">
        <v>10</v>
      </c>
      <c r="M17" s="358">
        <v>7</v>
      </c>
      <c r="N17" s="358">
        <v>5</v>
      </c>
      <c r="P17" s="358">
        <v>6</v>
      </c>
      <c r="Q17" s="358">
        <v>8</v>
      </c>
      <c r="R17" s="358">
        <v>11</v>
      </c>
      <c r="S17" s="358">
        <v>13</v>
      </c>
      <c r="T17" s="358">
        <v>16</v>
      </c>
      <c r="U17" s="358">
        <v>19</v>
      </c>
      <c r="V17" s="358">
        <v>39</v>
      </c>
      <c r="W17" s="358">
        <v>41</v>
      </c>
      <c r="X17" s="358">
        <v>43</v>
      </c>
      <c r="Y17" s="358">
        <v>45</v>
      </c>
      <c r="Z17" s="358">
        <v>47</v>
      </c>
      <c r="AA17" s="358">
        <v>48</v>
      </c>
      <c r="AB17" s="358">
        <v>50</v>
      </c>
      <c r="AC17" s="358">
        <v>53</v>
      </c>
      <c r="AD17" s="358">
        <v>55</v>
      </c>
      <c r="AE17" s="358">
        <v>60</v>
      </c>
      <c r="AF17" s="358">
        <v>65</v>
      </c>
      <c r="AG17" s="358">
        <v>70</v>
      </c>
      <c r="AH17" s="358">
        <v>71</v>
      </c>
      <c r="AI17" s="358">
        <v>72</v>
      </c>
      <c r="AJ17" s="358">
        <v>76</v>
      </c>
      <c r="AK17" s="358">
        <v>82</v>
      </c>
      <c r="AL17" s="358">
        <v>88</v>
      </c>
      <c r="AM17" s="358">
        <v>93</v>
      </c>
      <c r="AN17" s="358">
        <v>99</v>
      </c>
      <c r="AO17" s="358">
        <v>103</v>
      </c>
      <c r="AP17" s="358">
        <v>109</v>
      </c>
      <c r="AQ17" s="358">
        <v>115</v>
      </c>
      <c r="AR17" s="358">
        <v>119</v>
      </c>
      <c r="AS17" s="358">
        <v>131</v>
      </c>
      <c r="AT17" s="358">
        <v>139</v>
      </c>
      <c r="AU17" s="358">
        <v>149</v>
      </c>
      <c r="AV17" s="358">
        <v>158</v>
      </c>
      <c r="AW17" s="358">
        <v>166</v>
      </c>
      <c r="AX17" s="358">
        <v>40</v>
      </c>
      <c r="AY17" s="358">
        <v>44</v>
      </c>
      <c r="AZ17" s="358">
        <v>45</v>
      </c>
      <c r="BA17" s="358">
        <v>46</v>
      </c>
      <c r="BB17" s="358">
        <v>47</v>
      </c>
      <c r="BC17" s="358">
        <v>50</v>
      </c>
      <c r="BD17" s="358">
        <v>54</v>
      </c>
      <c r="BE17" s="358">
        <v>56</v>
      </c>
      <c r="BF17" s="358">
        <v>57</v>
      </c>
      <c r="BG17" s="358">
        <v>60</v>
      </c>
      <c r="BH17" s="358">
        <v>61</v>
      </c>
      <c r="BI17" s="358">
        <v>62</v>
      </c>
      <c r="BJ17" s="358">
        <v>64</v>
      </c>
      <c r="BK17" s="358">
        <v>65</v>
      </c>
      <c r="BL17" s="358">
        <v>66</v>
      </c>
      <c r="BM17" s="358">
        <v>68</v>
      </c>
      <c r="BN17" s="358">
        <v>69</v>
      </c>
      <c r="BO17" s="358">
        <v>72</v>
      </c>
      <c r="BP17" s="358">
        <v>77</v>
      </c>
      <c r="BQ17" s="358">
        <v>81</v>
      </c>
      <c r="BR17" s="358">
        <v>91</v>
      </c>
      <c r="BS17" s="358">
        <v>98</v>
      </c>
      <c r="BT17" s="358">
        <v>102</v>
      </c>
      <c r="BU17" s="358">
        <v>105</v>
      </c>
      <c r="BV17" s="358">
        <v>42</v>
      </c>
      <c r="BW17" s="358">
        <v>43</v>
      </c>
      <c r="BX17" s="358">
        <v>46</v>
      </c>
      <c r="BY17" s="358">
        <v>50</v>
      </c>
      <c r="BZ17" s="358">
        <v>55</v>
      </c>
      <c r="CA17" s="358">
        <v>59</v>
      </c>
      <c r="CB17" s="358">
        <v>66</v>
      </c>
      <c r="CC17" s="358">
        <v>71</v>
      </c>
      <c r="CD17" s="358">
        <v>74</v>
      </c>
      <c r="CE17" s="358">
        <v>78</v>
      </c>
      <c r="CF17" s="358">
        <v>80</v>
      </c>
      <c r="CG17" s="358">
        <v>87</v>
      </c>
      <c r="CH17" s="358">
        <v>89</v>
      </c>
      <c r="CI17" s="358">
        <v>93</v>
      </c>
      <c r="CJ17" s="358">
        <v>96</v>
      </c>
      <c r="CK17" s="358">
        <v>103</v>
      </c>
      <c r="CL17" s="358">
        <v>109</v>
      </c>
      <c r="CM17" s="358">
        <v>113</v>
      </c>
      <c r="CN17" s="358">
        <v>118</v>
      </c>
      <c r="CO17" s="358">
        <v>125</v>
      </c>
      <c r="CP17" s="358">
        <v>136</v>
      </c>
      <c r="CQ17" s="358">
        <v>149</v>
      </c>
      <c r="CR17" s="358">
        <v>154</v>
      </c>
      <c r="CS17" s="358">
        <v>35</v>
      </c>
      <c r="CT17" s="358">
        <v>40</v>
      </c>
      <c r="CU17" s="358">
        <v>46</v>
      </c>
      <c r="CV17" s="358">
        <v>52</v>
      </c>
      <c r="CW17" s="358">
        <v>58</v>
      </c>
      <c r="CX17" s="358">
        <v>63</v>
      </c>
      <c r="CY17" s="358">
        <v>70</v>
      </c>
      <c r="CZ17" s="358">
        <v>73</v>
      </c>
      <c r="DA17" s="358">
        <v>77</v>
      </c>
      <c r="DB17" s="358">
        <v>82</v>
      </c>
      <c r="DC17" s="358">
        <v>93</v>
      </c>
      <c r="DD17" s="358">
        <v>103</v>
      </c>
      <c r="DE17" s="358">
        <v>107</v>
      </c>
      <c r="DF17" s="358">
        <v>113</v>
      </c>
      <c r="DG17" s="358">
        <v>122</v>
      </c>
      <c r="DH17" s="358">
        <v>127</v>
      </c>
      <c r="DI17" s="358">
        <v>134</v>
      </c>
      <c r="DJ17" s="358">
        <v>143</v>
      </c>
      <c r="DK17" s="358">
        <v>150</v>
      </c>
      <c r="DL17" s="358">
        <v>158</v>
      </c>
      <c r="DM17" s="358">
        <v>170</v>
      </c>
      <c r="DN17" s="358">
        <v>173</v>
      </c>
      <c r="DO17" s="358">
        <v>184</v>
      </c>
      <c r="DP17" s="358">
        <v>193</v>
      </c>
      <c r="DQ17" s="358">
        <v>44</v>
      </c>
      <c r="DR17" s="358">
        <v>49</v>
      </c>
      <c r="DS17" s="358">
        <v>53</v>
      </c>
      <c r="DT17" s="358">
        <v>55</v>
      </c>
      <c r="DU17" s="358">
        <v>58</v>
      </c>
      <c r="DV17" s="358">
        <v>59</v>
      </c>
      <c r="DW17" s="358">
        <v>65</v>
      </c>
      <c r="DX17" s="358">
        <v>68</v>
      </c>
      <c r="DY17" s="358">
        <v>74</v>
      </c>
      <c r="DZ17" s="358">
        <v>79</v>
      </c>
      <c r="EA17" s="358">
        <v>83</v>
      </c>
      <c r="EB17" s="358">
        <v>87</v>
      </c>
      <c r="EC17" s="358">
        <v>92</v>
      </c>
      <c r="ED17" s="358">
        <v>98</v>
      </c>
      <c r="EE17" s="358">
        <v>104</v>
      </c>
      <c r="EF17" s="358">
        <v>107</v>
      </c>
      <c r="EG17" s="358">
        <v>111</v>
      </c>
      <c r="EH17" s="358">
        <v>116</v>
      </c>
      <c r="EI17" s="358">
        <v>121</v>
      </c>
      <c r="EJ17" s="358">
        <v>125</v>
      </c>
      <c r="EK17" s="358">
        <v>130</v>
      </c>
      <c r="EL17" s="358">
        <v>134</v>
      </c>
      <c r="EM17" s="358">
        <v>183</v>
      </c>
      <c r="EN17" s="358">
        <v>195</v>
      </c>
      <c r="EO17" s="358">
        <v>206</v>
      </c>
      <c r="EP17" s="358">
        <v>216</v>
      </c>
      <c r="EQ17" s="358">
        <v>223</v>
      </c>
      <c r="ES17" s="358">
        <v>235</v>
      </c>
      <c r="ET17" s="358">
        <v>240</v>
      </c>
      <c r="EU17" s="358">
        <v>249</v>
      </c>
      <c r="EV17" s="358">
        <v>255</v>
      </c>
      <c r="EW17" s="358">
        <v>179</v>
      </c>
      <c r="EX17" s="358">
        <v>190</v>
      </c>
      <c r="EY17" s="358">
        <v>201</v>
      </c>
      <c r="EZ17" s="358">
        <v>217</v>
      </c>
      <c r="FA17" s="358">
        <v>225</v>
      </c>
      <c r="FB17" s="358">
        <v>235</v>
      </c>
      <c r="FC17" s="358">
        <v>249</v>
      </c>
      <c r="FD17" s="358">
        <v>261</v>
      </c>
      <c r="FE17" s="358">
        <v>268</v>
      </c>
      <c r="FF17" s="358">
        <v>273</v>
      </c>
      <c r="FG17" s="358">
        <v>285</v>
      </c>
      <c r="FH17" s="358">
        <v>294</v>
      </c>
      <c r="FI17" s="358">
        <v>305</v>
      </c>
      <c r="FJ17" s="358">
        <v>311</v>
      </c>
      <c r="FK17" s="358">
        <v>316</v>
      </c>
      <c r="FL17" s="358">
        <v>158</v>
      </c>
      <c r="FM17" s="358">
        <v>168</v>
      </c>
      <c r="FN17" s="358">
        <v>174</v>
      </c>
      <c r="FO17" s="358">
        <v>181</v>
      </c>
      <c r="FP17" s="358">
        <v>194</v>
      </c>
      <c r="FQ17" s="358">
        <v>209</v>
      </c>
      <c r="FR17" s="358">
        <v>217</v>
      </c>
      <c r="FS17" s="358">
        <v>224</v>
      </c>
      <c r="FT17" s="358">
        <v>231</v>
      </c>
      <c r="FU17" s="358">
        <v>238</v>
      </c>
      <c r="FV17" s="358">
        <v>248</v>
      </c>
      <c r="FW17" s="358">
        <v>109</v>
      </c>
      <c r="FX17" s="358">
        <v>156</v>
      </c>
      <c r="FY17" s="358">
        <v>163</v>
      </c>
      <c r="FZ17" s="358">
        <v>191</v>
      </c>
      <c r="GA17" s="358">
        <v>260</v>
      </c>
      <c r="GB17" s="358">
        <v>296</v>
      </c>
      <c r="GC17" s="358">
        <v>148</v>
      </c>
      <c r="GD17" s="358">
        <v>184</v>
      </c>
      <c r="GE17" s="358">
        <v>213</v>
      </c>
      <c r="GF17" s="358">
        <v>197</v>
      </c>
      <c r="GG17" s="358">
        <v>129</v>
      </c>
      <c r="GH17" s="358">
        <v>141</v>
      </c>
      <c r="GI17" s="361">
        <v>167</v>
      </c>
    </row>
    <row r="18" spans="1:191">
      <c r="A18" s="336" t="s">
        <v>481</v>
      </c>
      <c r="B18" s="358">
        <v>43</v>
      </c>
      <c r="C18" s="358">
        <v>39</v>
      </c>
      <c r="D18" s="358">
        <v>37</v>
      </c>
      <c r="E18" s="358">
        <v>36</v>
      </c>
      <c r="F18" s="358">
        <v>33</v>
      </c>
      <c r="G18" s="358">
        <v>30</v>
      </c>
      <c r="H18" s="358">
        <v>27</v>
      </c>
      <c r="I18" s="358">
        <v>25</v>
      </c>
      <c r="J18" s="358">
        <v>22</v>
      </c>
      <c r="K18" s="358">
        <v>18</v>
      </c>
      <c r="L18" s="358">
        <v>16</v>
      </c>
      <c r="M18" s="358">
        <v>13</v>
      </c>
      <c r="N18" s="358">
        <v>11</v>
      </c>
      <c r="O18" s="358">
        <v>6</v>
      </c>
      <c r="Q18" s="358">
        <v>2</v>
      </c>
      <c r="R18" s="358">
        <v>5</v>
      </c>
      <c r="S18" s="358">
        <v>7</v>
      </c>
      <c r="T18" s="358">
        <v>10</v>
      </c>
      <c r="U18" s="358">
        <v>13</v>
      </c>
      <c r="V18" s="358">
        <v>45</v>
      </c>
      <c r="W18" s="358">
        <v>47</v>
      </c>
      <c r="X18" s="358">
        <v>49</v>
      </c>
      <c r="Y18" s="358">
        <v>51</v>
      </c>
      <c r="Z18" s="358">
        <v>53</v>
      </c>
      <c r="AA18" s="358">
        <v>54</v>
      </c>
      <c r="AB18" s="358">
        <v>56</v>
      </c>
      <c r="AC18" s="358">
        <v>59</v>
      </c>
      <c r="AD18" s="358">
        <v>61</v>
      </c>
      <c r="AE18" s="358">
        <v>66</v>
      </c>
      <c r="AF18" s="358">
        <v>71</v>
      </c>
      <c r="AG18" s="358">
        <v>76</v>
      </c>
      <c r="AH18" s="358">
        <v>77</v>
      </c>
      <c r="AI18" s="358">
        <v>78</v>
      </c>
      <c r="AJ18" s="358">
        <v>82</v>
      </c>
      <c r="AK18" s="358">
        <v>88</v>
      </c>
      <c r="AL18" s="358">
        <v>94</v>
      </c>
      <c r="AM18" s="358">
        <v>99</v>
      </c>
      <c r="AN18" s="358">
        <v>105</v>
      </c>
      <c r="AO18" s="358">
        <v>109</v>
      </c>
      <c r="AP18" s="358">
        <v>115</v>
      </c>
      <c r="AQ18" s="358">
        <v>121</v>
      </c>
      <c r="AR18" s="358">
        <v>125</v>
      </c>
      <c r="AS18" s="358">
        <v>137</v>
      </c>
      <c r="AT18" s="358">
        <v>145</v>
      </c>
      <c r="AU18" s="358">
        <v>155</v>
      </c>
      <c r="AV18" s="358">
        <v>164</v>
      </c>
      <c r="AW18" s="358">
        <v>172</v>
      </c>
      <c r="AX18" s="358">
        <v>46</v>
      </c>
      <c r="AY18" s="358">
        <v>50</v>
      </c>
      <c r="AZ18" s="358">
        <v>51</v>
      </c>
      <c r="BA18" s="358">
        <v>52</v>
      </c>
      <c r="BB18" s="358">
        <v>53</v>
      </c>
      <c r="BC18" s="358">
        <v>56</v>
      </c>
      <c r="BD18" s="358">
        <v>60</v>
      </c>
      <c r="BE18" s="358">
        <v>62</v>
      </c>
      <c r="BF18" s="358">
        <v>63</v>
      </c>
      <c r="BG18" s="358">
        <v>66</v>
      </c>
      <c r="BH18" s="358">
        <v>67</v>
      </c>
      <c r="BI18" s="358">
        <v>68</v>
      </c>
      <c r="BJ18" s="358">
        <v>70</v>
      </c>
      <c r="BK18" s="358">
        <v>71</v>
      </c>
      <c r="BL18" s="358">
        <v>72</v>
      </c>
      <c r="BM18" s="358">
        <v>74</v>
      </c>
      <c r="BN18" s="358">
        <v>75</v>
      </c>
      <c r="BO18" s="358">
        <v>78</v>
      </c>
      <c r="BP18" s="358">
        <v>83</v>
      </c>
      <c r="BQ18" s="358">
        <v>87</v>
      </c>
      <c r="BR18" s="358">
        <v>97</v>
      </c>
      <c r="BS18" s="358">
        <v>104</v>
      </c>
      <c r="BT18" s="358">
        <v>108</v>
      </c>
      <c r="BU18" s="358">
        <v>111</v>
      </c>
      <c r="BV18" s="358">
        <v>48</v>
      </c>
      <c r="BW18" s="358">
        <v>49</v>
      </c>
      <c r="BX18" s="358">
        <v>52</v>
      </c>
      <c r="BY18" s="358">
        <v>56</v>
      </c>
      <c r="BZ18" s="358">
        <v>61</v>
      </c>
      <c r="CA18" s="358">
        <v>65</v>
      </c>
      <c r="CB18" s="358">
        <v>72</v>
      </c>
      <c r="CC18" s="358">
        <v>77</v>
      </c>
      <c r="CD18" s="358">
        <v>80</v>
      </c>
      <c r="CE18" s="358">
        <v>84</v>
      </c>
      <c r="CF18" s="358">
        <v>86</v>
      </c>
      <c r="CG18" s="358">
        <v>93</v>
      </c>
      <c r="CH18" s="358">
        <v>95</v>
      </c>
      <c r="CI18" s="358">
        <v>99</v>
      </c>
      <c r="CJ18" s="358">
        <v>102</v>
      </c>
      <c r="CK18" s="358">
        <v>109</v>
      </c>
      <c r="CL18" s="358">
        <v>115</v>
      </c>
      <c r="CM18" s="358">
        <v>119</v>
      </c>
      <c r="CN18" s="358">
        <v>124</v>
      </c>
      <c r="CO18" s="358">
        <v>131</v>
      </c>
      <c r="CP18" s="358">
        <v>142</v>
      </c>
      <c r="CQ18" s="358">
        <v>155</v>
      </c>
      <c r="CR18" s="358">
        <v>160</v>
      </c>
      <c r="CS18" s="358">
        <v>41</v>
      </c>
      <c r="CT18" s="358">
        <v>46</v>
      </c>
      <c r="CU18" s="358">
        <v>52</v>
      </c>
      <c r="CV18" s="358">
        <v>58</v>
      </c>
      <c r="CW18" s="358">
        <v>64</v>
      </c>
      <c r="CX18" s="358">
        <v>69</v>
      </c>
      <c r="CY18" s="358">
        <v>76</v>
      </c>
      <c r="CZ18" s="358">
        <v>79</v>
      </c>
      <c r="DA18" s="358">
        <v>83</v>
      </c>
      <c r="DB18" s="358">
        <v>88</v>
      </c>
      <c r="DC18" s="358">
        <v>99</v>
      </c>
      <c r="DD18" s="358">
        <v>109</v>
      </c>
      <c r="DE18" s="358">
        <v>113</v>
      </c>
      <c r="DF18" s="358">
        <v>119</v>
      </c>
      <c r="DG18" s="358">
        <v>128</v>
      </c>
      <c r="DH18" s="358">
        <v>133</v>
      </c>
      <c r="DI18" s="358">
        <v>140</v>
      </c>
      <c r="DJ18" s="358">
        <v>149</v>
      </c>
      <c r="DK18" s="358">
        <v>156</v>
      </c>
      <c r="DL18" s="358">
        <v>164</v>
      </c>
      <c r="DM18" s="358">
        <v>176</v>
      </c>
      <c r="DN18" s="358">
        <v>179</v>
      </c>
      <c r="DO18" s="358">
        <v>190</v>
      </c>
      <c r="DP18" s="358">
        <v>199</v>
      </c>
      <c r="DQ18" s="358">
        <v>50</v>
      </c>
      <c r="DR18" s="358">
        <v>55</v>
      </c>
      <c r="DS18" s="358">
        <v>59</v>
      </c>
      <c r="DT18" s="358">
        <v>61</v>
      </c>
      <c r="DU18" s="358">
        <v>64</v>
      </c>
      <c r="DV18" s="358">
        <v>65</v>
      </c>
      <c r="DW18" s="358">
        <v>71</v>
      </c>
      <c r="DX18" s="358">
        <v>74</v>
      </c>
      <c r="DY18" s="358">
        <v>80</v>
      </c>
      <c r="DZ18" s="358">
        <v>85</v>
      </c>
      <c r="EA18" s="358">
        <v>89</v>
      </c>
      <c r="EB18" s="358">
        <v>93</v>
      </c>
      <c r="EC18" s="358">
        <v>98</v>
      </c>
      <c r="ED18" s="358">
        <v>104</v>
      </c>
      <c r="EE18" s="358">
        <v>110</v>
      </c>
      <c r="EF18" s="358">
        <v>113</v>
      </c>
      <c r="EG18" s="358">
        <v>117</v>
      </c>
      <c r="EH18" s="358">
        <v>122</v>
      </c>
      <c r="EI18" s="358">
        <v>127</v>
      </c>
      <c r="EJ18" s="358">
        <v>131</v>
      </c>
      <c r="EK18" s="358">
        <v>136</v>
      </c>
      <c r="EL18" s="358">
        <v>140</v>
      </c>
      <c r="EM18" s="358">
        <v>189</v>
      </c>
      <c r="EN18" s="358">
        <v>201</v>
      </c>
      <c r="EO18" s="358">
        <v>212</v>
      </c>
      <c r="EP18" s="358">
        <v>222</v>
      </c>
      <c r="EQ18" s="358">
        <v>229</v>
      </c>
      <c r="ES18" s="358">
        <v>241</v>
      </c>
      <c r="ET18" s="358">
        <v>246</v>
      </c>
      <c r="EU18" s="358">
        <v>255</v>
      </c>
      <c r="EV18" s="358">
        <v>261</v>
      </c>
      <c r="EW18" s="358">
        <v>185</v>
      </c>
      <c r="EX18" s="358">
        <v>196</v>
      </c>
      <c r="EY18" s="358">
        <v>207</v>
      </c>
      <c r="EZ18" s="358">
        <v>223</v>
      </c>
      <c r="FA18" s="358">
        <v>231</v>
      </c>
      <c r="FB18" s="358">
        <v>241</v>
      </c>
      <c r="FC18" s="358">
        <v>255</v>
      </c>
      <c r="FD18" s="358">
        <v>267</v>
      </c>
      <c r="FE18" s="358">
        <v>274</v>
      </c>
      <c r="FF18" s="358">
        <v>279</v>
      </c>
      <c r="FG18" s="358">
        <v>291</v>
      </c>
      <c r="FH18" s="358">
        <v>300</v>
      </c>
      <c r="FI18" s="358">
        <v>311</v>
      </c>
      <c r="FJ18" s="358">
        <v>317</v>
      </c>
      <c r="FK18" s="358">
        <v>322</v>
      </c>
      <c r="FL18" s="358">
        <v>164</v>
      </c>
      <c r="FM18" s="358">
        <v>174</v>
      </c>
      <c r="FN18" s="358">
        <v>180</v>
      </c>
      <c r="FO18" s="358">
        <v>187</v>
      </c>
      <c r="FP18" s="358">
        <v>200</v>
      </c>
      <c r="FQ18" s="358">
        <v>215</v>
      </c>
      <c r="FR18" s="358">
        <v>223</v>
      </c>
      <c r="FS18" s="358">
        <v>230</v>
      </c>
      <c r="FT18" s="358">
        <v>237</v>
      </c>
      <c r="FU18" s="358">
        <v>244</v>
      </c>
      <c r="FV18" s="358">
        <v>254</v>
      </c>
      <c r="FW18" s="358">
        <v>115</v>
      </c>
      <c r="FX18" s="358">
        <v>162</v>
      </c>
      <c r="FY18" s="358">
        <v>169</v>
      </c>
      <c r="FZ18" s="358">
        <v>197</v>
      </c>
      <c r="GA18" s="358">
        <v>266</v>
      </c>
      <c r="GB18" s="358">
        <v>302</v>
      </c>
      <c r="GC18" s="358">
        <v>154</v>
      </c>
      <c r="GD18" s="358">
        <v>190</v>
      </c>
      <c r="GE18" s="358">
        <v>219</v>
      </c>
      <c r="GF18" s="358">
        <v>203</v>
      </c>
      <c r="GG18" s="358">
        <v>135</v>
      </c>
      <c r="GH18" s="358">
        <v>147</v>
      </c>
      <c r="GI18" s="361">
        <v>173</v>
      </c>
    </row>
    <row r="19" spans="1:191">
      <c r="A19" s="336" t="s">
        <v>480</v>
      </c>
      <c r="B19" s="358">
        <v>45</v>
      </c>
      <c r="C19" s="358">
        <v>41</v>
      </c>
      <c r="D19" s="358">
        <v>39</v>
      </c>
      <c r="E19" s="358">
        <v>38</v>
      </c>
      <c r="F19" s="358">
        <v>35</v>
      </c>
      <c r="G19" s="358">
        <v>32</v>
      </c>
      <c r="H19" s="358">
        <v>29</v>
      </c>
      <c r="I19" s="358">
        <v>27</v>
      </c>
      <c r="J19" s="358">
        <v>24</v>
      </c>
      <c r="K19" s="358">
        <v>20</v>
      </c>
      <c r="L19" s="358">
        <v>18</v>
      </c>
      <c r="M19" s="358">
        <v>15</v>
      </c>
      <c r="N19" s="358">
        <v>13</v>
      </c>
      <c r="O19" s="358">
        <v>8</v>
      </c>
      <c r="P19" s="358">
        <v>2</v>
      </c>
      <c r="R19" s="358">
        <v>3</v>
      </c>
      <c r="S19" s="358">
        <v>5</v>
      </c>
      <c r="T19" s="358">
        <v>8</v>
      </c>
      <c r="U19" s="358">
        <v>11</v>
      </c>
      <c r="V19" s="358">
        <v>47</v>
      </c>
      <c r="W19" s="358">
        <v>49</v>
      </c>
      <c r="X19" s="358">
        <v>51</v>
      </c>
      <c r="Y19" s="358">
        <v>53</v>
      </c>
      <c r="Z19" s="358">
        <v>55</v>
      </c>
      <c r="AA19" s="358">
        <v>56</v>
      </c>
      <c r="AB19" s="358">
        <v>58</v>
      </c>
      <c r="AC19" s="358">
        <v>61</v>
      </c>
      <c r="AD19" s="358">
        <v>63</v>
      </c>
      <c r="AE19" s="358">
        <v>68</v>
      </c>
      <c r="AF19" s="358">
        <v>73</v>
      </c>
      <c r="AG19" s="358">
        <v>78</v>
      </c>
      <c r="AH19" s="358">
        <v>79</v>
      </c>
      <c r="AI19" s="358">
        <v>80</v>
      </c>
      <c r="AJ19" s="358">
        <v>84</v>
      </c>
      <c r="AK19" s="358">
        <v>90</v>
      </c>
      <c r="AL19" s="358">
        <v>96</v>
      </c>
      <c r="AM19" s="358">
        <v>101</v>
      </c>
      <c r="AN19" s="358">
        <v>107</v>
      </c>
      <c r="AO19" s="358">
        <v>111</v>
      </c>
      <c r="AP19" s="358">
        <v>117</v>
      </c>
      <c r="AQ19" s="358">
        <v>123</v>
      </c>
      <c r="AR19" s="358">
        <v>127</v>
      </c>
      <c r="AS19" s="358">
        <v>139</v>
      </c>
      <c r="AT19" s="358">
        <v>147</v>
      </c>
      <c r="AU19" s="358">
        <v>157</v>
      </c>
      <c r="AV19" s="358">
        <v>166</v>
      </c>
      <c r="AW19" s="358">
        <v>174</v>
      </c>
      <c r="AX19" s="358">
        <v>48</v>
      </c>
      <c r="AY19" s="358">
        <v>52</v>
      </c>
      <c r="AZ19" s="358">
        <v>53</v>
      </c>
      <c r="BA19" s="358">
        <v>54</v>
      </c>
      <c r="BB19" s="358">
        <v>55</v>
      </c>
      <c r="BC19" s="358">
        <v>58</v>
      </c>
      <c r="BD19" s="358">
        <v>62</v>
      </c>
      <c r="BE19" s="358">
        <v>64</v>
      </c>
      <c r="BF19" s="358">
        <v>65</v>
      </c>
      <c r="BG19" s="358">
        <v>68</v>
      </c>
      <c r="BH19" s="358">
        <v>69</v>
      </c>
      <c r="BI19" s="358">
        <v>70</v>
      </c>
      <c r="BJ19" s="358">
        <v>72</v>
      </c>
      <c r="BK19" s="358">
        <v>73</v>
      </c>
      <c r="BL19" s="358">
        <v>74</v>
      </c>
      <c r="BM19" s="358">
        <v>76</v>
      </c>
      <c r="BN19" s="358">
        <v>77</v>
      </c>
      <c r="BO19" s="358">
        <v>80</v>
      </c>
      <c r="BP19" s="358">
        <v>85</v>
      </c>
      <c r="BQ19" s="358">
        <v>89</v>
      </c>
      <c r="BR19" s="358">
        <v>99</v>
      </c>
      <c r="BS19" s="358">
        <v>106</v>
      </c>
      <c r="BT19" s="358">
        <v>110</v>
      </c>
      <c r="BU19" s="358">
        <v>113</v>
      </c>
      <c r="BV19" s="358">
        <v>50</v>
      </c>
      <c r="BW19" s="358">
        <v>51</v>
      </c>
      <c r="BX19" s="358">
        <v>54</v>
      </c>
      <c r="BY19" s="358">
        <v>58</v>
      </c>
      <c r="BZ19" s="358">
        <v>63</v>
      </c>
      <c r="CA19" s="358">
        <v>67</v>
      </c>
      <c r="CB19" s="358">
        <v>74</v>
      </c>
      <c r="CC19" s="358">
        <v>79</v>
      </c>
      <c r="CD19" s="358">
        <v>82</v>
      </c>
      <c r="CE19" s="358">
        <v>86</v>
      </c>
      <c r="CF19" s="358">
        <v>88</v>
      </c>
      <c r="CG19" s="358">
        <v>95</v>
      </c>
      <c r="CH19" s="358">
        <v>97</v>
      </c>
      <c r="CI19" s="358">
        <v>101</v>
      </c>
      <c r="CJ19" s="358">
        <v>104</v>
      </c>
      <c r="CK19" s="358">
        <v>111</v>
      </c>
      <c r="CL19" s="358">
        <v>117</v>
      </c>
      <c r="CM19" s="358">
        <v>121</v>
      </c>
      <c r="CN19" s="358">
        <v>126</v>
      </c>
      <c r="CO19" s="358">
        <v>133</v>
      </c>
      <c r="CP19" s="358">
        <v>144</v>
      </c>
      <c r="CQ19" s="358">
        <v>157</v>
      </c>
      <c r="CR19" s="358">
        <v>162</v>
      </c>
      <c r="CS19" s="358">
        <v>43</v>
      </c>
      <c r="CT19" s="358">
        <v>48</v>
      </c>
      <c r="CU19" s="358">
        <v>54</v>
      </c>
      <c r="CV19" s="358">
        <v>60</v>
      </c>
      <c r="CW19" s="358">
        <v>66</v>
      </c>
      <c r="CX19" s="358">
        <v>71</v>
      </c>
      <c r="CY19" s="358">
        <v>78</v>
      </c>
      <c r="CZ19" s="358">
        <v>81</v>
      </c>
      <c r="DA19" s="358">
        <v>85</v>
      </c>
      <c r="DB19" s="358">
        <v>90</v>
      </c>
      <c r="DC19" s="358">
        <v>101</v>
      </c>
      <c r="DD19" s="358">
        <v>111</v>
      </c>
      <c r="DE19" s="358">
        <v>115</v>
      </c>
      <c r="DF19" s="358">
        <v>121</v>
      </c>
      <c r="DG19" s="358">
        <v>130</v>
      </c>
      <c r="DH19" s="358">
        <v>135</v>
      </c>
      <c r="DI19" s="358">
        <v>142</v>
      </c>
      <c r="DJ19" s="358">
        <v>151</v>
      </c>
      <c r="DK19" s="358">
        <v>158</v>
      </c>
      <c r="DL19" s="358">
        <v>166</v>
      </c>
      <c r="DM19" s="358">
        <v>178</v>
      </c>
      <c r="DN19" s="358">
        <v>181</v>
      </c>
      <c r="DO19" s="358">
        <v>192</v>
      </c>
      <c r="DP19" s="358">
        <v>201</v>
      </c>
      <c r="DQ19" s="358">
        <v>52</v>
      </c>
      <c r="DR19" s="358">
        <v>57</v>
      </c>
      <c r="DS19" s="358">
        <v>61</v>
      </c>
      <c r="DT19" s="358">
        <v>63</v>
      </c>
      <c r="DU19" s="358">
        <v>66</v>
      </c>
      <c r="DV19" s="358">
        <v>67</v>
      </c>
      <c r="DW19" s="358">
        <v>73</v>
      </c>
      <c r="DX19" s="358">
        <v>76</v>
      </c>
      <c r="DY19" s="358">
        <v>82</v>
      </c>
      <c r="DZ19" s="358">
        <v>87</v>
      </c>
      <c r="EA19" s="358">
        <v>91</v>
      </c>
      <c r="EB19" s="358">
        <v>95</v>
      </c>
      <c r="EC19" s="358">
        <v>100</v>
      </c>
      <c r="ED19" s="358">
        <v>106</v>
      </c>
      <c r="EE19" s="358">
        <v>112</v>
      </c>
      <c r="EF19" s="358">
        <v>115</v>
      </c>
      <c r="EG19" s="358">
        <v>119</v>
      </c>
      <c r="EH19" s="358">
        <v>124</v>
      </c>
      <c r="EI19" s="358">
        <v>129</v>
      </c>
      <c r="EJ19" s="358">
        <v>133</v>
      </c>
      <c r="EK19" s="358">
        <v>138</v>
      </c>
      <c r="EL19" s="358">
        <v>142</v>
      </c>
      <c r="EM19" s="358">
        <v>191</v>
      </c>
      <c r="EN19" s="358">
        <v>203</v>
      </c>
      <c r="EO19" s="358">
        <v>214</v>
      </c>
      <c r="EP19" s="358">
        <v>224</v>
      </c>
      <c r="EQ19" s="358">
        <v>231</v>
      </c>
      <c r="ES19" s="358">
        <v>243</v>
      </c>
      <c r="ET19" s="358">
        <v>248</v>
      </c>
      <c r="EU19" s="358">
        <v>257</v>
      </c>
      <c r="EV19" s="358">
        <v>263</v>
      </c>
      <c r="EW19" s="358">
        <v>187</v>
      </c>
      <c r="EX19" s="358">
        <v>198</v>
      </c>
      <c r="EY19" s="358">
        <v>209</v>
      </c>
      <c r="EZ19" s="358">
        <v>225</v>
      </c>
      <c r="FA19" s="358">
        <v>233</v>
      </c>
      <c r="FB19" s="358">
        <v>243</v>
      </c>
      <c r="FC19" s="358">
        <v>257</v>
      </c>
      <c r="FD19" s="358">
        <v>269</v>
      </c>
      <c r="FE19" s="358">
        <v>276</v>
      </c>
      <c r="FF19" s="358">
        <v>281</v>
      </c>
      <c r="FG19" s="358">
        <v>293</v>
      </c>
      <c r="FH19" s="358">
        <v>302</v>
      </c>
      <c r="FI19" s="358">
        <v>313</v>
      </c>
      <c r="FJ19" s="358">
        <v>319</v>
      </c>
      <c r="FK19" s="358">
        <v>324</v>
      </c>
      <c r="FL19" s="358">
        <v>166</v>
      </c>
      <c r="FM19" s="358">
        <v>176</v>
      </c>
      <c r="FN19" s="358">
        <v>182</v>
      </c>
      <c r="FO19" s="358">
        <v>189</v>
      </c>
      <c r="FP19" s="358">
        <v>202</v>
      </c>
      <c r="FQ19" s="358">
        <v>217</v>
      </c>
      <c r="FR19" s="358">
        <v>225</v>
      </c>
      <c r="FS19" s="358">
        <v>232</v>
      </c>
      <c r="FT19" s="358">
        <v>239</v>
      </c>
      <c r="FU19" s="358">
        <v>246</v>
      </c>
      <c r="FV19" s="358">
        <v>256</v>
      </c>
      <c r="FW19" s="358">
        <v>117</v>
      </c>
      <c r="FX19" s="358">
        <v>164</v>
      </c>
      <c r="FY19" s="358">
        <v>171</v>
      </c>
      <c r="FZ19" s="358">
        <v>199</v>
      </c>
      <c r="GA19" s="358">
        <v>268</v>
      </c>
      <c r="GB19" s="358">
        <v>304</v>
      </c>
      <c r="GC19" s="358">
        <v>156</v>
      </c>
      <c r="GD19" s="358">
        <v>192</v>
      </c>
      <c r="GE19" s="358">
        <v>221</v>
      </c>
      <c r="GF19" s="358">
        <v>205</v>
      </c>
      <c r="GG19" s="358">
        <v>137</v>
      </c>
      <c r="GH19" s="358">
        <v>149</v>
      </c>
      <c r="GI19" s="361">
        <v>175</v>
      </c>
    </row>
    <row r="20" spans="1:191">
      <c r="A20" s="336" t="s">
        <v>479</v>
      </c>
      <c r="B20" s="358">
        <v>48</v>
      </c>
      <c r="C20" s="358">
        <v>44</v>
      </c>
      <c r="D20" s="358">
        <v>42</v>
      </c>
      <c r="E20" s="358">
        <v>41</v>
      </c>
      <c r="F20" s="358">
        <v>38</v>
      </c>
      <c r="G20" s="358">
        <v>35</v>
      </c>
      <c r="H20" s="358">
        <v>32</v>
      </c>
      <c r="I20" s="358">
        <v>30</v>
      </c>
      <c r="J20" s="358">
        <v>27</v>
      </c>
      <c r="K20" s="358">
        <v>23</v>
      </c>
      <c r="L20" s="358">
        <v>21</v>
      </c>
      <c r="M20" s="358">
        <v>18</v>
      </c>
      <c r="N20" s="358">
        <v>16</v>
      </c>
      <c r="O20" s="358">
        <v>11</v>
      </c>
      <c r="P20" s="358">
        <v>5</v>
      </c>
      <c r="Q20" s="358">
        <v>3</v>
      </c>
      <c r="S20" s="358">
        <v>2</v>
      </c>
      <c r="T20" s="358">
        <v>5</v>
      </c>
      <c r="U20" s="358">
        <v>8</v>
      </c>
      <c r="V20" s="358">
        <v>50</v>
      </c>
      <c r="W20" s="358">
        <v>52</v>
      </c>
      <c r="X20" s="358">
        <v>54</v>
      </c>
      <c r="Y20" s="358">
        <v>56</v>
      </c>
      <c r="Z20" s="358">
        <v>58</v>
      </c>
      <c r="AA20" s="358">
        <v>59</v>
      </c>
      <c r="AB20" s="358">
        <v>61</v>
      </c>
      <c r="AC20" s="358">
        <v>64</v>
      </c>
      <c r="AD20" s="358">
        <v>66</v>
      </c>
      <c r="AE20" s="358">
        <v>71</v>
      </c>
      <c r="AF20" s="358">
        <v>76</v>
      </c>
      <c r="AG20" s="358">
        <v>81</v>
      </c>
      <c r="AH20" s="358">
        <v>82</v>
      </c>
      <c r="AI20" s="358">
        <v>83</v>
      </c>
      <c r="AJ20" s="358">
        <v>87</v>
      </c>
      <c r="AK20" s="358">
        <v>93</v>
      </c>
      <c r="AL20" s="358">
        <v>99</v>
      </c>
      <c r="AM20" s="358">
        <v>104</v>
      </c>
      <c r="AN20" s="358">
        <v>110</v>
      </c>
      <c r="AO20" s="358">
        <v>114</v>
      </c>
      <c r="AP20" s="358">
        <v>120</v>
      </c>
      <c r="AQ20" s="358">
        <v>126</v>
      </c>
      <c r="AR20" s="358">
        <v>130</v>
      </c>
      <c r="AS20" s="358">
        <v>142</v>
      </c>
      <c r="AT20" s="358">
        <v>150</v>
      </c>
      <c r="AU20" s="358">
        <v>160</v>
      </c>
      <c r="AV20" s="358">
        <v>169</v>
      </c>
      <c r="AW20" s="358">
        <v>177</v>
      </c>
      <c r="AX20" s="358">
        <v>51</v>
      </c>
      <c r="AY20" s="358">
        <v>55</v>
      </c>
      <c r="AZ20" s="358">
        <v>56</v>
      </c>
      <c r="BA20" s="358">
        <v>57</v>
      </c>
      <c r="BB20" s="358">
        <v>58</v>
      </c>
      <c r="BC20" s="358">
        <v>61</v>
      </c>
      <c r="BD20" s="358">
        <v>65</v>
      </c>
      <c r="BE20" s="358">
        <v>67</v>
      </c>
      <c r="BF20" s="358">
        <v>68</v>
      </c>
      <c r="BG20" s="358">
        <v>71</v>
      </c>
      <c r="BH20" s="358">
        <v>72</v>
      </c>
      <c r="BI20" s="358">
        <v>73</v>
      </c>
      <c r="BJ20" s="358">
        <v>75</v>
      </c>
      <c r="BK20" s="358">
        <v>76</v>
      </c>
      <c r="BL20" s="358">
        <v>77</v>
      </c>
      <c r="BM20" s="358">
        <v>79</v>
      </c>
      <c r="BN20" s="358">
        <v>80</v>
      </c>
      <c r="BO20" s="358">
        <v>83</v>
      </c>
      <c r="BP20" s="358">
        <v>88</v>
      </c>
      <c r="BQ20" s="358">
        <v>92</v>
      </c>
      <c r="BR20" s="358">
        <v>102</v>
      </c>
      <c r="BS20" s="358">
        <v>109</v>
      </c>
      <c r="BT20" s="358">
        <v>113</v>
      </c>
      <c r="BU20" s="358">
        <v>116</v>
      </c>
      <c r="BV20" s="358">
        <v>53</v>
      </c>
      <c r="BW20" s="358">
        <v>54</v>
      </c>
      <c r="BX20" s="358">
        <v>57</v>
      </c>
      <c r="BY20" s="358">
        <v>61</v>
      </c>
      <c r="BZ20" s="358">
        <v>66</v>
      </c>
      <c r="CA20" s="358">
        <v>70</v>
      </c>
      <c r="CB20" s="358">
        <v>77</v>
      </c>
      <c r="CC20" s="358">
        <v>82</v>
      </c>
      <c r="CD20" s="358">
        <v>85</v>
      </c>
      <c r="CE20" s="358">
        <v>89</v>
      </c>
      <c r="CF20" s="358">
        <v>91</v>
      </c>
      <c r="CG20" s="358">
        <v>98</v>
      </c>
      <c r="CH20" s="358">
        <v>100</v>
      </c>
      <c r="CI20" s="358">
        <v>104</v>
      </c>
      <c r="CJ20" s="358">
        <v>107</v>
      </c>
      <c r="CK20" s="358">
        <v>114</v>
      </c>
      <c r="CL20" s="358">
        <v>120</v>
      </c>
      <c r="CM20" s="358">
        <v>124</v>
      </c>
      <c r="CN20" s="358">
        <v>129</v>
      </c>
      <c r="CO20" s="358">
        <v>136</v>
      </c>
      <c r="CP20" s="358">
        <v>147</v>
      </c>
      <c r="CQ20" s="358">
        <v>160</v>
      </c>
      <c r="CR20" s="358">
        <v>165</v>
      </c>
      <c r="CS20" s="358">
        <v>46</v>
      </c>
      <c r="CT20" s="358">
        <v>51</v>
      </c>
      <c r="CU20" s="358">
        <v>57</v>
      </c>
      <c r="CV20" s="358">
        <v>63</v>
      </c>
      <c r="CW20" s="358">
        <v>69</v>
      </c>
      <c r="CX20" s="358">
        <v>74</v>
      </c>
      <c r="CY20" s="358">
        <v>81</v>
      </c>
      <c r="CZ20" s="358">
        <v>84</v>
      </c>
      <c r="DA20" s="358">
        <v>88</v>
      </c>
      <c r="DB20" s="358">
        <v>93</v>
      </c>
      <c r="DC20" s="358">
        <v>104</v>
      </c>
      <c r="DD20" s="358">
        <v>114</v>
      </c>
      <c r="DE20" s="358">
        <v>118</v>
      </c>
      <c r="DF20" s="358">
        <v>124</v>
      </c>
      <c r="DG20" s="358">
        <v>133</v>
      </c>
      <c r="DH20" s="358">
        <v>138</v>
      </c>
      <c r="DI20" s="358">
        <v>145</v>
      </c>
      <c r="DJ20" s="358">
        <v>154</v>
      </c>
      <c r="DK20" s="358">
        <v>161</v>
      </c>
      <c r="DL20" s="358">
        <v>169</v>
      </c>
      <c r="DM20" s="358">
        <v>181</v>
      </c>
      <c r="DN20" s="358">
        <v>184</v>
      </c>
      <c r="DO20" s="358">
        <v>195</v>
      </c>
      <c r="DP20" s="358">
        <v>204</v>
      </c>
      <c r="DQ20" s="358">
        <v>55</v>
      </c>
      <c r="DR20" s="358">
        <v>60</v>
      </c>
      <c r="DS20" s="358">
        <v>64</v>
      </c>
      <c r="DT20" s="358">
        <v>66</v>
      </c>
      <c r="DU20" s="358">
        <v>69</v>
      </c>
      <c r="DV20" s="358">
        <v>70</v>
      </c>
      <c r="DW20" s="358">
        <v>76</v>
      </c>
      <c r="DX20" s="358">
        <v>79</v>
      </c>
      <c r="DY20" s="358">
        <v>85</v>
      </c>
      <c r="DZ20" s="358">
        <v>90</v>
      </c>
      <c r="EA20" s="358">
        <v>94</v>
      </c>
      <c r="EB20" s="358">
        <v>98</v>
      </c>
      <c r="EC20" s="358">
        <v>103</v>
      </c>
      <c r="ED20" s="358">
        <v>109</v>
      </c>
      <c r="EE20" s="358">
        <v>115</v>
      </c>
      <c r="EF20" s="358">
        <v>118</v>
      </c>
      <c r="EG20" s="358">
        <v>122</v>
      </c>
      <c r="EH20" s="358">
        <v>127</v>
      </c>
      <c r="EI20" s="358">
        <v>132</v>
      </c>
      <c r="EJ20" s="358">
        <v>136</v>
      </c>
      <c r="EK20" s="358">
        <v>141</v>
      </c>
      <c r="EL20" s="358">
        <v>145</v>
      </c>
      <c r="EM20" s="358">
        <v>194</v>
      </c>
      <c r="EN20" s="358">
        <v>206</v>
      </c>
      <c r="EO20" s="358">
        <v>217</v>
      </c>
      <c r="EP20" s="358">
        <v>227</v>
      </c>
      <c r="EQ20" s="358">
        <v>234</v>
      </c>
      <c r="ES20" s="358">
        <v>246</v>
      </c>
      <c r="ET20" s="358">
        <v>251</v>
      </c>
      <c r="EU20" s="358">
        <v>260</v>
      </c>
      <c r="EV20" s="358">
        <v>266</v>
      </c>
      <c r="EW20" s="358">
        <v>190</v>
      </c>
      <c r="EX20" s="358">
        <v>201</v>
      </c>
      <c r="EY20" s="358">
        <v>212</v>
      </c>
      <c r="EZ20" s="358">
        <v>228</v>
      </c>
      <c r="FA20" s="358">
        <v>236</v>
      </c>
      <c r="FB20" s="358">
        <v>246</v>
      </c>
      <c r="FC20" s="358">
        <v>260</v>
      </c>
      <c r="FD20" s="358">
        <v>272</v>
      </c>
      <c r="FE20" s="358">
        <v>279</v>
      </c>
      <c r="FF20" s="358">
        <v>284</v>
      </c>
      <c r="FG20" s="358">
        <v>296</v>
      </c>
      <c r="FH20" s="358">
        <v>305</v>
      </c>
      <c r="FI20" s="358">
        <v>316</v>
      </c>
      <c r="FJ20" s="358">
        <v>322</v>
      </c>
      <c r="FK20" s="358">
        <v>327</v>
      </c>
      <c r="FL20" s="358">
        <v>169</v>
      </c>
      <c r="FM20" s="358">
        <v>179</v>
      </c>
      <c r="FN20" s="358">
        <v>185</v>
      </c>
      <c r="FO20" s="358">
        <v>192</v>
      </c>
      <c r="FP20" s="358">
        <v>205</v>
      </c>
      <c r="FQ20" s="358">
        <v>220</v>
      </c>
      <c r="FR20" s="358">
        <v>228</v>
      </c>
      <c r="FS20" s="358">
        <v>235</v>
      </c>
      <c r="FT20" s="358">
        <v>242</v>
      </c>
      <c r="FU20" s="358">
        <v>249</v>
      </c>
      <c r="FV20" s="358">
        <v>259</v>
      </c>
      <c r="FW20" s="358">
        <v>120</v>
      </c>
      <c r="FX20" s="358">
        <v>167</v>
      </c>
      <c r="FY20" s="358">
        <v>174</v>
      </c>
      <c r="FZ20" s="358">
        <v>202</v>
      </c>
      <c r="GA20" s="358">
        <v>271</v>
      </c>
      <c r="GB20" s="358">
        <v>307</v>
      </c>
      <c r="GC20" s="358">
        <v>159</v>
      </c>
      <c r="GD20" s="358">
        <v>195</v>
      </c>
      <c r="GE20" s="358">
        <v>224</v>
      </c>
      <c r="GF20" s="358">
        <v>208</v>
      </c>
      <c r="GG20" s="358">
        <v>140</v>
      </c>
      <c r="GH20" s="358">
        <v>152</v>
      </c>
      <c r="GI20" s="361">
        <v>178</v>
      </c>
    </row>
    <row r="21" spans="1:191">
      <c r="A21" s="336" t="s">
        <v>478</v>
      </c>
      <c r="B21" s="358">
        <v>50</v>
      </c>
      <c r="C21" s="358">
        <v>46</v>
      </c>
      <c r="D21" s="358">
        <v>44</v>
      </c>
      <c r="E21" s="358">
        <v>43</v>
      </c>
      <c r="F21" s="358">
        <v>40</v>
      </c>
      <c r="G21" s="358">
        <v>37</v>
      </c>
      <c r="H21" s="358">
        <v>34</v>
      </c>
      <c r="I21" s="358">
        <v>32</v>
      </c>
      <c r="J21" s="358">
        <v>29</v>
      </c>
      <c r="K21" s="358">
        <v>25</v>
      </c>
      <c r="L21" s="358">
        <v>23</v>
      </c>
      <c r="M21" s="358">
        <v>20</v>
      </c>
      <c r="N21" s="358">
        <v>18</v>
      </c>
      <c r="O21" s="358">
        <v>13</v>
      </c>
      <c r="P21" s="358">
        <v>7</v>
      </c>
      <c r="Q21" s="358">
        <v>5</v>
      </c>
      <c r="R21" s="358">
        <v>2</v>
      </c>
      <c r="T21" s="358">
        <v>3</v>
      </c>
      <c r="U21" s="358">
        <v>6</v>
      </c>
      <c r="V21" s="358">
        <v>52</v>
      </c>
      <c r="W21" s="358">
        <v>54</v>
      </c>
      <c r="X21" s="358">
        <v>56</v>
      </c>
      <c r="Y21" s="358">
        <v>58</v>
      </c>
      <c r="Z21" s="358">
        <v>60</v>
      </c>
      <c r="AA21" s="358">
        <v>61</v>
      </c>
      <c r="AB21" s="358">
        <v>63</v>
      </c>
      <c r="AC21" s="358">
        <v>66</v>
      </c>
      <c r="AD21" s="358">
        <v>68</v>
      </c>
      <c r="AE21" s="358">
        <v>73</v>
      </c>
      <c r="AF21" s="358">
        <v>78</v>
      </c>
      <c r="AG21" s="358">
        <v>83</v>
      </c>
      <c r="AH21" s="358">
        <v>84</v>
      </c>
      <c r="AI21" s="358">
        <v>85</v>
      </c>
      <c r="AJ21" s="358">
        <v>89</v>
      </c>
      <c r="AK21" s="358">
        <v>95</v>
      </c>
      <c r="AL21" s="358">
        <v>101</v>
      </c>
      <c r="AM21" s="358">
        <v>106</v>
      </c>
      <c r="AN21" s="358">
        <v>112</v>
      </c>
      <c r="AO21" s="358">
        <v>116</v>
      </c>
      <c r="AP21" s="358">
        <v>122</v>
      </c>
      <c r="AQ21" s="358">
        <v>128</v>
      </c>
      <c r="AR21" s="358">
        <v>132</v>
      </c>
      <c r="AS21" s="358">
        <v>144</v>
      </c>
      <c r="AT21" s="358">
        <v>152</v>
      </c>
      <c r="AU21" s="358">
        <v>162</v>
      </c>
      <c r="AV21" s="358">
        <v>171</v>
      </c>
      <c r="AW21" s="358">
        <v>179</v>
      </c>
      <c r="AX21" s="358">
        <v>53</v>
      </c>
      <c r="AY21" s="358">
        <v>57</v>
      </c>
      <c r="AZ21" s="358">
        <v>58</v>
      </c>
      <c r="BA21" s="358">
        <v>59</v>
      </c>
      <c r="BB21" s="358">
        <v>60</v>
      </c>
      <c r="BC21" s="358">
        <v>63</v>
      </c>
      <c r="BD21" s="358">
        <v>67</v>
      </c>
      <c r="BE21" s="358">
        <v>69</v>
      </c>
      <c r="BF21" s="358">
        <v>70</v>
      </c>
      <c r="BG21" s="358">
        <v>73</v>
      </c>
      <c r="BH21" s="358">
        <v>74</v>
      </c>
      <c r="BI21" s="358">
        <v>75</v>
      </c>
      <c r="BJ21" s="358">
        <v>77</v>
      </c>
      <c r="BK21" s="358">
        <v>78</v>
      </c>
      <c r="BL21" s="358">
        <v>79</v>
      </c>
      <c r="BM21" s="358">
        <v>81</v>
      </c>
      <c r="BN21" s="358">
        <v>82</v>
      </c>
      <c r="BO21" s="358">
        <v>85</v>
      </c>
      <c r="BP21" s="358">
        <v>90</v>
      </c>
      <c r="BQ21" s="358">
        <v>94</v>
      </c>
      <c r="BR21" s="358">
        <v>104</v>
      </c>
      <c r="BS21" s="358">
        <v>111</v>
      </c>
      <c r="BT21" s="358">
        <v>115</v>
      </c>
      <c r="BU21" s="358">
        <v>118</v>
      </c>
      <c r="BV21" s="358">
        <v>55</v>
      </c>
      <c r="BW21" s="358">
        <v>56</v>
      </c>
      <c r="BX21" s="358">
        <v>59</v>
      </c>
      <c r="BY21" s="358">
        <v>63</v>
      </c>
      <c r="BZ21" s="358">
        <v>68</v>
      </c>
      <c r="CA21" s="358">
        <v>72</v>
      </c>
      <c r="CB21" s="358">
        <v>79</v>
      </c>
      <c r="CC21" s="358">
        <v>84</v>
      </c>
      <c r="CD21" s="358">
        <v>87</v>
      </c>
      <c r="CE21" s="358">
        <v>91</v>
      </c>
      <c r="CF21" s="358">
        <v>93</v>
      </c>
      <c r="CG21" s="358">
        <v>100</v>
      </c>
      <c r="CH21" s="358">
        <v>102</v>
      </c>
      <c r="CI21" s="358">
        <v>106</v>
      </c>
      <c r="CJ21" s="358">
        <v>109</v>
      </c>
      <c r="CK21" s="358">
        <v>116</v>
      </c>
      <c r="CL21" s="358">
        <v>122</v>
      </c>
      <c r="CM21" s="358">
        <v>126</v>
      </c>
      <c r="CN21" s="358">
        <v>131</v>
      </c>
      <c r="CO21" s="358">
        <v>138</v>
      </c>
      <c r="CP21" s="358">
        <v>149</v>
      </c>
      <c r="CQ21" s="358">
        <v>162</v>
      </c>
      <c r="CR21" s="358">
        <v>167</v>
      </c>
      <c r="CS21" s="358">
        <v>48</v>
      </c>
      <c r="CT21" s="358">
        <v>53</v>
      </c>
      <c r="CU21" s="358">
        <v>59</v>
      </c>
      <c r="CV21" s="358">
        <v>65</v>
      </c>
      <c r="CW21" s="358">
        <v>71</v>
      </c>
      <c r="CX21" s="358">
        <v>76</v>
      </c>
      <c r="CY21" s="358">
        <v>83</v>
      </c>
      <c r="CZ21" s="358">
        <v>86</v>
      </c>
      <c r="DA21" s="358">
        <v>90</v>
      </c>
      <c r="DB21" s="358">
        <v>95</v>
      </c>
      <c r="DC21" s="358">
        <v>106</v>
      </c>
      <c r="DD21" s="358">
        <v>116</v>
      </c>
      <c r="DE21" s="358">
        <v>120</v>
      </c>
      <c r="DF21" s="358">
        <v>126</v>
      </c>
      <c r="DG21" s="358">
        <v>135</v>
      </c>
      <c r="DH21" s="358">
        <v>140</v>
      </c>
      <c r="DI21" s="358">
        <v>147</v>
      </c>
      <c r="DJ21" s="358">
        <v>156</v>
      </c>
      <c r="DK21" s="358">
        <v>163</v>
      </c>
      <c r="DL21" s="358">
        <v>171</v>
      </c>
      <c r="DM21" s="358">
        <v>183</v>
      </c>
      <c r="DN21" s="358">
        <v>186</v>
      </c>
      <c r="DO21" s="358">
        <v>197</v>
      </c>
      <c r="DP21" s="358">
        <v>206</v>
      </c>
      <c r="DQ21" s="358">
        <v>57</v>
      </c>
      <c r="DR21" s="358">
        <v>62</v>
      </c>
      <c r="DS21" s="358">
        <v>66</v>
      </c>
      <c r="DT21" s="358">
        <v>68</v>
      </c>
      <c r="DU21" s="358">
        <v>71</v>
      </c>
      <c r="DV21" s="358">
        <v>72</v>
      </c>
      <c r="DW21" s="358">
        <v>78</v>
      </c>
      <c r="DX21" s="358">
        <v>81</v>
      </c>
      <c r="DY21" s="358">
        <v>87</v>
      </c>
      <c r="DZ21" s="358">
        <v>92</v>
      </c>
      <c r="EA21" s="358">
        <v>96</v>
      </c>
      <c r="EB21" s="358">
        <v>100</v>
      </c>
      <c r="EC21" s="358">
        <v>105</v>
      </c>
      <c r="ED21" s="358">
        <v>111</v>
      </c>
      <c r="EE21" s="358">
        <v>117</v>
      </c>
      <c r="EF21" s="358">
        <v>120</v>
      </c>
      <c r="EG21" s="358">
        <v>124</v>
      </c>
      <c r="EH21" s="358">
        <v>129</v>
      </c>
      <c r="EI21" s="358">
        <v>134</v>
      </c>
      <c r="EJ21" s="358">
        <v>138</v>
      </c>
      <c r="EK21" s="358">
        <v>143</v>
      </c>
      <c r="EL21" s="358">
        <v>147</v>
      </c>
      <c r="EM21" s="358">
        <v>196</v>
      </c>
      <c r="EN21" s="358">
        <v>208</v>
      </c>
      <c r="EO21" s="358">
        <v>219</v>
      </c>
      <c r="EP21" s="358">
        <v>229</v>
      </c>
      <c r="EQ21" s="358">
        <v>236</v>
      </c>
      <c r="ES21" s="358">
        <v>248</v>
      </c>
      <c r="ET21" s="358">
        <v>253</v>
      </c>
      <c r="EU21" s="358">
        <v>262</v>
      </c>
      <c r="EV21" s="358">
        <v>268</v>
      </c>
      <c r="EW21" s="358">
        <v>192</v>
      </c>
      <c r="EX21" s="358">
        <v>203</v>
      </c>
      <c r="EY21" s="358">
        <v>214</v>
      </c>
      <c r="EZ21" s="358">
        <v>230</v>
      </c>
      <c r="FA21" s="358">
        <v>238</v>
      </c>
      <c r="FB21" s="358">
        <v>248</v>
      </c>
      <c r="FC21" s="358">
        <v>262</v>
      </c>
      <c r="FD21" s="358">
        <v>274</v>
      </c>
      <c r="FE21" s="358">
        <v>281</v>
      </c>
      <c r="FF21" s="358">
        <v>286</v>
      </c>
      <c r="FG21" s="358">
        <v>298</v>
      </c>
      <c r="FH21" s="358">
        <v>307</v>
      </c>
      <c r="FI21" s="358">
        <v>318</v>
      </c>
      <c r="FJ21" s="358">
        <v>324</v>
      </c>
      <c r="FK21" s="358">
        <v>329</v>
      </c>
      <c r="FL21" s="358">
        <v>171</v>
      </c>
      <c r="FM21" s="358">
        <v>181</v>
      </c>
      <c r="FN21" s="358">
        <v>187</v>
      </c>
      <c r="FO21" s="358">
        <v>194</v>
      </c>
      <c r="FP21" s="358">
        <v>207</v>
      </c>
      <c r="FQ21" s="358">
        <v>222</v>
      </c>
      <c r="FR21" s="358">
        <v>230</v>
      </c>
      <c r="FS21" s="358">
        <v>237</v>
      </c>
      <c r="FT21" s="358">
        <v>244</v>
      </c>
      <c r="FU21" s="358">
        <v>251</v>
      </c>
      <c r="FV21" s="358">
        <v>261</v>
      </c>
      <c r="FW21" s="358">
        <v>122</v>
      </c>
      <c r="FX21" s="358">
        <v>169</v>
      </c>
      <c r="FY21" s="358">
        <v>176</v>
      </c>
      <c r="FZ21" s="358">
        <v>204</v>
      </c>
      <c r="GA21" s="358">
        <v>273</v>
      </c>
      <c r="GB21" s="358">
        <v>309</v>
      </c>
      <c r="GC21" s="358">
        <v>161</v>
      </c>
      <c r="GD21" s="358">
        <v>197</v>
      </c>
      <c r="GE21" s="358">
        <v>226</v>
      </c>
      <c r="GF21" s="358">
        <v>210</v>
      </c>
      <c r="GG21" s="358">
        <v>142</v>
      </c>
      <c r="GH21" s="358">
        <v>154</v>
      </c>
      <c r="GI21" s="361">
        <v>180</v>
      </c>
    </row>
    <row r="22" spans="1:191">
      <c r="A22" s="336" t="s">
        <v>477</v>
      </c>
      <c r="B22" s="358">
        <v>53</v>
      </c>
      <c r="C22" s="358">
        <v>49</v>
      </c>
      <c r="D22" s="358">
        <v>47</v>
      </c>
      <c r="E22" s="358">
        <v>46</v>
      </c>
      <c r="F22" s="358">
        <v>43</v>
      </c>
      <c r="G22" s="358">
        <v>40</v>
      </c>
      <c r="H22" s="358">
        <v>37</v>
      </c>
      <c r="I22" s="358">
        <v>35</v>
      </c>
      <c r="J22" s="358">
        <v>32</v>
      </c>
      <c r="K22" s="358">
        <v>28</v>
      </c>
      <c r="L22" s="358">
        <v>26</v>
      </c>
      <c r="M22" s="358">
        <v>23</v>
      </c>
      <c r="N22" s="358">
        <v>21</v>
      </c>
      <c r="O22" s="358">
        <v>16</v>
      </c>
      <c r="P22" s="358">
        <v>10</v>
      </c>
      <c r="Q22" s="358">
        <v>8</v>
      </c>
      <c r="R22" s="358">
        <v>5</v>
      </c>
      <c r="S22" s="358">
        <v>3</v>
      </c>
      <c r="U22" s="358">
        <v>3</v>
      </c>
      <c r="V22" s="358">
        <v>55</v>
      </c>
      <c r="W22" s="358">
        <v>57</v>
      </c>
      <c r="X22" s="358">
        <v>59</v>
      </c>
      <c r="Y22" s="358">
        <v>61</v>
      </c>
      <c r="Z22" s="358">
        <v>63</v>
      </c>
      <c r="AA22" s="358">
        <v>64</v>
      </c>
      <c r="AB22" s="358">
        <v>66</v>
      </c>
      <c r="AC22" s="358">
        <v>69</v>
      </c>
      <c r="AD22" s="358">
        <v>71</v>
      </c>
      <c r="AE22" s="358">
        <v>76</v>
      </c>
      <c r="AF22" s="358">
        <v>81</v>
      </c>
      <c r="AG22" s="358">
        <v>86</v>
      </c>
      <c r="AH22" s="358">
        <v>87</v>
      </c>
      <c r="AI22" s="358">
        <v>88</v>
      </c>
      <c r="AJ22" s="358">
        <v>92</v>
      </c>
      <c r="AK22" s="358">
        <v>98</v>
      </c>
      <c r="AL22" s="358">
        <v>104</v>
      </c>
      <c r="AM22" s="358">
        <v>109</v>
      </c>
      <c r="AN22" s="358">
        <v>115</v>
      </c>
      <c r="AO22" s="358">
        <v>119</v>
      </c>
      <c r="AP22" s="358">
        <v>125</v>
      </c>
      <c r="AQ22" s="358">
        <v>131</v>
      </c>
      <c r="AR22" s="358">
        <v>135</v>
      </c>
      <c r="AS22" s="358">
        <v>147</v>
      </c>
      <c r="AT22" s="358">
        <v>155</v>
      </c>
      <c r="AU22" s="358">
        <v>165</v>
      </c>
      <c r="AV22" s="358">
        <v>174</v>
      </c>
      <c r="AW22" s="358">
        <v>182</v>
      </c>
      <c r="AX22" s="358">
        <v>56</v>
      </c>
      <c r="AY22" s="358">
        <v>60</v>
      </c>
      <c r="AZ22" s="358">
        <v>61</v>
      </c>
      <c r="BA22" s="358">
        <v>62</v>
      </c>
      <c r="BB22" s="358">
        <v>63</v>
      </c>
      <c r="BC22" s="358">
        <v>66</v>
      </c>
      <c r="BD22" s="358">
        <v>70</v>
      </c>
      <c r="BE22" s="358">
        <v>72</v>
      </c>
      <c r="BF22" s="358">
        <v>73</v>
      </c>
      <c r="BG22" s="358">
        <v>76</v>
      </c>
      <c r="BH22" s="358">
        <v>77</v>
      </c>
      <c r="BI22" s="358">
        <v>78</v>
      </c>
      <c r="BJ22" s="358">
        <v>80</v>
      </c>
      <c r="BK22" s="358">
        <v>81</v>
      </c>
      <c r="BL22" s="358">
        <v>82</v>
      </c>
      <c r="BM22" s="358">
        <v>84</v>
      </c>
      <c r="BN22" s="358">
        <v>85</v>
      </c>
      <c r="BO22" s="358">
        <v>88</v>
      </c>
      <c r="BP22" s="358">
        <v>93</v>
      </c>
      <c r="BQ22" s="358">
        <v>97</v>
      </c>
      <c r="BR22" s="358">
        <v>107</v>
      </c>
      <c r="BS22" s="358">
        <v>114</v>
      </c>
      <c r="BT22" s="358">
        <v>118</v>
      </c>
      <c r="BU22" s="358">
        <v>121</v>
      </c>
      <c r="BV22" s="358">
        <v>58</v>
      </c>
      <c r="BW22" s="358">
        <v>59</v>
      </c>
      <c r="BX22" s="358">
        <v>62</v>
      </c>
      <c r="BY22" s="358">
        <v>66</v>
      </c>
      <c r="BZ22" s="358">
        <v>71</v>
      </c>
      <c r="CA22" s="358">
        <v>75</v>
      </c>
      <c r="CB22" s="358">
        <v>82</v>
      </c>
      <c r="CC22" s="358">
        <v>87</v>
      </c>
      <c r="CD22" s="358">
        <v>90</v>
      </c>
      <c r="CE22" s="358">
        <v>94</v>
      </c>
      <c r="CF22" s="358">
        <v>96</v>
      </c>
      <c r="CG22" s="358">
        <v>103</v>
      </c>
      <c r="CH22" s="358">
        <v>105</v>
      </c>
      <c r="CI22" s="358">
        <v>109</v>
      </c>
      <c r="CJ22" s="358">
        <v>112</v>
      </c>
      <c r="CK22" s="358">
        <v>119</v>
      </c>
      <c r="CL22" s="358">
        <v>125</v>
      </c>
      <c r="CM22" s="358">
        <v>129</v>
      </c>
      <c r="CN22" s="358">
        <v>134</v>
      </c>
      <c r="CO22" s="358">
        <v>141</v>
      </c>
      <c r="CP22" s="358">
        <v>152</v>
      </c>
      <c r="CQ22" s="358">
        <v>165</v>
      </c>
      <c r="CR22" s="358">
        <v>170</v>
      </c>
      <c r="CS22" s="358">
        <v>51</v>
      </c>
      <c r="CT22" s="358">
        <v>56</v>
      </c>
      <c r="CU22" s="358">
        <v>62</v>
      </c>
      <c r="CV22" s="358">
        <v>68</v>
      </c>
      <c r="CW22" s="358">
        <v>74</v>
      </c>
      <c r="CX22" s="358">
        <v>79</v>
      </c>
      <c r="CY22" s="358">
        <v>86</v>
      </c>
      <c r="CZ22" s="358">
        <v>89</v>
      </c>
      <c r="DA22" s="358">
        <v>93</v>
      </c>
      <c r="DB22" s="358">
        <v>98</v>
      </c>
      <c r="DC22" s="358">
        <v>109</v>
      </c>
      <c r="DD22" s="358">
        <v>119</v>
      </c>
      <c r="DE22" s="358">
        <v>123</v>
      </c>
      <c r="DF22" s="358">
        <v>129</v>
      </c>
      <c r="DG22" s="358">
        <v>138</v>
      </c>
      <c r="DH22" s="358">
        <v>143</v>
      </c>
      <c r="DI22" s="358">
        <v>150</v>
      </c>
      <c r="DJ22" s="358">
        <v>159</v>
      </c>
      <c r="DK22" s="358">
        <v>166</v>
      </c>
      <c r="DL22" s="358">
        <v>174</v>
      </c>
      <c r="DM22" s="358">
        <v>186</v>
      </c>
      <c r="DN22" s="358">
        <v>189</v>
      </c>
      <c r="DO22" s="358">
        <v>200</v>
      </c>
      <c r="DP22" s="358">
        <v>209</v>
      </c>
      <c r="DQ22" s="358">
        <v>60</v>
      </c>
      <c r="DR22" s="358">
        <v>65</v>
      </c>
      <c r="DS22" s="358">
        <v>69</v>
      </c>
      <c r="DT22" s="358">
        <v>71</v>
      </c>
      <c r="DU22" s="358">
        <v>74</v>
      </c>
      <c r="DV22" s="358">
        <v>75</v>
      </c>
      <c r="DW22" s="358">
        <v>81</v>
      </c>
      <c r="DX22" s="358">
        <v>84</v>
      </c>
      <c r="DY22" s="358">
        <v>90</v>
      </c>
      <c r="DZ22" s="358">
        <v>95</v>
      </c>
      <c r="EA22" s="358">
        <v>99</v>
      </c>
      <c r="EB22" s="358">
        <v>103</v>
      </c>
      <c r="EC22" s="358">
        <v>108</v>
      </c>
      <c r="ED22" s="358">
        <v>114</v>
      </c>
      <c r="EE22" s="358">
        <v>120</v>
      </c>
      <c r="EF22" s="358">
        <v>123</v>
      </c>
      <c r="EG22" s="358">
        <v>127</v>
      </c>
      <c r="EH22" s="358">
        <v>132</v>
      </c>
      <c r="EI22" s="358">
        <v>137</v>
      </c>
      <c r="EJ22" s="358">
        <v>141</v>
      </c>
      <c r="EK22" s="358">
        <v>146</v>
      </c>
      <c r="EL22" s="358">
        <v>150</v>
      </c>
      <c r="EM22" s="358">
        <v>199</v>
      </c>
      <c r="EN22" s="358">
        <v>211</v>
      </c>
      <c r="EO22" s="358">
        <v>222</v>
      </c>
      <c r="EP22" s="358">
        <v>232</v>
      </c>
      <c r="EQ22" s="358">
        <v>239</v>
      </c>
      <c r="ES22" s="358">
        <v>251</v>
      </c>
      <c r="ET22" s="358">
        <v>256</v>
      </c>
      <c r="EU22" s="358">
        <v>265</v>
      </c>
      <c r="EV22" s="358">
        <v>271</v>
      </c>
      <c r="EW22" s="358">
        <v>195</v>
      </c>
      <c r="EX22" s="358">
        <v>206</v>
      </c>
      <c r="EY22" s="358">
        <v>217</v>
      </c>
      <c r="EZ22" s="358">
        <v>233</v>
      </c>
      <c r="FA22" s="358">
        <v>241</v>
      </c>
      <c r="FB22" s="358">
        <v>251</v>
      </c>
      <c r="FC22" s="358">
        <v>265</v>
      </c>
      <c r="FD22" s="358">
        <v>277</v>
      </c>
      <c r="FE22" s="358">
        <v>284</v>
      </c>
      <c r="FF22" s="358">
        <v>289</v>
      </c>
      <c r="FG22" s="358">
        <v>301</v>
      </c>
      <c r="FH22" s="358">
        <v>310</v>
      </c>
      <c r="FI22" s="358">
        <v>321</v>
      </c>
      <c r="FJ22" s="358">
        <v>327</v>
      </c>
      <c r="FK22" s="358">
        <v>332</v>
      </c>
      <c r="FL22" s="358">
        <v>174</v>
      </c>
      <c r="FM22" s="358">
        <v>184</v>
      </c>
      <c r="FN22" s="358">
        <v>190</v>
      </c>
      <c r="FO22" s="358">
        <v>197</v>
      </c>
      <c r="FP22" s="358">
        <v>210</v>
      </c>
      <c r="FQ22" s="358">
        <v>225</v>
      </c>
      <c r="FR22" s="358">
        <v>233</v>
      </c>
      <c r="FS22" s="358">
        <v>240</v>
      </c>
      <c r="FT22" s="358">
        <v>247</v>
      </c>
      <c r="FU22" s="358">
        <v>254</v>
      </c>
      <c r="FV22" s="358">
        <v>264</v>
      </c>
      <c r="FW22" s="358">
        <v>125</v>
      </c>
      <c r="FX22" s="358">
        <v>172</v>
      </c>
      <c r="FY22" s="358">
        <v>179</v>
      </c>
      <c r="FZ22" s="358">
        <v>207</v>
      </c>
      <c r="GA22" s="358">
        <v>276</v>
      </c>
      <c r="GB22" s="358">
        <v>312</v>
      </c>
      <c r="GC22" s="358">
        <v>164</v>
      </c>
      <c r="GD22" s="358">
        <v>200</v>
      </c>
      <c r="GE22" s="358">
        <v>229</v>
      </c>
      <c r="GF22" s="358">
        <v>213</v>
      </c>
      <c r="GG22" s="358">
        <v>145</v>
      </c>
      <c r="GH22" s="358">
        <v>157</v>
      </c>
      <c r="GI22" s="361">
        <v>183</v>
      </c>
    </row>
    <row r="23" spans="1:191">
      <c r="A23" s="336" t="s">
        <v>476</v>
      </c>
      <c r="B23" s="358">
        <v>56</v>
      </c>
      <c r="C23" s="358">
        <v>52</v>
      </c>
      <c r="D23" s="358">
        <v>50</v>
      </c>
      <c r="E23" s="358">
        <v>49</v>
      </c>
      <c r="F23" s="358">
        <v>46</v>
      </c>
      <c r="G23" s="358">
        <v>43</v>
      </c>
      <c r="H23" s="358">
        <v>40</v>
      </c>
      <c r="I23" s="358">
        <v>38</v>
      </c>
      <c r="J23" s="358">
        <v>35</v>
      </c>
      <c r="K23" s="358">
        <v>31</v>
      </c>
      <c r="L23" s="358">
        <v>29</v>
      </c>
      <c r="M23" s="358">
        <v>26</v>
      </c>
      <c r="N23" s="358">
        <v>24</v>
      </c>
      <c r="O23" s="358">
        <v>19</v>
      </c>
      <c r="P23" s="358">
        <v>13</v>
      </c>
      <c r="Q23" s="358">
        <v>11</v>
      </c>
      <c r="R23" s="358">
        <v>8</v>
      </c>
      <c r="S23" s="358">
        <v>6</v>
      </c>
      <c r="T23" s="358">
        <v>3</v>
      </c>
      <c r="V23" s="358">
        <v>58</v>
      </c>
      <c r="W23" s="358">
        <v>60</v>
      </c>
      <c r="X23" s="358">
        <v>62</v>
      </c>
      <c r="Y23" s="358">
        <v>64</v>
      </c>
      <c r="Z23" s="358">
        <v>66</v>
      </c>
      <c r="AA23" s="358">
        <v>67</v>
      </c>
      <c r="AB23" s="358">
        <v>69</v>
      </c>
      <c r="AC23" s="358">
        <v>72</v>
      </c>
      <c r="AD23" s="358">
        <v>74</v>
      </c>
      <c r="AE23" s="358">
        <v>79</v>
      </c>
      <c r="AF23" s="358">
        <v>84</v>
      </c>
      <c r="AG23" s="358">
        <v>89</v>
      </c>
      <c r="AH23" s="358">
        <v>90</v>
      </c>
      <c r="AI23" s="358">
        <v>91</v>
      </c>
      <c r="AJ23" s="358">
        <v>95</v>
      </c>
      <c r="AK23" s="358">
        <v>101</v>
      </c>
      <c r="AL23" s="358">
        <v>107</v>
      </c>
      <c r="AM23" s="358">
        <v>112</v>
      </c>
      <c r="AN23" s="358">
        <v>118</v>
      </c>
      <c r="AO23" s="358">
        <v>122</v>
      </c>
      <c r="AP23" s="358">
        <v>128</v>
      </c>
      <c r="AQ23" s="358">
        <v>134</v>
      </c>
      <c r="AR23" s="358">
        <v>138</v>
      </c>
      <c r="AS23" s="358">
        <v>150</v>
      </c>
      <c r="AT23" s="358">
        <v>158</v>
      </c>
      <c r="AU23" s="358">
        <v>168</v>
      </c>
      <c r="AV23" s="358">
        <v>177</v>
      </c>
      <c r="AW23" s="358">
        <v>185</v>
      </c>
      <c r="AX23" s="358">
        <v>59</v>
      </c>
      <c r="AY23" s="358">
        <v>63</v>
      </c>
      <c r="AZ23" s="358">
        <v>64</v>
      </c>
      <c r="BA23" s="358">
        <v>65</v>
      </c>
      <c r="BB23" s="358">
        <v>66</v>
      </c>
      <c r="BC23" s="358">
        <v>69</v>
      </c>
      <c r="BD23" s="358">
        <v>73</v>
      </c>
      <c r="BE23" s="358">
        <v>75</v>
      </c>
      <c r="BF23" s="358">
        <v>76</v>
      </c>
      <c r="BG23" s="358">
        <v>79</v>
      </c>
      <c r="BH23" s="358">
        <v>80</v>
      </c>
      <c r="BI23" s="358">
        <v>81</v>
      </c>
      <c r="BJ23" s="358">
        <v>83</v>
      </c>
      <c r="BK23" s="358">
        <v>84</v>
      </c>
      <c r="BL23" s="358">
        <v>85</v>
      </c>
      <c r="BM23" s="358">
        <v>87</v>
      </c>
      <c r="BN23" s="358">
        <v>88</v>
      </c>
      <c r="BO23" s="358">
        <v>91</v>
      </c>
      <c r="BP23" s="358">
        <v>96</v>
      </c>
      <c r="BQ23" s="358">
        <v>100</v>
      </c>
      <c r="BR23" s="358">
        <v>110</v>
      </c>
      <c r="BS23" s="358">
        <v>117</v>
      </c>
      <c r="BT23" s="358">
        <v>121</v>
      </c>
      <c r="BU23" s="358">
        <v>124</v>
      </c>
      <c r="BV23" s="358">
        <v>61</v>
      </c>
      <c r="BW23" s="358">
        <v>62</v>
      </c>
      <c r="BX23" s="358">
        <v>65</v>
      </c>
      <c r="BY23" s="358">
        <v>69</v>
      </c>
      <c r="BZ23" s="358">
        <v>74</v>
      </c>
      <c r="CA23" s="358">
        <v>78</v>
      </c>
      <c r="CB23" s="358">
        <v>85</v>
      </c>
      <c r="CC23" s="358">
        <v>90</v>
      </c>
      <c r="CD23" s="358">
        <v>93</v>
      </c>
      <c r="CE23" s="358">
        <v>97</v>
      </c>
      <c r="CF23" s="358">
        <v>99</v>
      </c>
      <c r="CG23" s="358">
        <v>106</v>
      </c>
      <c r="CH23" s="358">
        <v>108</v>
      </c>
      <c r="CI23" s="358">
        <v>112</v>
      </c>
      <c r="CJ23" s="358">
        <v>115</v>
      </c>
      <c r="CK23" s="358">
        <v>122</v>
      </c>
      <c r="CL23" s="358">
        <v>128</v>
      </c>
      <c r="CM23" s="358">
        <v>132</v>
      </c>
      <c r="CN23" s="358">
        <v>137</v>
      </c>
      <c r="CO23" s="358">
        <v>144</v>
      </c>
      <c r="CP23" s="358">
        <v>155</v>
      </c>
      <c r="CQ23" s="358">
        <v>168</v>
      </c>
      <c r="CR23" s="358">
        <v>173</v>
      </c>
      <c r="CS23" s="358">
        <v>54</v>
      </c>
      <c r="CT23" s="358">
        <v>59</v>
      </c>
      <c r="CU23" s="358">
        <v>65</v>
      </c>
      <c r="CV23" s="358">
        <v>71</v>
      </c>
      <c r="CW23" s="358">
        <v>77</v>
      </c>
      <c r="CX23" s="358">
        <v>82</v>
      </c>
      <c r="CY23" s="358">
        <v>89</v>
      </c>
      <c r="CZ23" s="358">
        <v>92</v>
      </c>
      <c r="DA23" s="358">
        <v>96</v>
      </c>
      <c r="DB23" s="358">
        <v>101</v>
      </c>
      <c r="DC23" s="358">
        <v>112</v>
      </c>
      <c r="DD23" s="358">
        <v>122</v>
      </c>
      <c r="DE23" s="358">
        <v>126</v>
      </c>
      <c r="DF23" s="358">
        <v>132</v>
      </c>
      <c r="DG23" s="358">
        <v>141</v>
      </c>
      <c r="DH23" s="358">
        <v>146</v>
      </c>
      <c r="DI23" s="358">
        <v>153</v>
      </c>
      <c r="DJ23" s="358">
        <v>162</v>
      </c>
      <c r="DK23" s="358">
        <v>169</v>
      </c>
      <c r="DL23" s="358">
        <v>177</v>
      </c>
      <c r="DM23" s="358">
        <v>189</v>
      </c>
      <c r="DN23" s="358">
        <v>192</v>
      </c>
      <c r="DO23" s="358">
        <v>203</v>
      </c>
      <c r="DP23" s="358">
        <v>212</v>
      </c>
      <c r="DQ23" s="358">
        <v>63</v>
      </c>
      <c r="DR23" s="358">
        <v>68</v>
      </c>
      <c r="DS23" s="358">
        <v>72</v>
      </c>
      <c r="DT23" s="358">
        <v>74</v>
      </c>
      <c r="DU23" s="358">
        <v>77</v>
      </c>
      <c r="DV23" s="358">
        <v>78</v>
      </c>
      <c r="DW23" s="358">
        <v>84</v>
      </c>
      <c r="DX23" s="358">
        <v>87</v>
      </c>
      <c r="DY23" s="358">
        <v>93</v>
      </c>
      <c r="DZ23" s="358">
        <v>98</v>
      </c>
      <c r="EA23" s="358">
        <v>102</v>
      </c>
      <c r="EB23" s="358">
        <v>106</v>
      </c>
      <c r="EC23" s="358">
        <v>111</v>
      </c>
      <c r="ED23" s="358">
        <v>117</v>
      </c>
      <c r="EE23" s="358">
        <v>123</v>
      </c>
      <c r="EF23" s="358">
        <v>126</v>
      </c>
      <c r="EG23" s="358">
        <v>130</v>
      </c>
      <c r="EH23" s="358">
        <v>135</v>
      </c>
      <c r="EI23" s="358">
        <v>140</v>
      </c>
      <c r="EJ23" s="358">
        <v>144</v>
      </c>
      <c r="EK23" s="358">
        <v>149</v>
      </c>
      <c r="EL23" s="358">
        <v>153</v>
      </c>
      <c r="EM23" s="358">
        <v>202</v>
      </c>
      <c r="EN23" s="358">
        <v>214</v>
      </c>
      <c r="EO23" s="358">
        <v>225</v>
      </c>
      <c r="EP23" s="358">
        <v>235</v>
      </c>
      <c r="EQ23" s="358">
        <v>242</v>
      </c>
      <c r="ES23" s="358">
        <v>254</v>
      </c>
      <c r="ET23" s="358">
        <v>259</v>
      </c>
      <c r="EU23" s="358">
        <v>268</v>
      </c>
      <c r="EV23" s="358">
        <v>274</v>
      </c>
      <c r="EW23" s="358">
        <v>198</v>
      </c>
      <c r="EX23" s="358">
        <v>209</v>
      </c>
      <c r="EY23" s="358">
        <v>220</v>
      </c>
      <c r="EZ23" s="358">
        <v>236</v>
      </c>
      <c r="FA23" s="358">
        <v>244</v>
      </c>
      <c r="FB23" s="358">
        <v>254</v>
      </c>
      <c r="FC23" s="358">
        <v>268</v>
      </c>
      <c r="FD23" s="358">
        <v>280</v>
      </c>
      <c r="FE23" s="358">
        <v>287</v>
      </c>
      <c r="FF23" s="358">
        <v>292</v>
      </c>
      <c r="FG23" s="358">
        <v>304</v>
      </c>
      <c r="FH23" s="358">
        <v>313</v>
      </c>
      <c r="FI23" s="358">
        <v>324</v>
      </c>
      <c r="FJ23" s="358">
        <v>330</v>
      </c>
      <c r="FK23" s="358">
        <v>335</v>
      </c>
      <c r="FL23" s="358">
        <v>177</v>
      </c>
      <c r="FM23" s="358">
        <v>187</v>
      </c>
      <c r="FN23" s="358">
        <v>193</v>
      </c>
      <c r="FO23" s="358">
        <v>200</v>
      </c>
      <c r="FP23" s="358">
        <v>213</v>
      </c>
      <c r="FQ23" s="358">
        <v>228</v>
      </c>
      <c r="FR23" s="358">
        <v>236</v>
      </c>
      <c r="FS23" s="358">
        <v>243</v>
      </c>
      <c r="FT23" s="358">
        <v>250</v>
      </c>
      <c r="FU23" s="358">
        <v>257</v>
      </c>
      <c r="FV23" s="358">
        <v>267</v>
      </c>
      <c r="FW23" s="358">
        <v>128</v>
      </c>
      <c r="FX23" s="358">
        <v>175</v>
      </c>
      <c r="FY23" s="358">
        <v>182</v>
      </c>
      <c r="FZ23" s="358">
        <v>210</v>
      </c>
      <c r="GA23" s="358">
        <v>279</v>
      </c>
      <c r="GB23" s="358">
        <v>315</v>
      </c>
      <c r="GC23" s="358">
        <v>167</v>
      </c>
      <c r="GD23" s="358">
        <v>203</v>
      </c>
      <c r="GE23" s="358">
        <v>232</v>
      </c>
      <c r="GF23" s="358">
        <v>216</v>
      </c>
      <c r="GG23" s="358">
        <v>148</v>
      </c>
      <c r="GH23" s="358">
        <v>160</v>
      </c>
      <c r="GI23" s="361">
        <v>186</v>
      </c>
    </row>
    <row r="24" spans="1:191">
      <c r="A24" s="336" t="s">
        <v>475</v>
      </c>
      <c r="B24" s="358">
        <v>2</v>
      </c>
      <c r="C24" s="358">
        <v>6</v>
      </c>
      <c r="D24" s="358">
        <v>8</v>
      </c>
      <c r="E24" s="358">
        <v>9</v>
      </c>
      <c r="F24" s="358">
        <v>12</v>
      </c>
      <c r="G24" s="358">
        <v>15</v>
      </c>
      <c r="H24" s="358">
        <v>18</v>
      </c>
      <c r="I24" s="358">
        <v>20</v>
      </c>
      <c r="J24" s="358">
        <v>23</v>
      </c>
      <c r="K24" s="358">
        <v>27</v>
      </c>
      <c r="L24" s="358">
        <v>29</v>
      </c>
      <c r="M24" s="358">
        <v>32</v>
      </c>
      <c r="N24" s="358">
        <v>34</v>
      </c>
      <c r="O24" s="358">
        <v>39</v>
      </c>
      <c r="P24" s="358">
        <v>45</v>
      </c>
      <c r="Q24" s="358">
        <v>47</v>
      </c>
      <c r="R24" s="358">
        <v>50</v>
      </c>
      <c r="S24" s="358">
        <v>52</v>
      </c>
      <c r="T24" s="358">
        <v>55</v>
      </c>
      <c r="U24" s="358">
        <v>58</v>
      </c>
      <c r="W24" s="358">
        <v>2</v>
      </c>
      <c r="X24" s="358">
        <v>4</v>
      </c>
      <c r="Y24" s="358">
        <v>6</v>
      </c>
      <c r="Z24" s="358">
        <v>8</v>
      </c>
      <c r="AA24" s="358">
        <v>9</v>
      </c>
      <c r="AB24" s="358">
        <v>11</v>
      </c>
      <c r="AC24" s="358">
        <v>14</v>
      </c>
      <c r="AD24" s="358">
        <v>16</v>
      </c>
      <c r="AE24" s="358">
        <v>21</v>
      </c>
      <c r="AF24" s="358">
        <v>26</v>
      </c>
      <c r="AG24" s="358">
        <v>31</v>
      </c>
      <c r="AH24" s="358">
        <v>32</v>
      </c>
      <c r="AI24" s="358">
        <v>33</v>
      </c>
      <c r="AJ24" s="358">
        <v>37</v>
      </c>
      <c r="AK24" s="358">
        <v>43</v>
      </c>
      <c r="AL24" s="358">
        <v>49</v>
      </c>
      <c r="AM24" s="358">
        <v>54</v>
      </c>
      <c r="AN24" s="358">
        <v>60</v>
      </c>
      <c r="AO24" s="358">
        <v>64</v>
      </c>
      <c r="AP24" s="358">
        <v>70</v>
      </c>
      <c r="AQ24" s="358">
        <v>76</v>
      </c>
      <c r="AR24" s="358">
        <v>80</v>
      </c>
      <c r="AS24" s="358">
        <v>92</v>
      </c>
      <c r="AT24" s="358">
        <v>100</v>
      </c>
      <c r="AU24" s="358">
        <v>110</v>
      </c>
      <c r="AV24" s="358">
        <v>119</v>
      </c>
      <c r="AW24" s="358">
        <v>127</v>
      </c>
      <c r="AX24" s="358">
        <v>5</v>
      </c>
      <c r="AY24" s="358">
        <v>9</v>
      </c>
      <c r="AZ24" s="358">
        <v>10</v>
      </c>
      <c r="BA24" s="358">
        <v>11</v>
      </c>
      <c r="BB24" s="358">
        <v>12</v>
      </c>
      <c r="BC24" s="358">
        <v>15</v>
      </c>
      <c r="BD24" s="358">
        <v>19</v>
      </c>
      <c r="BE24" s="358">
        <v>21</v>
      </c>
      <c r="BF24" s="358">
        <v>22</v>
      </c>
      <c r="BG24" s="358">
        <v>25</v>
      </c>
      <c r="BH24" s="358">
        <v>26</v>
      </c>
      <c r="BI24" s="358">
        <v>27</v>
      </c>
      <c r="BJ24" s="358">
        <v>29</v>
      </c>
      <c r="BK24" s="358">
        <v>30</v>
      </c>
      <c r="BL24" s="358">
        <v>31</v>
      </c>
      <c r="BM24" s="358">
        <v>33</v>
      </c>
      <c r="BN24" s="358">
        <v>34</v>
      </c>
      <c r="BO24" s="358">
        <v>37</v>
      </c>
      <c r="BP24" s="358">
        <v>42</v>
      </c>
      <c r="BQ24" s="358">
        <v>46</v>
      </c>
      <c r="BR24" s="358">
        <v>56</v>
      </c>
      <c r="BS24" s="358">
        <v>63</v>
      </c>
      <c r="BT24" s="358">
        <v>67</v>
      </c>
      <c r="BU24" s="358">
        <v>70</v>
      </c>
      <c r="BV24" s="358">
        <v>7</v>
      </c>
      <c r="BW24" s="358">
        <v>8</v>
      </c>
      <c r="BX24" s="358">
        <v>11</v>
      </c>
      <c r="BY24" s="358">
        <v>15</v>
      </c>
      <c r="BZ24" s="358">
        <v>20</v>
      </c>
      <c r="CA24" s="358">
        <v>24</v>
      </c>
      <c r="CB24" s="358">
        <v>31</v>
      </c>
      <c r="CC24" s="358">
        <v>36</v>
      </c>
      <c r="CD24" s="358">
        <v>39</v>
      </c>
      <c r="CE24" s="358">
        <v>43</v>
      </c>
      <c r="CF24" s="358">
        <v>45</v>
      </c>
      <c r="CG24" s="358">
        <v>52</v>
      </c>
      <c r="CH24" s="358">
        <v>54</v>
      </c>
      <c r="CI24" s="358">
        <v>58</v>
      </c>
      <c r="CJ24" s="358">
        <v>61</v>
      </c>
      <c r="CK24" s="358">
        <v>68</v>
      </c>
      <c r="CL24" s="358">
        <v>74</v>
      </c>
      <c r="CM24" s="358">
        <v>78</v>
      </c>
      <c r="CN24" s="358">
        <v>83</v>
      </c>
      <c r="CO24" s="358">
        <v>90</v>
      </c>
      <c r="CP24" s="358">
        <v>101</v>
      </c>
      <c r="CQ24" s="358">
        <v>114</v>
      </c>
      <c r="CR24" s="358">
        <v>119</v>
      </c>
      <c r="CS24" s="358">
        <v>8</v>
      </c>
      <c r="CT24" s="358">
        <v>13</v>
      </c>
      <c r="CU24" s="358">
        <v>19</v>
      </c>
      <c r="CV24" s="358">
        <v>25</v>
      </c>
      <c r="CW24" s="358">
        <v>31</v>
      </c>
      <c r="CX24" s="358">
        <v>36</v>
      </c>
      <c r="CY24" s="358">
        <v>43</v>
      </c>
      <c r="CZ24" s="358">
        <v>46</v>
      </c>
      <c r="DA24" s="358">
        <v>50</v>
      </c>
      <c r="DB24" s="358">
        <v>55</v>
      </c>
      <c r="DC24" s="358">
        <v>66</v>
      </c>
      <c r="DD24" s="358">
        <v>76</v>
      </c>
      <c r="DE24" s="358">
        <v>80</v>
      </c>
      <c r="DF24" s="358">
        <v>86</v>
      </c>
      <c r="DG24" s="358">
        <v>95</v>
      </c>
      <c r="DH24" s="358">
        <v>100</v>
      </c>
      <c r="DI24" s="358">
        <v>107</v>
      </c>
      <c r="DJ24" s="358">
        <v>116</v>
      </c>
      <c r="DK24" s="358">
        <v>123</v>
      </c>
      <c r="DL24" s="358">
        <v>131</v>
      </c>
      <c r="DM24" s="358">
        <v>143</v>
      </c>
      <c r="DN24" s="358">
        <v>146</v>
      </c>
      <c r="DO24" s="358">
        <v>157</v>
      </c>
      <c r="DP24" s="358">
        <v>166</v>
      </c>
      <c r="DQ24" s="358">
        <v>5</v>
      </c>
      <c r="DR24" s="358">
        <v>10</v>
      </c>
      <c r="DS24" s="358">
        <v>14</v>
      </c>
      <c r="DT24" s="358">
        <v>16</v>
      </c>
      <c r="DU24" s="358">
        <v>19</v>
      </c>
      <c r="DV24" s="358">
        <v>20</v>
      </c>
      <c r="DW24" s="358">
        <v>26</v>
      </c>
      <c r="DX24" s="358">
        <v>29</v>
      </c>
      <c r="DY24" s="358">
        <v>35</v>
      </c>
      <c r="DZ24" s="358">
        <v>40</v>
      </c>
      <c r="EA24" s="358">
        <v>44</v>
      </c>
      <c r="EB24" s="358">
        <v>48</v>
      </c>
      <c r="EC24" s="358">
        <v>53</v>
      </c>
      <c r="ED24" s="358">
        <v>59</v>
      </c>
      <c r="EE24" s="358">
        <v>65</v>
      </c>
      <c r="EF24" s="358">
        <v>68</v>
      </c>
      <c r="EG24" s="358">
        <v>72</v>
      </c>
      <c r="EH24" s="358">
        <v>77</v>
      </c>
      <c r="EI24" s="358">
        <v>82</v>
      </c>
      <c r="EJ24" s="358">
        <v>86</v>
      </c>
      <c r="EK24" s="358">
        <v>91</v>
      </c>
      <c r="EL24" s="358">
        <v>95</v>
      </c>
      <c r="EM24" s="358">
        <v>144</v>
      </c>
      <c r="EN24" s="358">
        <v>156</v>
      </c>
      <c r="EO24" s="358">
        <v>167</v>
      </c>
      <c r="EP24" s="358">
        <v>177</v>
      </c>
      <c r="EQ24" s="358">
        <v>184</v>
      </c>
      <c r="ES24" s="358">
        <v>196</v>
      </c>
      <c r="ET24" s="358">
        <v>201</v>
      </c>
      <c r="EU24" s="358">
        <v>210</v>
      </c>
      <c r="EV24" s="358">
        <v>216</v>
      </c>
      <c r="EW24" s="358">
        <v>140</v>
      </c>
      <c r="EX24" s="358">
        <v>151</v>
      </c>
      <c r="EY24" s="358">
        <v>162</v>
      </c>
      <c r="EZ24" s="358">
        <v>178</v>
      </c>
      <c r="FA24" s="358">
        <v>186</v>
      </c>
      <c r="FB24" s="358">
        <v>196</v>
      </c>
      <c r="FC24" s="358">
        <v>210</v>
      </c>
      <c r="FD24" s="358">
        <v>222</v>
      </c>
      <c r="FE24" s="358">
        <v>229</v>
      </c>
      <c r="FF24" s="358">
        <v>234</v>
      </c>
      <c r="FG24" s="358">
        <v>246</v>
      </c>
      <c r="FH24" s="358">
        <v>255</v>
      </c>
      <c r="FI24" s="358">
        <v>266</v>
      </c>
      <c r="FJ24" s="358">
        <v>272</v>
      </c>
      <c r="FK24" s="358">
        <v>277</v>
      </c>
      <c r="FL24" s="358">
        <v>119</v>
      </c>
      <c r="FM24" s="358">
        <v>129</v>
      </c>
      <c r="FN24" s="358">
        <v>135</v>
      </c>
      <c r="FO24" s="358">
        <v>142</v>
      </c>
      <c r="FP24" s="358">
        <v>155</v>
      </c>
      <c r="FQ24" s="358">
        <v>170</v>
      </c>
      <c r="FR24" s="358">
        <v>178</v>
      </c>
      <c r="FS24" s="358">
        <v>185</v>
      </c>
      <c r="FT24" s="358">
        <v>192</v>
      </c>
      <c r="FU24" s="358">
        <v>199</v>
      </c>
      <c r="FV24" s="358">
        <v>209</v>
      </c>
      <c r="FW24" s="358">
        <v>74</v>
      </c>
      <c r="FX24" s="358">
        <v>121</v>
      </c>
      <c r="FY24" s="358">
        <v>128</v>
      </c>
      <c r="FZ24" s="358">
        <v>156</v>
      </c>
      <c r="GA24" s="358">
        <v>225</v>
      </c>
      <c r="GB24" s="358">
        <v>257</v>
      </c>
      <c r="GC24" s="358">
        <v>113</v>
      </c>
      <c r="GD24" s="358">
        <v>149</v>
      </c>
      <c r="GE24" s="358">
        <v>178</v>
      </c>
      <c r="GF24" s="358">
        <v>170</v>
      </c>
      <c r="GG24" s="358">
        <v>94</v>
      </c>
      <c r="GH24" s="358">
        <v>106</v>
      </c>
      <c r="GI24" s="361">
        <v>132</v>
      </c>
    </row>
    <row r="25" spans="1:191">
      <c r="A25" s="336" t="s">
        <v>474</v>
      </c>
      <c r="B25" s="358">
        <v>4</v>
      </c>
      <c r="C25" s="358">
        <v>8</v>
      </c>
      <c r="D25" s="358">
        <v>10</v>
      </c>
      <c r="E25" s="358">
        <v>11</v>
      </c>
      <c r="F25" s="358">
        <v>14</v>
      </c>
      <c r="G25" s="358">
        <v>17</v>
      </c>
      <c r="H25" s="358">
        <v>20</v>
      </c>
      <c r="I25" s="358">
        <v>22</v>
      </c>
      <c r="J25" s="358">
        <v>25</v>
      </c>
      <c r="K25" s="358">
        <v>29</v>
      </c>
      <c r="L25" s="358">
        <v>31</v>
      </c>
      <c r="M25" s="358">
        <v>34</v>
      </c>
      <c r="N25" s="358">
        <v>36</v>
      </c>
      <c r="O25" s="358">
        <v>41</v>
      </c>
      <c r="P25" s="358">
        <v>47</v>
      </c>
      <c r="Q25" s="358">
        <v>49</v>
      </c>
      <c r="R25" s="358">
        <v>52</v>
      </c>
      <c r="S25" s="358">
        <v>54</v>
      </c>
      <c r="T25" s="358">
        <v>57</v>
      </c>
      <c r="U25" s="358">
        <v>60</v>
      </c>
      <c r="V25" s="358">
        <v>2</v>
      </c>
      <c r="X25" s="358">
        <v>2</v>
      </c>
      <c r="Y25" s="358">
        <v>4</v>
      </c>
      <c r="Z25" s="358">
        <v>6</v>
      </c>
      <c r="AA25" s="358">
        <v>7</v>
      </c>
      <c r="AB25" s="358">
        <v>9</v>
      </c>
      <c r="AC25" s="358">
        <v>12</v>
      </c>
      <c r="AD25" s="358">
        <v>14</v>
      </c>
      <c r="AE25" s="358">
        <v>19</v>
      </c>
      <c r="AF25" s="358">
        <v>24</v>
      </c>
      <c r="AG25" s="358">
        <v>29</v>
      </c>
      <c r="AH25" s="358">
        <v>30</v>
      </c>
      <c r="AI25" s="358">
        <v>31</v>
      </c>
      <c r="AJ25" s="358">
        <v>35</v>
      </c>
      <c r="AK25" s="358">
        <v>41</v>
      </c>
      <c r="AL25" s="358">
        <v>47</v>
      </c>
      <c r="AM25" s="358">
        <v>52</v>
      </c>
      <c r="AN25" s="358">
        <v>58</v>
      </c>
      <c r="AO25" s="358">
        <v>62</v>
      </c>
      <c r="AP25" s="358">
        <v>68</v>
      </c>
      <c r="AQ25" s="358">
        <v>74</v>
      </c>
      <c r="AR25" s="358">
        <v>78</v>
      </c>
      <c r="AS25" s="358">
        <v>90</v>
      </c>
      <c r="AT25" s="358">
        <v>98</v>
      </c>
      <c r="AU25" s="358">
        <v>108</v>
      </c>
      <c r="AV25" s="358">
        <v>117</v>
      </c>
      <c r="AW25" s="358">
        <v>125</v>
      </c>
      <c r="AX25" s="358">
        <v>7</v>
      </c>
      <c r="AY25" s="358">
        <v>11</v>
      </c>
      <c r="AZ25" s="358">
        <v>12</v>
      </c>
      <c r="BA25" s="358">
        <v>13</v>
      </c>
      <c r="BB25" s="358">
        <v>14</v>
      </c>
      <c r="BC25" s="358">
        <v>17</v>
      </c>
      <c r="BD25" s="358">
        <v>21</v>
      </c>
      <c r="BE25" s="358">
        <v>23</v>
      </c>
      <c r="BF25" s="358">
        <v>24</v>
      </c>
      <c r="BG25" s="358">
        <v>27</v>
      </c>
      <c r="BH25" s="358">
        <v>28</v>
      </c>
      <c r="BI25" s="358">
        <v>29</v>
      </c>
      <c r="BJ25" s="358">
        <v>31</v>
      </c>
      <c r="BK25" s="358">
        <v>32</v>
      </c>
      <c r="BL25" s="358">
        <v>33</v>
      </c>
      <c r="BM25" s="358">
        <v>35</v>
      </c>
      <c r="BN25" s="358">
        <v>36</v>
      </c>
      <c r="BO25" s="358">
        <v>39</v>
      </c>
      <c r="BP25" s="358">
        <v>44</v>
      </c>
      <c r="BQ25" s="358">
        <v>48</v>
      </c>
      <c r="BR25" s="358">
        <v>58</v>
      </c>
      <c r="BS25" s="358">
        <v>65</v>
      </c>
      <c r="BT25" s="358">
        <v>69</v>
      </c>
      <c r="BU25" s="358">
        <v>72</v>
      </c>
      <c r="BV25" s="358">
        <v>9</v>
      </c>
      <c r="BW25" s="358">
        <v>10</v>
      </c>
      <c r="BX25" s="358">
        <v>13</v>
      </c>
      <c r="BY25" s="358">
        <v>17</v>
      </c>
      <c r="BZ25" s="358">
        <v>22</v>
      </c>
      <c r="CA25" s="358">
        <v>26</v>
      </c>
      <c r="CB25" s="358">
        <v>33</v>
      </c>
      <c r="CC25" s="358">
        <v>38</v>
      </c>
      <c r="CD25" s="358">
        <v>41</v>
      </c>
      <c r="CE25" s="358">
        <v>45</v>
      </c>
      <c r="CF25" s="358">
        <v>47</v>
      </c>
      <c r="CG25" s="358">
        <v>54</v>
      </c>
      <c r="CH25" s="358">
        <v>56</v>
      </c>
      <c r="CI25" s="358">
        <v>60</v>
      </c>
      <c r="CJ25" s="358">
        <v>63</v>
      </c>
      <c r="CK25" s="358">
        <v>70</v>
      </c>
      <c r="CL25" s="358">
        <v>76</v>
      </c>
      <c r="CM25" s="358">
        <v>80</v>
      </c>
      <c r="CN25" s="358">
        <v>85</v>
      </c>
      <c r="CO25" s="358">
        <v>92</v>
      </c>
      <c r="CP25" s="358">
        <v>103</v>
      </c>
      <c r="CQ25" s="358">
        <v>116</v>
      </c>
      <c r="CR25" s="358">
        <v>121</v>
      </c>
      <c r="CS25" s="358">
        <v>10</v>
      </c>
      <c r="CT25" s="358">
        <v>15</v>
      </c>
      <c r="CU25" s="358">
        <v>21</v>
      </c>
      <c r="CV25" s="358">
        <v>27</v>
      </c>
      <c r="CW25" s="358">
        <v>33</v>
      </c>
      <c r="CX25" s="358">
        <v>38</v>
      </c>
      <c r="CY25" s="358">
        <v>45</v>
      </c>
      <c r="CZ25" s="358">
        <v>48</v>
      </c>
      <c r="DA25" s="358">
        <v>52</v>
      </c>
      <c r="DB25" s="358">
        <v>57</v>
      </c>
      <c r="DC25" s="358">
        <v>68</v>
      </c>
      <c r="DD25" s="358">
        <v>78</v>
      </c>
      <c r="DE25" s="358">
        <v>82</v>
      </c>
      <c r="DF25" s="358">
        <v>88</v>
      </c>
      <c r="DG25" s="358">
        <v>97</v>
      </c>
      <c r="DH25" s="358">
        <v>102</v>
      </c>
      <c r="DI25" s="358">
        <v>109</v>
      </c>
      <c r="DJ25" s="358">
        <v>118</v>
      </c>
      <c r="DK25" s="358">
        <v>125</v>
      </c>
      <c r="DL25" s="358">
        <v>133</v>
      </c>
      <c r="DM25" s="358">
        <v>145</v>
      </c>
      <c r="DN25" s="358">
        <v>148</v>
      </c>
      <c r="DO25" s="358">
        <v>159</v>
      </c>
      <c r="DP25" s="358">
        <v>168</v>
      </c>
      <c r="DQ25" s="358">
        <v>3</v>
      </c>
      <c r="DR25" s="358">
        <v>8</v>
      </c>
      <c r="DS25" s="358">
        <v>12</v>
      </c>
      <c r="DT25" s="358">
        <v>14</v>
      </c>
      <c r="DU25" s="358">
        <v>17</v>
      </c>
      <c r="DV25" s="358">
        <v>18</v>
      </c>
      <c r="DW25" s="358">
        <v>24</v>
      </c>
      <c r="DX25" s="358">
        <v>27</v>
      </c>
      <c r="DY25" s="358">
        <v>33</v>
      </c>
      <c r="DZ25" s="358">
        <v>38</v>
      </c>
      <c r="EA25" s="358">
        <v>42</v>
      </c>
      <c r="EB25" s="358">
        <v>46</v>
      </c>
      <c r="EC25" s="358">
        <v>51</v>
      </c>
      <c r="ED25" s="358">
        <v>57</v>
      </c>
      <c r="EE25" s="358">
        <v>63</v>
      </c>
      <c r="EF25" s="358">
        <v>66</v>
      </c>
      <c r="EG25" s="358">
        <v>70</v>
      </c>
      <c r="EH25" s="358">
        <v>75</v>
      </c>
      <c r="EI25" s="358">
        <v>80</v>
      </c>
      <c r="EJ25" s="358">
        <v>84</v>
      </c>
      <c r="EK25" s="358">
        <v>89</v>
      </c>
      <c r="EL25" s="358">
        <v>93</v>
      </c>
      <c r="EM25" s="358">
        <v>142</v>
      </c>
      <c r="EN25" s="358">
        <v>154</v>
      </c>
      <c r="EO25" s="358">
        <v>165</v>
      </c>
      <c r="EP25" s="358">
        <v>175</v>
      </c>
      <c r="EQ25" s="358">
        <v>182</v>
      </c>
      <c r="ES25" s="358">
        <v>194</v>
      </c>
      <c r="ET25" s="358">
        <v>199</v>
      </c>
      <c r="EU25" s="358">
        <v>208</v>
      </c>
      <c r="EV25" s="358">
        <v>214</v>
      </c>
      <c r="EW25" s="358">
        <v>138</v>
      </c>
      <c r="EX25" s="358">
        <v>149</v>
      </c>
      <c r="EY25" s="358">
        <v>160</v>
      </c>
      <c r="EZ25" s="358">
        <v>176</v>
      </c>
      <c r="FA25" s="358">
        <v>184</v>
      </c>
      <c r="FB25" s="358">
        <v>194</v>
      </c>
      <c r="FC25" s="358">
        <v>208</v>
      </c>
      <c r="FD25" s="358">
        <v>220</v>
      </c>
      <c r="FE25" s="358">
        <v>227</v>
      </c>
      <c r="FF25" s="358">
        <v>232</v>
      </c>
      <c r="FG25" s="358">
        <v>244</v>
      </c>
      <c r="FH25" s="358">
        <v>253</v>
      </c>
      <c r="FI25" s="358">
        <v>264</v>
      </c>
      <c r="FJ25" s="358">
        <v>270</v>
      </c>
      <c r="FK25" s="358">
        <v>275</v>
      </c>
      <c r="FL25" s="358">
        <v>117</v>
      </c>
      <c r="FM25" s="358">
        <v>127</v>
      </c>
      <c r="FN25" s="358">
        <v>133</v>
      </c>
      <c r="FO25" s="358">
        <v>140</v>
      </c>
      <c r="FP25" s="358">
        <v>153</v>
      </c>
      <c r="FQ25" s="358">
        <v>168</v>
      </c>
      <c r="FR25" s="358">
        <v>176</v>
      </c>
      <c r="FS25" s="358">
        <v>183</v>
      </c>
      <c r="FT25" s="358">
        <v>190</v>
      </c>
      <c r="FU25" s="358">
        <v>197</v>
      </c>
      <c r="FV25" s="358">
        <v>207</v>
      </c>
      <c r="FW25" s="358">
        <v>76</v>
      </c>
      <c r="FX25" s="358">
        <v>123</v>
      </c>
      <c r="FY25" s="358">
        <v>130</v>
      </c>
      <c r="FZ25" s="358">
        <v>158</v>
      </c>
      <c r="GA25" s="358">
        <v>227</v>
      </c>
      <c r="GB25" s="358">
        <v>255</v>
      </c>
      <c r="GC25" s="358">
        <v>115</v>
      </c>
      <c r="GD25" s="358">
        <v>151</v>
      </c>
      <c r="GE25" s="358">
        <v>180</v>
      </c>
      <c r="GF25" s="358">
        <v>172</v>
      </c>
      <c r="GG25" s="358">
        <v>96</v>
      </c>
      <c r="GH25" s="358">
        <v>108</v>
      </c>
      <c r="GI25" s="361">
        <v>134</v>
      </c>
    </row>
    <row r="26" spans="1:191">
      <c r="A26" s="336" t="s">
        <v>473</v>
      </c>
      <c r="B26" s="358">
        <v>6</v>
      </c>
      <c r="C26" s="358">
        <v>10</v>
      </c>
      <c r="D26" s="358">
        <v>12</v>
      </c>
      <c r="E26" s="358">
        <v>13</v>
      </c>
      <c r="F26" s="358">
        <v>16</v>
      </c>
      <c r="G26" s="358">
        <v>19</v>
      </c>
      <c r="H26" s="358">
        <v>22</v>
      </c>
      <c r="I26" s="358">
        <v>24</v>
      </c>
      <c r="J26" s="358">
        <v>27</v>
      </c>
      <c r="K26" s="358">
        <v>31</v>
      </c>
      <c r="L26" s="358">
        <v>33</v>
      </c>
      <c r="M26" s="358">
        <v>36</v>
      </c>
      <c r="N26" s="358">
        <v>38</v>
      </c>
      <c r="O26" s="358">
        <v>43</v>
      </c>
      <c r="P26" s="358">
        <v>49</v>
      </c>
      <c r="Q26" s="358">
        <v>51</v>
      </c>
      <c r="R26" s="358">
        <v>54</v>
      </c>
      <c r="S26" s="358">
        <v>56</v>
      </c>
      <c r="T26" s="358">
        <v>59</v>
      </c>
      <c r="U26" s="358">
        <v>62</v>
      </c>
      <c r="V26" s="358">
        <v>4</v>
      </c>
      <c r="W26" s="358">
        <v>2</v>
      </c>
      <c r="Y26" s="358">
        <v>2</v>
      </c>
      <c r="Z26" s="358">
        <v>4</v>
      </c>
      <c r="AA26" s="358">
        <v>5</v>
      </c>
      <c r="AB26" s="358">
        <v>7</v>
      </c>
      <c r="AC26" s="358">
        <v>10</v>
      </c>
      <c r="AD26" s="358">
        <v>12</v>
      </c>
      <c r="AE26" s="358">
        <v>17</v>
      </c>
      <c r="AF26" s="358">
        <v>22</v>
      </c>
      <c r="AG26" s="358">
        <v>27</v>
      </c>
      <c r="AH26" s="358">
        <v>28</v>
      </c>
      <c r="AI26" s="358">
        <v>29</v>
      </c>
      <c r="AJ26" s="358">
        <v>33</v>
      </c>
      <c r="AK26" s="358">
        <v>39</v>
      </c>
      <c r="AL26" s="358">
        <v>45</v>
      </c>
      <c r="AM26" s="358">
        <v>50</v>
      </c>
      <c r="AN26" s="358">
        <v>56</v>
      </c>
      <c r="AO26" s="358">
        <v>60</v>
      </c>
      <c r="AP26" s="358">
        <v>66</v>
      </c>
      <c r="AQ26" s="358">
        <v>72</v>
      </c>
      <c r="AR26" s="358">
        <v>76</v>
      </c>
      <c r="AS26" s="358">
        <v>88</v>
      </c>
      <c r="AT26" s="358">
        <v>96</v>
      </c>
      <c r="AU26" s="358">
        <v>106</v>
      </c>
      <c r="AV26" s="358">
        <v>115</v>
      </c>
      <c r="AW26" s="358">
        <v>123</v>
      </c>
      <c r="AX26" s="358">
        <v>9</v>
      </c>
      <c r="AY26" s="358">
        <v>13</v>
      </c>
      <c r="AZ26" s="358">
        <v>14</v>
      </c>
      <c r="BA26" s="358">
        <v>15</v>
      </c>
      <c r="BB26" s="358">
        <v>16</v>
      </c>
      <c r="BC26" s="358">
        <v>19</v>
      </c>
      <c r="BD26" s="358">
        <v>23</v>
      </c>
      <c r="BE26" s="358">
        <v>25</v>
      </c>
      <c r="BF26" s="358">
        <v>26</v>
      </c>
      <c r="BG26" s="358">
        <v>29</v>
      </c>
      <c r="BH26" s="358">
        <v>30</v>
      </c>
      <c r="BI26" s="358">
        <v>31</v>
      </c>
      <c r="BJ26" s="358">
        <v>33</v>
      </c>
      <c r="BK26" s="358">
        <v>34</v>
      </c>
      <c r="BL26" s="358">
        <v>35</v>
      </c>
      <c r="BM26" s="358">
        <v>37</v>
      </c>
      <c r="BN26" s="358">
        <v>38</v>
      </c>
      <c r="BO26" s="358">
        <v>41</v>
      </c>
      <c r="BP26" s="358">
        <v>46</v>
      </c>
      <c r="BQ26" s="358">
        <v>50</v>
      </c>
      <c r="BR26" s="358">
        <v>60</v>
      </c>
      <c r="BS26" s="358">
        <v>67</v>
      </c>
      <c r="BT26" s="358">
        <v>71</v>
      </c>
      <c r="BU26" s="358">
        <v>74</v>
      </c>
      <c r="BV26" s="358">
        <v>11</v>
      </c>
      <c r="BW26" s="358">
        <v>12</v>
      </c>
      <c r="BX26" s="358">
        <v>15</v>
      </c>
      <c r="BY26" s="358">
        <v>19</v>
      </c>
      <c r="BZ26" s="358">
        <v>24</v>
      </c>
      <c r="CA26" s="358">
        <v>28</v>
      </c>
      <c r="CB26" s="358">
        <v>35</v>
      </c>
      <c r="CC26" s="358">
        <v>40</v>
      </c>
      <c r="CD26" s="358">
        <v>43</v>
      </c>
      <c r="CE26" s="358">
        <v>47</v>
      </c>
      <c r="CF26" s="358">
        <v>49</v>
      </c>
      <c r="CG26" s="358">
        <v>56</v>
      </c>
      <c r="CH26" s="358">
        <v>58</v>
      </c>
      <c r="CI26" s="358">
        <v>62</v>
      </c>
      <c r="CJ26" s="358">
        <v>65</v>
      </c>
      <c r="CK26" s="358">
        <v>72</v>
      </c>
      <c r="CL26" s="358">
        <v>78</v>
      </c>
      <c r="CM26" s="358">
        <v>82</v>
      </c>
      <c r="CN26" s="358">
        <v>87</v>
      </c>
      <c r="CO26" s="358">
        <v>94</v>
      </c>
      <c r="CP26" s="358">
        <v>105</v>
      </c>
      <c r="CQ26" s="358">
        <v>118</v>
      </c>
      <c r="CR26" s="358">
        <v>123</v>
      </c>
      <c r="CS26" s="358">
        <v>12</v>
      </c>
      <c r="CT26" s="358">
        <v>17</v>
      </c>
      <c r="CU26" s="358">
        <v>23</v>
      </c>
      <c r="CV26" s="358">
        <v>29</v>
      </c>
      <c r="CW26" s="358">
        <v>35</v>
      </c>
      <c r="CX26" s="358">
        <v>40</v>
      </c>
      <c r="CY26" s="358">
        <v>47</v>
      </c>
      <c r="CZ26" s="358">
        <v>50</v>
      </c>
      <c r="DA26" s="358">
        <v>54</v>
      </c>
      <c r="DB26" s="358">
        <v>59</v>
      </c>
      <c r="DC26" s="358">
        <v>70</v>
      </c>
      <c r="DD26" s="358">
        <v>80</v>
      </c>
      <c r="DE26" s="358">
        <v>84</v>
      </c>
      <c r="DF26" s="358">
        <v>90</v>
      </c>
      <c r="DG26" s="358">
        <v>99</v>
      </c>
      <c r="DH26" s="358">
        <v>104</v>
      </c>
      <c r="DI26" s="358">
        <v>111</v>
      </c>
      <c r="DJ26" s="358">
        <v>120</v>
      </c>
      <c r="DK26" s="358">
        <v>127</v>
      </c>
      <c r="DL26" s="358">
        <v>135</v>
      </c>
      <c r="DM26" s="358">
        <v>147</v>
      </c>
      <c r="DN26" s="358">
        <v>150</v>
      </c>
      <c r="DO26" s="358">
        <v>161</v>
      </c>
      <c r="DP26" s="358">
        <v>170</v>
      </c>
      <c r="DQ26" s="358">
        <v>5</v>
      </c>
      <c r="DR26" s="358">
        <v>10</v>
      </c>
      <c r="DS26" s="358">
        <v>14</v>
      </c>
      <c r="DT26" s="358">
        <v>16</v>
      </c>
      <c r="DU26" s="358">
        <v>19</v>
      </c>
      <c r="DV26" s="358">
        <v>20</v>
      </c>
      <c r="DW26" s="358">
        <v>26</v>
      </c>
      <c r="DX26" s="358">
        <v>29</v>
      </c>
      <c r="DY26" s="358">
        <v>35</v>
      </c>
      <c r="DZ26" s="358">
        <v>40</v>
      </c>
      <c r="EA26" s="358">
        <v>44</v>
      </c>
      <c r="EB26" s="358">
        <v>48</v>
      </c>
      <c r="EC26" s="358">
        <v>53</v>
      </c>
      <c r="ED26" s="358">
        <v>59</v>
      </c>
      <c r="EE26" s="358">
        <v>65</v>
      </c>
      <c r="EF26" s="358">
        <v>68</v>
      </c>
      <c r="EG26" s="358">
        <v>72</v>
      </c>
      <c r="EH26" s="358">
        <v>77</v>
      </c>
      <c r="EI26" s="358">
        <v>82</v>
      </c>
      <c r="EJ26" s="358">
        <v>86</v>
      </c>
      <c r="EK26" s="358">
        <v>91</v>
      </c>
      <c r="EL26" s="358">
        <v>95</v>
      </c>
      <c r="EM26" s="358">
        <v>140</v>
      </c>
      <c r="EN26" s="358">
        <v>152</v>
      </c>
      <c r="EO26" s="358">
        <v>163</v>
      </c>
      <c r="EP26" s="358">
        <v>173</v>
      </c>
      <c r="EQ26" s="358">
        <v>180</v>
      </c>
      <c r="ES26" s="358">
        <v>192</v>
      </c>
      <c r="ET26" s="358">
        <v>197</v>
      </c>
      <c r="EU26" s="358">
        <v>206</v>
      </c>
      <c r="EV26" s="358">
        <v>212</v>
      </c>
      <c r="EW26" s="358">
        <v>136</v>
      </c>
      <c r="EX26" s="358">
        <v>147</v>
      </c>
      <c r="EY26" s="358">
        <v>158</v>
      </c>
      <c r="EZ26" s="358">
        <v>174</v>
      </c>
      <c r="FA26" s="358">
        <v>182</v>
      </c>
      <c r="FB26" s="358">
        <v>192</v>
      </c>
      <c r="FC26" s="358">
        <v>206</v>
      </c>
      <c r="FD26" s="358">
        <v>218</v>
      </c>
      <c r="FE26" s="358">
        <v>225</v>
      </c>
      <c r="FF26" s="358">
        <v>230</v>
      </c>
      <c r="FG26" s="358">
        <v>242</v>
      </c>
      <c r="FH26" s="358">
        <v>251</v>
      </c>
      <c r="FI26" s="358">
        <v>262</v>
      </c>
      <c r="FJ26" s="358">
        <v>268</v>
      </c>
      <c r="FK26" s="358">
        <v>273</v>
      </c>
      <c r="FL26" s="358">
        <v>115</v>
      </c>
      <c r="FM26" s="358">
        <v>125</v>
      </c>
      <c r="FN26" s="358">
        <v>131</v>
      </c>
      <c r="FO26" s="358">
        <v>138</v>
      </c>
      <c r="FP26" s="358">
        <v>151</v>
      </c>
      <c r="FQ26" s="358">
        <v>166</v>
      </c>
      <c r="FR26" s="358">
        <v>174</v>
      </c>
      <c r="FS26" s="358">
        <v>181</v>
      </c>
      <c r="FT26" s="358">
        <v>188</v>
      </c>
      <c r="FU26" s="358">
        <v>195</v>
      </c>
      <c r="FV26" s="358">
        <v>205</v>
      </c>
      <c r="FW26" s="358">
        <v>78</v>
      </c>
      <c r="FX26" s="358">
        <v>125</v>
      </c>
      <c r="FY26" s="358">
        <v>132</v>
      </c>
      <c r="FZ26" s="358">
        <v>160</v>
      </c>
      <c r="GA26" s="358">
        <v>229</v>
      </c>
      <c r="GB26" s="358">
        <v>253</v>
      </c>
      <c r="GC26" s="358">
        <v>117</v>
      </c>
      <c r="GD26" s="358">
        <v>153</v>
      </c>
      <c r="GE26" s="358">
        <v>182</v>
      </c>
      <c r="GF26" s="358">
        <v>174</v>
      </c>
      <c r="GG26" s="358">
        <v>98</v>
      </c>
      <c r="GH26" s="358">
        <v>110</v>
      </c>
      <c r="GI26" s="361">
        <v>136</v>
      </c>
    </row>
    <row r="27" spans="1:191">
      <c r="A27" s="336" t="s">
        <v>472</v>
      </c>
      <c r="B27" s="358">
        <v>8</v>
      </c>
      <c r="C27" s="358">
        <v>12</v>
      </c>
      <c r="D27" s="358">
        <v>14</v>
      </c>
      <c r="E27" s="358">
        <v>15</v>
      </c>
      <c r="F27" s="358">
        <v>18</v>
      </c>
      <c r="G27" s="358">
        <v>21</v>
      </c>
      <c r="H27" s="358">
        <v>24</v>
      </c>
      <c r="I27" s="358">
        <v>26</v>
      </c>
      <c r="J27" s="358">
        <v>29</v>
      </c>
      <c r="K27" s="358">
        <v>33</v>
      </c>
      <c r="L27" s="358">
        <v>35</v>
      </c>
      <c r="M27" s="358">
        <v>38</v>
      </c>
      <c r="N27" s="358">
        <v>40</v>
      </c>
      <c r="O27" s="358">
        <v>45</v>
      </c>
      <c r="P27" s="358">
        <v>51</v>
      </c>
      <c r="Q27" s="358">
        <v>53</v>
      </c>
      <c r="R27" s="358">
        <v>56</v>
      </c>
      <c r="S27" s="358">
        <v>58</v>
      </c>
      <c r="T27" s="358">
        <v>61</v>
      </c>
      <c r="U27" s="358">
        <v>64</v>
      </c>
      <c r="V27" s="358">
        <v>6</v>
      </c>
      <c r="W27" s="358">
        <v>4</v>
      </c>
      <c r="X27" s="358">
        <v>2</v>
      </c>
      <c r="Z27" s="358">
        <v>2</v>
      </c>
      <c r="AA27" s="358">
        <v>3</v>
      </c>
      <c r="AB27" s="358">
        <v>5</v>
      </c>
      <c r="AC27" s="358">
        <v>8</v>
      </c>
      <c r="AD27" s="358">
        <v>10</v>
      </c>
      <c r="AE27" s="358">
        <v>15</v>
      </c>
      <c r="AF27" s="358">
        <v>20</v>
      </c>
      <c r="AG27" s="358">
        <v>25</v>
      </c>
      <c r="AH27" s="358">
        <v>26</v>
      </c>
      <c r="AI27" s="358">
        <v>27</v>
      </c>
      <c r="AJ27" s="358">
        <v>31</v>
      </c>
      <c r="AK27" s="358">
        <v>37</v>
      </c>
      <c r="AL27" s="358">
        <v>43</v>
      </c>
      <c r="AM27" s="358">
        <v>48</v>
      </c>
      <c r="AN27" s="358">
        <v>54</v>
      </c>
      <c r="AO27" s="358">
        <v>58</v>
      </c>
      <c r="AP27" s="358">
        <v>64</v>
      </c>
      <c r="AQ27" s="358">
        <v>70</v>
      </c>
      <c r="AR27" s="358">
        <v>74</v>
      </c>
      <c r="AS27" s="358">
        <v>86</v>
      </c>
      <c r="AT27" s="358">
        <v>94</v>
      </c>
      <c r="AU27" s="358">
        <v>104</v>
      </c>
      <c r="AV27" s="358">
        <v>113</v>
      </c>
      <c r="AW27" s="358">
        <v>121</v>
      </c>
      <c r="AX27" s="358">
        <v>11</v>
      </c>
      <c r="AY27" s="358">
        <v>15</v>
      </c>
      <c r="AZ27" s="358">
        <v>16</v>
      </c>
      <c r="BA27" s="358">
        <v>17</v>
      </c>
      <c r="BB27" s="358">
        <v>18</v>
      </c>
      <c r="BC27" s="358">
        <v>21</v>
      </c>
      <c r="BD27" s="358">
        <v>25</v>
      </c>
      <c r="BE27" s="358">
        <v>27</v>
      </c>
      <c r="BF27" s="358">
        <v>28</v>
      </c>
      <c r="BG27" s="358">
        <v>31</v>
      </c>
      <c r="BH27" s="358">
        <v>32</v>
      </c>
      <c r="BI27" s="358">
        <v>33</v>
      </c>
      <c r="BJ27" s="358">
        <v>35</v>
      </c>
      <c r="BK27" s="358">
        <v>36</v>
      </c>
      <c r="BL27" s="358">
        <v>37</v>
      </c>
      <c r="BM27" s="358">
        <v>39</v>
      </c>
      <c r="BN27" s="358">
        <v>40</v>
      </c>
      <c r="BO27" s="358">
        <v>43</v>
      </c>
      <c r="BP27" s="358">
        <v>48</v>
      </c>
      <c r="BQ27" s="358">
        <v>52</v>
      </c>
      <c r="BR27" s="358">
        <v>62</v>
      </c>
      <c r="BS27" s="358">
        <v>69</v>
      </c>
      <c r="BT27" s="358">
        <v>73</v>
      </c>
      <c r="BU27" s="358">
        <v>76</v>
      </c>
      <c r="BV27" s="358">
        <v>13</v>
      </c>
      <c r="BW27" s="358">
        <v>14</v>
      </c>
      <c r="BX27" s="358">
        <v>17</v>
      </c>
      <c r="BY27" s="358">
        <v>21</v>
      </c>
      <c r="BZ27" s="358">
        <v>26</v>
      </c>
      <c r="CA27" s="358">
        <v>30</v>
      </c>
      <c r="CB27" s="358">
        <v>37</v>
      </c>
      <c r="CC27" s="358">
        <v>42</v>
      </c>
      <c r="CD27" s="358">
        <v>45</v>
      </c>
      <c r="CE27" s="358">
        <v>49</v>
      </c>
      <c r="CF27" s="358">
        <v>51</v>
      </c>
      <c r="CG27" s="358">
        <v>58</v>
      </c>
      <c r="CH27" s="358">
        <v>60</v>
      </c>
      <c r="CI27" s="358">
        <v>64</v>
      </c>
      <c r="CJ27" s="358">
        <v>67</v>
      </c>
      <c r="CK27" s="358">
        <v>74</v>
      </c>
      <c r="CL27" s="358">
        <v>80</v>
      </c>
      <c r="CM27" s="358">
        <v>84</v>
      </c>
      <c r="CN27" s="358">
        <v>89</v>
      </c>
      <c r="CO27" s="358">
        <v>96</v>
      </c>
      <c r="CP27" s="358">
        <v>107</v>
      </c>
      <c r="CQ27" s="358">
        <v>120</v>
      </c>
      <c r="CR27" s="358">
        <v>125</v>
      </c>
      <c r="CS27" s="358">
        <v>14</v>
      </c>
      <c r="CT27" s="358">
        <v>19</v>
      </c>
      <c r="CU27" s="358">
        <v>25</v>
      </c>
      <c r="CV27" s="358">
        <v>31</v>
      </c>
      <c r="CW27" s="358">
        <v>37</v>
      </c>
      <c r="CX27" s="358">
        <v>42</v>
      </c>
      <c r="CY27" s="358">
        <v>49</v>
      </c>
      <c r="CZ27" s="358">
        <v>52</v>
      </c>
      <c r="DA27" s="358">
        <v>56</v>
      </c>
      <c r="DB27" s="358">
        <v>61</v>
      </c>
      <c r="DC27" s="358">
        <v>72</v>
      </c>
      <c r="DD27" s="358">
        <v>82</v>
      </c>
      <c r="DE27" s="358">
        <v>86</v>
      </c>
      <c r="DF27" s="358">
        <v>92</v>
      </c>
      <c r="DG27" s="358">
        <v>101</v>
      </c>
      <c r="DH27" s="358">
        <v>106</v>
      </c>
      <c r="DI27" s="358">
        <v>113</v>
      </c>
      <c r="DJ27" s="358">
        <v>122</v>
      </c>
      <c r="DK27" s="358">
        <v>129</v>
      </c>
      <c r="DL27" s="358">
        <v>137</v>
      </c>
      <c r="DM27" s="358">
        <v>149</v>
      </c>
      <c r="DN27" s="358">
        <v>152</v>
      </c>
      <c r="DO27" s="358">
        <v>163</v>
      </c>
      <c r="DP27" s="358">
        <v>172</v>
      </c>
      <c r="DQ27" s="358">
        <v>7</v>
      </c>
      <c r="DR27" s="358">
        <v>12</v>
      </c>
      <c r="DS27" s="358">
        <v>16</v>
      </c>
      <c r="DT27" s="358">
        <v>18</v>
      </c>
      <c r="DU27" s="358">
        <v>21</v>
      </c>
      <c r="DV27" s="358">
        <v>22</v>
      </c>
      <c r="DW27" s="358">
        <v>28</v>
      </c>
      <c r="DX27" s="358">
        <v>31</v>
      </c>
      <c r="DY27" s="358">
        <v>37</v>
      </c>
      <c r="DZ27" s="358">
        <v>42</v>
      </c>
      <c r="EA27" s="358">
        <v>46</v>
      </c>
      <c r="EB27" s="358">
        <v>50</v>
      </c>
      <c r="EC27" s="358">
        <v>55</v>
      </c>
      <c r="ED27" s="358">
        <v>61</v>
      </c>
      <c r="EE27" s="358">
        <v>67</v>
      </c>
      <c r="EF27" s="358">
        <v>70</v>
      </c>
      <c r="EG27" s="358">
        <v>74</v>
      </c>
      <c r="EH27" s="358">
        <v>79</v>
      </c>
      <c r="EI27" s="358">
        <v>84</v>
      </c>
      <c r="EJ27" s="358">
        <v>88</v>
      </c>
      <c r="EK27" s="358">
        <v>93</v>
      </c>
      <c r="EL27" s="358">
        <v>97</v>
      </c>
      <c r="EM27" s="358">
        <v>138</v>
      </c>
      <c r="EN27" s="358">
        <v>150</v>
      </c>
      <c r="EO27" s="358">
        <v>161</v>
      </c>
      <c r="EP27" s="358">
        <v>171</v>
      </c>
      <c r="EQ27" s="358">
        <v>178</v>
      </c>
      <c r="ES27" s="358">
        <v>190</v>
      </c>
      <c r="ET27" s="358">
        <v>195</v>
      </c>
      <c r="EU27" s="358">
        <v>204</v>
      </c>
      <c r="EV27" s="358">
        <v>210</v>
      </c>
      <c r="EW27" s="358">
        <v>134</v>
      </c>
      <c r="EX27" s="358">
        <v>145</v>
      </c>
      <c r="EY27" s="358">
        <v>156</v>
      </c>
      <c r="EZ27" s="358">
        <v>172</v>
      </c>
      <c r="FA27" s="358">
        <v>180</v>
      </c>
      <c r="FB27" s="358">
        <v>190</v>
      </c>
      <c r="FC27" s="358">
        <v>204</v>
      </c>
      <c r="FD27" s="358">
        <v>216</v>
      </c>
      <c r="FE27" s="358">
        <v>223</v>
      </c>
      <c r="FF27" s="358">
        <v>228</v>
      </c>
      <c r="FG27" s="358">
        <v>240</v>
      </c>
      <c r="FH27" s="358">
        <v>249</v>
      </c>
      <c r="FI27" s="358">
        <v>260</v>
      </c>
      <c r="FJ27" s="358">
        <v>266</v>
      </c>
      <c r="FK27" s="358">
        <v>271</v>
      </c>
      <c r="FL27" s="358">
        <v>113</v>
      </c>
      <c r="FM27" s="358">
        <v>123</v>
      </c>
      <c r="FN27" s="358">
        <v>129</v>
      </c>
      <c r="FO27" s="358">
        <v>136</v>
      </c>
      <c r="FP27" s="358">
        <v>149</v>
      </c>
      <c r="FQ27" s="358">
        <v>164</v>
      </c>
      <c r="FR27" s="358">
        <v>172</v>
      </c>
      <c r="FS27" s="358">
        <v>179</v>
      </c>
      <c r="FT27" s="358">
        <v>186</v>
      </c>
      <c r="FU27" s="358">
        <v>193</v>
      </c>
      <c r="FV27" s="358">
        <v>203</v>
      </c>
      <c r="FW27" s="358">
        <v>80</v>
      </c>
      <c r="FX27" s="358">
        <v>127</v>
      </c>
      <c r="FY27" s="358">
        <v>134</v>
      </c>
      <c r="FZ27" s="358">
        <v>162</v>
      </c>
      <c r="GA27" s="358">
        <v>231</v>
      </c>
      <c r="GB27" s="358">
        <v>251</v>
      </c>
      <c r="GC27" s="358">
        <v>119</v>
      </c>
      <c r="GD27" s="358">
        <v>155</v>
      </c>
      <c r="GE27" s="358">
        <v>184</v>
      </c>
      <c r="GF27" s="358">
        <v>176</v>
      </c>
      <c r="GG27" s="358">
        <v>100</v>
      </c>
      <c r="GH27" s="358">
        <v>112</v>
      </c>
      <c r="GI27" s="361">
        <v>138</v>
      </c>
    </row>
    <row r="28" spans="1:191">
      <c r="A28" s="336" t="s">
        <v>471</v>
      </c>
      <c r="B28" s="358">
        <v>10</v>
      </c>
      <c r="C28" s="358">
        <v>14</v>
      </c>
      <c r="D28" s="358">
        <v>16</v>
      </c>
      <c r="E28" s="358">
        <v>17</v>
      </c>
      <c r="F28" s="358">
        <v>20</v>
      </c>
      <c r="G28" s="358">
        <v>23</v>
      </c>
      <c r="H28" s="358">
        <v>26</v>
      </c>
      <c r="I28" s="358">
        <v>28</v>
      </c>
      <c r="J28" s="358">
        <v>31</v>
      </c>
      <c r="K28" s="358">
        <v>35</v>
      </c>
      <c r="L28" s="358">
        <v>37</v>
      </c>
      <c r="M28" s="358">
        <v>40</v>
      </c>
      <c r="N28" s="358">
        <v>42</v>
      </c>
      <c r="O28" s="358">
        <v>47</v>
      </c>
      <c r="P28" s="358">
        <v>53</v>
      </c>
      <c r="Q28" s="358">
        <v>55</v>
      </c>
      <c r="R28" s="358">
        <v>58</v>
      </c>
      <c r="S28" s="358">
        <v>60</v>
      </c>
      <c r="T28" s="358">
        <v>63</v>
      </c>
      <c r="U28" s="358">
        <v>66</v>
      </c>
      <c r="V28" s="358">
        <v>8</v>
      </c>
      <c r="W28" s="358">
        <v>6</v>
      </c>
      <c r="X28" s="358">
        <v>4</v>
      </c>
      <c r="Y28" s="358">
        <v>2</v>
      </c>
      <c r="AA28" s="358">
        <v>1</v>
      </c>
      <c r="AB28" s="358">
        <v>3</v>
      </c>
      <c r="AC28" s="358">
        <v>6</v>
      </c>
      <c r="AD28" s="358">
        <v>8</v>
      </c>
      <c r="AE28" s="358">
        <v>13</v>
      </c>
      <c r="AF28" s="358">
        <v>18</v>
      </c>
      <c r="AG28" s="358">
        <v>23</v>
      </c>
      <c r="AH28" s="358">
        <v>24</v>
      </c>
      <c r="AI28" s="358">
        <v>25</v>
      </c>
      <c r="AJ28" s="358">
        <v>29</v>
      </c>
      <c r="AK28" s="358">
        <v>35</v>
      </c>
      <c r="AL28" s="358">
        <v>41</v>
      </c>
      <c r="AM28" s="358">
        <v>46</v>
      </c>
      <c r="AN28" s="358">
        <v>52</v>
      </c>
      <c r="AO28" s="358">
        <v>56</v>
      </c>
      <c r="AP28" s="358">
        <v>62</v>
      </c>
      <c r="AQ28" s="358">
        <v>68</v>
      </c>
      <c r="AR28" s="358">
        <v>72</v>
      </c>
      <c r="AS28" s="358">
        <v>84</v>
      </c>
      <c r="AT28" s="358">
        <v>92</v>
      </c>
      <c r="AU28" s="358">
        <v>102</v>
      </c>
      <c r="AV28" s="358">
        <v>111</v>
      </c>
      <c r="AW28" s="358">
        <v>119</v>
      </c>
      <c r="AX28" s="358">
        <v>13</v>
      </c>
      <c r="AY28" s="358">
        <v>17</v>
      </c>
      <c r="AZ28" s="358">
        <v>18</v>
      </c>
      <c r="BA28" s="358">
        <v>19</v>
      </c>
      <c r="BB28" s="358">
        <v>20</v>
      </c>
      <c r="BC28" s="358">
        <v>23</v>
      </c>
      <c r="BD28" s="358">
        <v>27</v>
      </c>
      <c r="BE28" s="358">
        <v>29</v>
      </c>
      <c r="BF28" s="358">
        <v>30</v>
      </c>
      <c r="BG28" s="358">
        <v>33</v>
      </c>
      <c r="BH28" s="358">
        <v>34</v>
      </c>
      <c r="BI28" s="358">
        <v>35</v>
      </c>
      <c r="BJ28" s="358">
        <v>37</v>
      </c>
      <c r="BK28" s="358">
        <v>38</v>
      </c>
      <c r="BL28" s="358">
        <v>39</v>
      </c>
      <c r="BM28" s="358">
        <v>41</v>
      </c>
      <c r="BN28" s="358">
        <v>42</v>
      </c>
      <c r="BO28" s="358">
        <v>45</v>
      </c>
      <c r="BP28" s="358">
        <v>50</v>
      </c>
      <c r="BQ28" s="358">
        <v>54</v>
      </c>
      <c r="BR28" s="358">
        <v>64</v>
      </c>
      <c r="BS28" s="358">
        <v>71</v>
      </c>
      <c r="BT28" s="358">
        <v>75</v>
      </c>
      <c r="BU28" s="358">
        <v>78</v>
      </c>
      <c r="BV28" s="358">
        <v>15</v>
      </c>
      <c r="BW28" s="358">
        <v>16</v>
      </c>
      <c r="BX28" s="358">
        <v>19</v>
      </c>
      <c r="BY28" s="358">
        <v>23</v>
      </c>
      <c r="BZ28" s="358">
        <v>28</v>
      </c>
      <c r="CA28" s="358">
        <v>32</v>
      </c>
      <c r="CB28" s="358">
        <v>39</v>
      </c>
      <c r="CC28" s="358">
        <v>44</v>
      </c>
      <c r="CD28" s="358">
        <v>47</v>
      </c>
      <c r="CE28" s="358">
        <v>51</v>
      </c>
      <c r="CF28" s="358">
        <v>53</v>
      </c>
      <c r="CG28" s="358">
        <v>60</v>
      </c>
      <c r="CH28" s="358">
        <v>62</v>
      </c>
      <c r="CI28" s="358">
        <v>66</v>
      </c>
      <c r="CJ28" s="358">
        <v>69</v>
      </c>
      <c r="CK28" s="358">
        <v>76</v>
      </c>
      <c r="CL28" s="358">
        <v>82</v>
      </c>
      <c r="CM28" s="358">
        <v>86</v>
      </c>
      <c r="CN28" s="358">
        <v>91</v>
      </c>
      <c r="CO28" s="358">
        <v>98</v>
      </c>
      <c r="CP28" s="358">
        <v>109</v>
      </c>
      <c r="CQ28" s="358">
        <v>122</v>
      </c>
      <c r="CR28" s="358">
        <v>127</v>
      </c>
      <c r="CS28" s="358">
        <v>16</v>
      </c>
      <c r="CT28" s="358">
        <v>21</v>
      </c>
      <c r="CU28" s="358">
        <v>27</v>
      </c>
      <c r="CV28" s="358">
        <v>33</v>
      </c>
      <c r="CW28" s="358">
        <v>39</v>
      </c>
      <c r="CX28" s="358">
        <v>44</v>
      </c>
      <c r="CY28" s="358">
        <v>51</v>
      </c>
      <c r="CZ28" s="358">
        <v>54</v>
      </c>
      <c r="DA28" s="358">
        <v>58</v>
      </c>
      <c r="DB28" s="358">
        <v>63</v>
      </c>
      <c r="DC28" s="358">
        <v>74</v>
      </c>
      <c r="DD28" s="358">
        <v>84</v>
      </c>
      <c r="DE28" s="358">
        <v>88</v>
      </c>
      <c r="DF28" s="358">
        <v>94</v>
      </c>
      <c r="DG28" s="358">
        <v>103</v>
      </c>
      <c r="DH28" s="358">
        <v>108</v>
      </c>
      <c r="DI28" s="358">
        <v>115</v>
      </c>
      <c r="DJ28" s="358">
        <v>124</v>
      </c>
      <c r="DK28" s="358">
        <v>131</v>
      </c>
      <c r="DL28" s="358">
        <v>139</v>
      </c>
      <c r="DM28" s="358">
        <v>151</v>
      </c>
      <c r="DN28" s="358">
        <v>154</v>
      </c>
      <c r="DO28" s="358">
        <v>165</v>
      </c>
      <c r="DP28" s="358">
        <v>174</v>
      </c>
      <c r="DQ28" s="358">
        <v>9</v>
      </c>
      <c r="DR28" s="358">
        <v>14</v>
      </c>
      <c r="DS28" s="358">
        <v>18</v>
      </c>
      <c r="DT28" s="358">
        <v>20</v>
      </c>
      <c r="DU28" s="358">
        <v>23</v>
      </c>
      <c r="DV28" s="358">
        <v>24</v>
      </c>
      <c r="DW28" s="358">
        <v>30</v>
      </c>
      <c r="DX28" s="358">
        <v>33</v>
      </c>
      <c r="DY28" s="358">
        <v>39</v>
      </c>
      <c r="DZ28" s="358">
        <v>44</v>
      </c>
      <c r="EA28" s="358">
        <v>48</v>
      </c>
      <c r="EB28" s="358">
        <v>52</v>
      </c>
      <c r="EC28" s="358">
        <v>57</v>
      </c>
      <c r="ED28" s="358">
        <v>63</v>
      </c>
      <c r="EE28" s="358">
        <v>69</v>
      </c>
      <c r="EF28" s="358">
        <v>72</v>
      </c>
      <c r="EG28" s="358">
        <v>76</v>
      </c>
      <c r="EH28" s="358">
        <v>81</v>
      </c>
      <c r="EI28" s="358">
        <v>86</v>
      </c>
      <c r="EJ28" s="358">
        <v>90</v>
      </c>
      <c r="EK28" s="358">
        <v>95</v>
      </c>
      <c r="EL28" s="358">
        <v>99</v>
      </c>
      <c r="EM28" s="358">
        <v>136</v>
      </c>
      <c r="EN28" s="358">
        <v>148</v>
      </c>
      <c r="EO28" s="358">
        <v>159</v>
      </c>
      <c r="EP28" s="358">
        <v>169</v>
      </c>
      <c r="EQ28" s="358">
        <v>176</v>
      </c>
      <c r="ES28" s="358">
        <v>188</v>
      </c>
      <c r="ET28" s="358">
        <v>193</v>
      </c>
      <c r="EU28" s="358">
        <v>202</v>
      </c>
      <c r="EV28" s="358">
        <v>208</v>
      </c>
      <c r="EW28" s="358">
        <v>132</v>
      </c>
      <c r="EX28" s="358">
        <v>143</v>
      </c>
      <c r="EY28" s="358">
        <v>154</v>
      </c>
      <c r="EZ28" s="358">
        <v>170</v>
      </c>
      <c r="FA28" s="358">
        <v>178</v>
      </c>
      <c r="FB28" s="358">
        <v>188</v>
      </c>
      <c r="FC28" s="358">
        <v>202</v>
      </c>
      <c r="FD28" s="358">
        <v>214</v>
      </c>
      <c r="FE28" s="358">
        <v>221</v>
      </c>
      <c r="FF28" s="358">
        <v>226</v>
      </c>
      <c r="FG28" s="358">
        <v>238</v>
      </c>
      <c r="FH28" s="358">
        <v>247</v>
      </c>
      <c r="FI28" s="358">
        <v>258</v>
      </c>
      <c r="FJ28" s="358">
        <v>264</v>
      </c>
      <c r="FK28" s="358">
        <v>269</v>
      </c>
      <c r="FL28" s="358">
        <v>111</v>
      </c>
      <c r="FM28" s="358">
        <v>121</v>
      </c>
      <c r="FN28" s="358">
        <v>127</v>
      </c>
      <c r="FO28" s="358">
        <v>134</v>
      </c>
      <c r="FP28" s="358">
        <v>147</v>
      </c>
      <c r="FQ28" s="358">
        <v>162</v>
      </c>
      <c r="FR28" s="358">
        <v>170</v>
      </c>
      <c r="FS28" s="358">
        <v>177</v>
      </c>
      <c r="FT28" s="358">
        <v>184</v>
      </c>
      <c r="FU28" s="358">
        <v>191</v>
      </c>
      <c r="FV28" s="358">
        <v>201</v>
      </c>
      <c r="FW28" s="358">
        <v>82</v>
      </c>
      <c r="FX28" s="358">
        <v>129</v>
      </c>
      <c r="FY28" s="358">
        <v>136</v>
      </c>
      <c r="FZ28" s="358">
        <v>164</v>
      </c>
      <c r="GA28" s="358">
        <v>233</v>
      </c>
      <c r="GB28" s="358">
        <v>249</v>
      </c>
      <c r="GC28" s="358">
        <v>121</v>
      </c>
      <c r="GD28" s="358">
        <v>157</v>
      </c>
      <c r="GE28" s="358">
        <v>186</v>
      </c>
      <c r="GF28" s="358">
        <v>178</v>
      </c>
      <c r="GG28" s="358">
        <v>102</v>
      </c>
      <c r="GH28" s="358">
        <v>114</v>
      </c>
      <c r="GI28" s="361">
        <v>140</v>
      </c>
    </row>
    <row r="29" spans="1:191">
      <c r="A29" s="336" t="s">
        <v>470</v>
      </c>
      <c r="B29" s="358">
        <v>11</v>
      </c>
      <c r="C29" s="358">
        <v>15</v>
      </c>
      <c r="D29" s="358">
        <v>17</v>
      </c>
      <c r="E29" s="358">
        <v>18</v>
      </c>
      <c r="F29" s="358">
        <v>21</v>
      </c>
      <c r="G29" s="358">
        <v>24</v>
      </c>
      <c r="H29" s="358">
        <v>27</v>
      </c>
      <c r="I29" s="358">
        <v>29</v>
      </c>
      <c r="J29" s="358">
        <v>32</v>
      </c>
      <c r="K29" s="358">
        <v>36</v>
      </c>
      <c r="L29" s="358">
        <v>38</v>
      </c>
      <c r="M29" s="358">
        <v>41</v>
      </c>
      <c r="N29" s="358">
        <v>43</v>
      </c>
      <c r="O29" s="358">
        <v>48</v>
      </c>
      <c r="P29" s="358">
        <v>54</v>
      </c>
      <c r="Q29" s="358">
        <v>56</v>
      </c>
      <c r="R29" s="358">
        <v>59</v>
      </c>
      <c r="S29" s="358">
        <v>61</v>
      </c>
      <c r="T29" s="358">
        <v>64</v>
      </c>
      <c r="U29" s="358">
        <v>67</v>
      </c>
      <c r="V29" s="358">
        <v>9</v>
      </c>
      <c r="W29" s="358">
        <v>7</v>
      </c>
      <c r="X29" s="358">
        <v>5</v>
      </c>
      <c r="Y29" s="358">
        <v>3</v>
      </c>
      <c r="Z29" s="358">
        <v>1</v>
      </c>
      <c r="AB29" s="358">
        <v>2</v>
      </c>
      <c r="AC29" s="358">
        <v>5</v>
      </c>
      <c r="AD29" s="358">
        <v>7</v>
      </c>
      <c r="AE29" s="358">
        <v>12</v>
      </c>
      <c r="AF29" s="358">
        <v>17</v>
      </c>
      <c r="AG29" s="358">
        <v>22</v>
      </c>
      <c r="AH29" s="358">
        <v>23</v>
      </c>
      <c r="AI29" s="358">
        <v>24</v>
      </c>
      <c r="AJ29" s="358">
        <v>28</v>
      </c>
      <c r="AK29" s="358">
        <v>34</v>
      </c>
      <c r="AL29" s="358">
        <v>40</v>
      </c>
      <c r="AM29" s="358">
        <v>45</v>
      </c>
      <c r="AN29" s="358">
        <v>51</v>
      </c>
      <c r="AO29" s="358">
        <v>55</v>
      </c>
      <c r="AP29" s="358">
        <v>61</v>
      </c>
      <c r="AQ29" s="358">
        <v>67</v>
      </c>
      <c r="AR29" s="358">
        <v>71</v>
      </c>
      <c r="AS29" s="358">
        <v>83</v>
      </c>
      <c r="AT29" s="358">
        <v>91</v>
      </c>
      <c r="AU29" s="358">
        <v>101</v>
      </c>
      <c r="AV29" s="358">
        <v>110</v>
      </c>
      <c r="AW29" s="358">
        <v>118</v>
      </c>
      <c r="AX29" s="358">
        <v>14</v>
      </c>
      <c r="AY29" s="358">
        <v>18</v>
      </c>
      <c r="AZ29" s="358">
        <v>19</v>
      </c>
      <c r="BA29" s="358">
        <v>20</v>
      </c>
      <c r="BB29" s="358">
        <v>21</v>
      </c>
      <c r="BC29" s="358">
        <v>24</v>
      </c>
      <c r="BD29" s="358">
        <v>28</v>
      </c>
      <c r="BE29" s="358">
        <v>30</v>
      </c>
      <c r="BF29" s="358">
        <v>31</v>
      </c>
      <c r="BG29" s="358">
        <v>34</v>
      </c>
      <c r="BH29" s="358">
        <v>35</v>
      </c>
      <c r="BI29" s="358">
        <v>36</v>
      </c>
      <c r="BJ29" s="358">
        <v>38</v>
      </c>
      <c r="BK29" s="358">
        <v>39</v>
      </c>
      <c r="BL29" s="358">
        <v>40</v>
      </c>
      <c r="BM29" s="358">
        <v>42</v>
      </c>
      <c r="BN29" s="358">
        <v>43</v>
      </c>
      <c r="BO29" s="358">
        <v>46</v>
      </c>
      <c r="BP29" s="358">
        <v>51</v>
      </c>
      <c r="BQ29" s="358">
        <v>55</v>
      </c>
      <c r="BR29" s="358">
        <v>65</v>
      </c>
      <c r="BS29" s="358">
        <v>72</v>
      </c>
      <c r="BT29" s="358">
        <v>76</v>
      </c>
      <c r="BU29" s="358">
        <v>79</v>
      </c>
      <c r="BV29" s="358">
        <v>16</v>
      </c>
      <c r="BW29" s="358">
        <v>17</v>
      </c>
      <c r="BX29" s="358">
        <v>20</v>
      </c>
      <c r="BY29" s="358">
        <v>24</v>
      </c>
      <c r="BZ29" s="358">
        <v>29</v>
      </c>
      <c r="CA29" s="358">
        <v>33</v>
      </c>
      <c r="CB29" s="358">
        <v>40</v>
      </c>
      <c r="CC29" s="358">
        <v>45</v>
      </c>
      <c r="CD29" s="358">
        <v>48</v>
      </c>
      <c r="CE29" s="358">
        <v>52</v>
      </c>
      <c r="CF29" s="358">
        <v>54</v>
      </c>
      <c r="CG29" s="358">
        <v>61</v>
      </c>
      <c r="CH29" s="358">
        <v>63</v>
      </c>
      <c r="CI29" s="358">
        <v>67</v>
      </c>
      <c r="CJ29" s="358">
        <v>70</v>
      </c>
      <c r="CK29" s="358">
        <v>77</v>
      </c>
      <c r="CL29" s="358">
        <v>83</v>
      </c>
      <c r="CM29" s="358">
        <v>87</v>
      </c>
      <c r="CN29" s="358">
        <v>92</v>
      </c>
      <c r="CO29" s="358">
        <v>99</v>
      </c>
      <c r="CP29" s="358">
        <v>110</v>
      </c>
      <c r="CQ29" s="358">
        <v>123</v>
      </c>
      <c r="CR29" s="358">
        <v>128</v>
      </c>
      <c r="CS29" s="358">
        <v>17</v>
      </c>
      <c r="CT29" s="358">
        <v>22</v>
      </c>
      <c r="CU29" s="358">
        <v>28</v>
      </c>
      <c r="CV29" s="358">
        <v>34</v>
      </c>
      <c r="CW29" s="358">
        <v>40</v>
      </c>
      <c r="CX29" s="358">
        <v>45</v>
      </c>
      <c r="CY29" s="358">
        <v>52</v>
      </c>
      <c r="CZ29" s="358">
        <v>55</v>
      </c>
      <c r="DA29" s="358">
        <v>59</v>
      </c>
      <c r="DB29" s="358">
        <v>64</v>
      </c>
      <c r="DC29" s="358">
        <v>75</v>
      </c>
      <c r="DD29" s="358">
        <v>85</v>
      </c>
      <c r="DE29" s="358">
        <v>89</v>
      </c>
      <c r="DF29" s="358">
        <v>95</v>
      </c>
      <c r="DG29" s="358">
        <v>104</v>
      </c>
      <c r="DH29" s="358">
        <v>109</v>
      </c>
      <c r="DI29" s="358">
        <v>116</v>
      </c>
      <c r="DJ29" s="358">
        <v>125</v>
      </c>
      <c r="DK29" s="358">
        <v>132</v>
      </c>
      <c r="DL29" s="358">
        <v>140</v>
      </c>
      <c r="DM29" s="358">
        <v>152</v>
      </c>
      <c r="DN29" s="358">
        <v>155</v>
      </c>
      <c r="DO29" s="358">
        <v>166</v>
      </c>
      <c r="DP29" s="358">
        <v>175</v>
      </c>
      <c r="DQ29" s="358">
        <v>10</v>
      </c>
      <c r="DR29" s="358">
        <v>15</v>
      </c>
      <c r="DS29" s="358">
        <v>19</v>
      </c>
      <c r="DT29" s="358">
        <v>21</v>
      </c>
      <c r="DU29" s="358">
        <v>24</v>
      </c>
      <c r="DV29" s="358">
        <v>25</v>
      </c>
      <c r="DW29" s="358">
        <v>31</v>
      </c>
      <c r="DX29" s="358">
        <v>34</v>
      </c>
      <c r="DY29" s="358">
        <v>40</v>
      </c>
      <c r="DZ29" s="358">
        <v>45</v>
      </c>
      <c r="EA29" s="358">
        <v>49</v>
      </c>
      <c r="EB29" s="358">
        <v>53</v>
      </c>
      <c r="EC29" s="358">
        <v>58</v>
      </c>
      <c r="ED29" s="358">
        <v>64</v>
      </c>
      <c r="EE29" s="358">
        <v>70</v>
      </c>
      <c r="EF29" s="358">
        <v>73</v>
      </c>
      <c r="EG29" s="358">
        <v>77</v>
      </c>
      <c r="EH29" s="358">
        <v>82</v>
      </c>
      <c r="EI29" s="358">
        <v>87</v>
      </c>
      <c r="EJ29" s="358">
        <v>91</v>
      </c>
      <c r="EK29" s="358">
        <v>96</v>
      </c>
      <c r="EL29" s="358">
        <v>100</v>
      </c>
      <c r="EM29" s="358">
        <v>135</v>
      </c>
      <c r="EN29" s="358">
        <v>147</v>
      </c>
      <c r="EO29" s="358">
        <v>158</v>
      </c>
      <c r="EP29" s="358">
        <v>168</v>
      </c>
      <c r="EQ29" s="358">
        <v>175</v>
      </c>
      <c r="ES29" s="358">
        <v>187</v>
      </c>
      <c r="ET29" s="358">
        <v>192</v>
      </c>
      <c r="EU29" s="358">
        <v>201</v>
      </c>
      <c r="EV29" s="358">
        <v>207</v>
      </c>
      <c r="EW29" s="358">
        <v>131</v>
      </c>
      <c r="EX29" s="358">
        <v>142</v>
      </c>
      <c r="EY29" s="358">
        <v>153</v>
      </c>
      <c r="EZ29" s="358">
        <v>169</v>
      </c>
      <c r="FA29" s="358">
        <v>177</v>
      </c>
      <c r="FB29" s="358">
        <v>187</v>
      </c>
      <c r="FC29" s="358">
        <v>201</v>
      </c>
      <c r="FD29" s="358">
        <v>213</v>
      </c>
      <c r="FE29" s="358">
        <v>220</v>
      </c>
      <c r="FF29" s="358">
        <v>225</v>
      </c>
      <c r="FG29" s="358">
        <v>237</v>
      </c>
      <c r="FH29" s="358">
        <v>246</v>
      </c>
      <c r="FI29" s="358">
        <v>257</v>
      </c>
      <c r="FJ29" s="358">
        <v>263</v>
      </c>
      <c r="FK29" s="358">
        <v>268</v>
      </c>
      <c r="FL29" s="358">
        <v>110</v>
      </c>
      <c r="FM29" s="358">
        <v>120</v>
      </c>
      <c r="FN29" s="358">
        <v>126</v>
      </c>
      <c r="FO29" s="358">
        <v>133</v>
      </c>
      <c r="FP29" s="358">
        <v>146</v>
      </c>
      <c r="FQ29" s="358">
        <v>161</v>
      </c>
      <c r="FR29" s="358">
        <v>169</v>
      </c>
      <c r="FS29" s="358">
        <v>176</v>
      </c>
      <c r="FT29" s="358">
        <v>183</v>
      </c>
      <c r="FU29" s="358">
        <v>190</v>
      </c>
      <c r="FV29" s="358">
        <v>200</v>
      </c>
      <c r="FW29" s="358">
        <v>83</v>
      </c>
      <c r="FX29" s="358">
        <v>130</v>
      </c>
      <c r="FY29" s="358">
        <v>137</v>
      </c>
      <c r="FZ29" s="358">
        <v>165</v>
      </c>
      <c r="GA29" s="358">
        <v>234</v>
      </c>
      <c r="GB29" s="358">
        <v>248</v>
      </c>
      <c r="GC29" s="358">
        <v>122</v>
      </c>
      <c r="GD29" s="358">
        <v>158</v>
      </c>
      <c r="GE29" s="358">
        <v>187</v>
      </c>
      <c r="GF29" s="358">
        <v>179</v>
      </c>
      <c r="GG29" s="358">
        <v>103</v>
      </c>
      <c r="GH29" s="358">
        <v>115</v>
      </c>
      <c r="GI29" s="361">
        <v>141</v>
      </c>
    </row>
    <row r="30" spans="1:191">
      <c r="A30" s="336" t="s">
        <v>469</v>
      </c>
      <c r="B30" s="358">
        <v>13</v>
      </c>
      <c r="C30" s="358">
        <v>17</v>
      </c>
      <c r="D30" s="358">
        <v>19</v>
      </c>
      <c r="E30" s="358">
        <v>20</v>
      </c>
      <c r="F30" s="358">
        <v>23</v>
      </c>
      <c r="G30" s="358">
        <v>26</v>
      </c>
      <c r="H30" s="358">
        <v>29</v>
      </c>
      <c r="I30" s="358">
        <v>31</v>
      </c>
      <c r="J30" s="358">
        <v>34</v>
      </c>
      <c r="K30" s="358">
        <v>38</v>
      </c>
      <c r="L30" s="358">
        <v>40</v>
      </c>
      <c r="M30" s="358">
        <v>43</v>
      </c>
      <c r="N30" s="358">
        <v>45</v>
      </c>
      <c r="O30" s="358">
        <v>50</v>
      </c>
      <c r="P30" s="358">
        <v>56</v>
      </c>
      <c r="Q30" s="358">
        <v>58</v>
      </c>
      <c r="R30" s="358">
        <v>61</v>
      </c>
      <c r="S30" s="358">
        <v>63</v>
      </c>
      <c r="T30" s="358">
        <v>66</v>
      </c>
      <c r="U30" s="358">
        <v>69</v>
      </c>
      <c r="V30" s="358">
        <v>11</v>
      </c>
      <c r="W30" s="358">
        <v>9</v>
      </c>
      <c r="X30" s="358">
        <v>7</v>
      </c>
      <c r="Y30" s="358">
        <v>5</v>
      </c>
      <c r="Z30" s="358">
        <v>3</v>
      </c>
      <c r="AA30" s="358">
        <v>2</v>
      </c>
      <c r="AC30" s="358">
        <v>3</v>
      </c>
      <c r="AD30" s="358">
        <v>5</v>
      </c>
      <c r="AE30" s="358">
        <v>10</v>
      </c>
      <c r="AF30" s="358">
        <v>15</v>
      </c>
      <c r="AG30" s="358">
        <v>20</v>
      </c>
      <c r="AH30" s="358">
        <v>21</v>
      </c>
      <c r="AI30" s="358">
        <v>22</v>
      </c>
      <c r="AJ30" s="358">
        <v>26</v>
      </c>
      <c r="AK30" s="358">
        <v>32</v>
      </c>
      <c r="AL30" s="358">
        <v>38</v>
      </c>
      <c r="AM30" s="358">
        <v>43</v>
      </c>
      <c r="AN30" s="358">
        <v>49</v>
      </c>
      <c r="AO30" s="358">
        <v>53</v>
      </c>
      <c r="AP30" s="358">
        <v>59</v>
      </c>
      <c r="AQ30" s="358">
        <v>65</v>
      </c>
      <c r="AR30" s="358">
        <v>69</v>
      </c>
      <c r="AS30" s="358">
        <v>81</v>
      </c>
      <c r="AT30" s="358">
        <v>89</v>
      </c>
      <c r="AU30" s="358">
        <v>99</v>
      </c>
      <c r="AV30" s="358">
        <v>108</v>
      </c>
      <c r="AW30" s="358">
        <v>116</v>
      </c>
      <c r="AX30" s="358">
        <v>16</v>
      </c>
      <c r="AY30" s="358">
        <v>20</v>
      </c>
      <c r="AZ30" s="358">
        <v>21</v>
      </c>
      <c r="BA30" s="358">
        <v>22</v>
      </c>
      <c r="BB30" s="358">
        <v>23</v>
      </c>
      <c r="BC30" s="358">
        <v>26</v>
      </c>
      <c r="BD30" s="358">
        <v>30</v>
      </c>
      <c r="BE30" s="358">
        <v>32</v>
      </c>
      <c r="BF30" s="358">
        <v>33</v>
      </c>
      <c r="BG30" s="358">
        <v>36</v>
      </c>
      <c r="BH30" s="358">
        <v>37</v>
      </c>
      <c r="BI30" s="358">
        <v>38</v>
      </c>
      <c r="BJ30" s="358">
        <v>40</v>
      </c>
      <c r="BK30" s="358">
        <v>41</v>
      </c>
      <c r="BL30" s="358">
        <v>42</v>
      </c>
      <c r="BM30" s="358">
        <v>44</v>
      </c>
      <c r="BN30" s="358">
        <v>45</v>
      </c>
      <c r="BO30" s="358">
        <v>48</v>
      </c>
      <c r="BP30" s="358">
        <v>53</v>
      </c>
      <c r="BQ30" s="358">
        <v>57</v>
      </c>
      <c r="BR30" s="358">
        <v>67</v>
      </c>
      <c r="BS30" s="358">
        <v>74</v>
      </c>
      <c r="BT30" s="358">
        <v>78</v>
      </c>
      <c r="BU30" s="358">
        <v>81</v>
      </c>
      <c r="BV30" s="358">
        <v>18</v>
      </c>
      <c r="BW30" s="358">
        <v>19</v>
      </c>
      <c r="BX30" s="358">
        <v>22</v>
      </c>
      <c r="BY30" s="358">
        <v>26</v>
      </c>
      <c r="BZ30" s="358">
        <v>31</v>
      </c>
      <c r="CA30" s="358">
        <v>35</v>
      </c>
      <c r="CB30" s="358">
        <v>42</v>
      </c>
      <c r="CC30" s="358">
        <v>47</v>
      </c>
      <c r="CD30" s="358">
        <v>50</v>
      </c>
      <c r="CE30" s="358">
        <v>54</v>
      </c>
      <c r="CF30" s="358">
        <v>56</v>
      </c>
      <c r="CG30" s="358">
        <v>63</v>
      </c>
      <c r="CH30" s="358">
        <v>65</v>
      </c>
      <c r="CI30" s="358">
        <v>69</v>
      </c>
      <c r="CJ30" s="358">
        <v>72</v>
      </c>
      <c r="CK30" s="358">
        <v>79</v>
      </c>
      <c r="CL30" s="358">
        <v>85</v>
      </c>
      <c r="CM30" s="358">
        <v>89</v>
      </c>
      <c r="CN30" s="358">
        <v>94</v>
      </c>
      <c r="CO30" s="358">
        <v>101</v>
      </c>
      <c r="CP30" s="358">
        <v>112</v>
      </c>
      <c r="CQ30" s="358">
        <v>125</v>
      </c>
      <c r="CR30" s="358">
        <v>130</v>
      </c>
      <c r="CS30" s="358">
        <v>19</v>
      </c>
      <c r="CT30" s="358">
        <v>24</v>
      </c>
      <c r="CU30" s="358">
        <v>30</v>
      </c>
      <c r="CV30" s="358">
        <v>36</v>
      </c>
      <c r="CW30" s="358">
        <v>42</v>
      </c>
      <c r="CX30" s="358">
        <v>47</v>
      </c>
      <c r="CY30" s="358">
        <v>54</v>
      </c>
      <c r="CZ30" s="358">
        <v>57</v>
      </c>
      <c r="DA30" s="358">
        <v>61</v>
      </c>
      <c r="DB30" s="358">
        <v>66</v>
      </c>
      <c r="DC30" s="358">
        <v>77</v>
      </c>
      <c r="DD30" s="358">
        <v>87</v>
      </c>
      <c r="DE30" s="358">
        <v>91</v>
      </c>
      <c r="DF30" s="358">
        <v>97</v>
      </c>
      <c r="DG30" s="358">
        <v>106</v>
      </c>
      <c r="DH30" s="358">
        <v>111</v>
      </c>
      <c r="DI30" s="358">
        <v>118</v>
      </c>
      <c r="DJ30" s="358">
        <v>127</v>
      </c>
      <c r="DK30" s="358">
        <v>134</v>
      </c>
      <c r="DL30" s="358">
        <v>142</v>
      </c>
      <c r="DM30" s="358">
        <v>154</v>
      </c>
      <c r="DN30" s="358">
        <v>157</v>
      </c>
      <c r="DO30" s="358">
        <v>168</v>
      </c>
      <c r="DP30" s="358">
        <v>177</v>
      </c>
      <c r="DQ30" s="358">
        <v>12</v>
      </c>
      <c r="DR30" s="358">
        <v>17</v>
      </c>
      <c r="DS30" s="358">
        <v>21</v>
      </c>
      <c r="DT30" s="358">
        <v>23</v>
      </c>
      <c r="DU30" s="358">
        <v>26</v>
      </c>
      <c r="DV30" s="358">
        <v>27</v>
      </c>
      <c r="DW30" s="358">
        <v>33</v>
      </c>
      <c r="DX30" s="358">
        <v>36</v>
      </c>
      <c r="DY30" s="358">
        <v>42</v>
      </c>
      <c r="DZ30" s="358">
        <v>47</v>
      </c>
      <c r="EA30" s="358">
        <v>51</v>
      </c>
      <c r="EB30" s="358">
        <v>55</v>
      </c>
      <c r="EC30" s="358">
        <v>60</v>
      </c>
      <c r="ED30" s="358">
        <v>66</v>
      </c>
      <c r="EE30" s="358">
        <v>72</v>
      </c>
      <c r="EF30" s="358">
        <v>75</v>
      </c>
      <c r="EG30" s="358">
        <v>79</v>
      </c>
      <c r="EH30" s="358">
        <v>84</v>
      </c>
      <c r="EI30" s="358">
        <v>89</v>
      </c>
      <c r="EJ30" s="358">
        <v>93</v>
      </c>
      <c r="EK30" s="358">
        <v>98</v>
      </c>
      <c r="EL30" s="358">
        <v>102</v>
      </c>
      <c r="EM30" s="358">
        <v>133</v>
      </c>
      <c r="EN30" s="358">
        <v>145</v>
      </c>
      <c r="EO30" s="358">
        <v>156</v>
      </c>
      <c r="EP30" s="358">
        <v>166</v>
      </c>
      <c r="EQ30" s="358">
        <v>173</v>
      </c>
      <c r="ES30" s="358">
        <v>185</v>
      </c>
      <c r="ET30" s="358">
        <v>190</v>
      </c>
      <c r="EU30" s="358">
        <v>199</v>
      </c>
      <c r="EV30" s="358">
        <v>205</v>
      </c>
      <c r="EW30" s="358">
        <v>129</v>
      </c>
      <c r="EX30" s="358">
        <v>140</v>
      </c>
      <c r="EY30" s="358">
        <v>151</v>
      </c>
      <c r="EZ30" s="358">
        <v>167</v>
      </c>
      <c r="FA30" s="358">
        <v>175</v>
      </c>
      <c r="FB30" s="358">
        <v>185</v>
      </c>
      <c r="FC30" s="358">
        <v>199</v>
      </c>
      <c r="FD30" s="358">
        <v>211</v>
      </c>
      <c r="FE30" s="358">
        <v>218</v>
      </c>
      <c r="FF30" s="358">
        <v>223</v>
      </c>
      <c r="FG30" s="358">
        <v>235</v>
      </c>
      <c r="FH30" s="358">
        <v>244</v>
      </c>
      <c r="FI30" s="358">
        <v>255</v>
      </c>
      <c r="FJ30" s="358">
        <v>261</v>
      </c>
      <c r="FK30" s="358">
        <v>266</v>
      </c>
      <c r="FL30" s="358">
        <v>108</v>
      </c>
      <c r="FM30" s="358">
        <v>118</v>
      </c>
      <c r="FN30" s="358">
        <v>124</v>
      </c>
      <c r="FO30" s="358">
        <v>131</v>
      </c>
      <c r="FP30" s="358">
        <v>144</v>
      </c>
      <c r="FQ30" s="358">
        <v>159</v>
      </c>
      <c r="FR30" s="358">
        <v>167</v>
      </c>
      <c r="FS30" s="358">
        <v>174</v>
      </c>
      <c r="FT30" s="358">
        <v>181</v>
      </c>
      <c r="FU30" s="358">
        <v>188</v>
      </c>
      <c r="FV30" s="358">
        <v>198</v>
      </c>
      <c r="FW30" s="358">
        <v>85</v>
      </c>
      <c r="FX30" s="358">
        <v>132</v>
      </c>
      <c r="FY30" s="358">
        <v>139</v>
      </c>
      <c r="FZ30" s="358">
        <v>167</v>
      </c>
      <c r="GA30" s="358">
        <v>236</v>
      </c>
      <c r="GB30" s="358">
        <v>246</v>
      </c>
      <c r="GC30" s="358">
        <v>124</v>
      </c>
      <c r="GD30" s="358">
        <v>160</v>
      </c>
      <c r="GE30" s="358">
        <v>189</v>
      </c>
      <c r="GF30" s="358">
        <v>181</v>
      </c>
      <c r="GG30" s="358">
        <v>105</v>
      </c>
      <c r="GH30" s="358">
        <v>117</v>
      </c>
      <c r="GI30" s="361">
        <v>143</v>
      </c>
    </row>
    <row r="31" spans="1:191">
      <c r="A31" s="336" t="s">
        <v>468</v>
      </c>
      <c r="B31" s="358">
        <v>16</v>
      </c>
      <c r="C31" s="358">
        <v>20</v>
      </c>
      <c r="D31" s="358">
        <v>22</v>
      </c>
      <c r="E31" s="358">
        <v>23</v>
      </c>
      <c r="F31" s="358">
        <v>26</v>
      </c>
      <c r="G31" s="358">
        <v>29</v>
      </c>
      <c r="H31" s="358">
        <v>32</v>
      </c>
      <c r="I31" s="358">
        <v>34</v>
      </c>
      <c r="J31" s="358">
        <v>37</v>
      </c>
      <c r="K31" s="358">
        <v>41</v>
      </c>
      <c r="L31" s="358">
        <v>43</v>
      </c>
      <c r="M31" s="358">
        <v>46</v>
      </c>
      <c r="N31" s="358">
        <v>48</v>
      </c>
      <c r="O31" s="358">
        <v>53</v>
      </c>
      <c r="P31" s="358">
        <v>59</v>
      </c>
      <c r="Q31" s="358">
        <v>61</v>
      </c>
      <c r="R31" s="358">
        <v>64</v>
      </c>
      <c r="S31" s="358">
        <v>66</v>
      </c>
      <c r="T31" s="358">
        <v>69</v>
      </c>
      <c r="U31" s="358">
        <v>72</v>
      </c>
      <c r="V31" s="358">
        <v>14</v>
      </c>
      <c r="W31" s="358">
        <v>12</v>
      </c>
      <c r="X31" s="358">
        <v>10</v>
      </c>
      <c r="Y31" s="358">
        <v>8</v>
      </c>
      <c r="Z31" s="358">
        <v>6</v>
      </c>
      <c r="AA31" s="358">
        <v>5</v>
      </c>
      <c r="AB31" s="358">
        <v>3</v>
      </c>
      <c r="AD31" s="358">
        <v>2</v>
      </c>
      <c r="AE31" s="358">
        <v>7</v>
      </c>
      <c r="AF31" s="358">
        <v>12</v>
      </c>
      <c r="AG31" s="358">
        <v>17</v>
      </c>
      <c r="AH31" s="358">
        <v>18</v>
      </c>
      <c r="AI31" s="358">
        <v>19</v>
      </c>
      <c r="AJ31" s="358">
        <v>23</v>
      </c>
      <c r="AK31" s="358">
        <v>29</v>
      </c>
      <c r="AL31" s="358">
        <v>35</v>
      </c>
      <c r="AM31" s="358">
        <v>40</v>
      </c>
      <c r="AN31" s="358">
        <v>46</v>
      </c>
      <c r="AO31" s="358">
        <v>50</v>
      </c>
      <c r="AP31" s="358">
        <v>56</v>
      </c>
      <c r="AQ31" s="358">
        <v>62</v>
      </c>
      <c r="AR31" s="358">
        <v>66</v>
      </c>
      <c r="AS31" s="358">
        <v>78</v>
      </c>
      <c r="AT31" s="358">
        <v>86</v>
      </c>
      <c r="AU31" s="358">
        <v>96</v>
      </c>
      <c r="AV31" s="358">
        <v>105</v>
      </c>
      <c r="AW31" s="358">
        <v>113</v>
      </c>
      <c r="AX31" s="358">
        <v>19</v>
      </c>
      <c r="AY31" s="358">
        <v>23</v>
      </c>
      <c r="AZ31" s="358">
        <v>24</v>
      </c>
      <c r="BA31" s="358">
        <v>25</v>
      </c>
      <c r="BB31" s="358">
        <v>26</v>
      </c>
      <c r="BC31" s="358">
        <v>29</v>
      </c>
      <c r="BD31" s="358">
        <v>33</v>
      </c>
      <c r="BE31" s="358">
        <v>35</v>
      </c>
      <c r="BF31" s="358">
        <v>36</v>
      </c>
      <c r="BG31" s="358">
        <v>39</v>
      </c>
      <c r="BH31" s="358">
        <v>40</v>
      </c>
      <c r="BI31" s="358">
        <v>41</v>
      </c>
      <c r="BJ31" s="358">
        <v>43</v>
      </c>
      <c r="BK31" s="358">
        <v>44</v>
      </c>
      <c r="BL31" s="358">
        <v>45</v>
      </c>
      <c r="BM31" s="358">
        <v>47</v>
      </c>
      <c r="BN31" s="358">
        <v>48</v>
      </c>
      <c r="BO31" s="358">
        <v>51</v>
      </c>
      <c r="BP31" s="358">
        <v>56</v>
      </c>
      <c r="BQ31" s="358">
        <v>60</v>
      </c>
      <c r="BR31" s="358">
        <v>70</v>
      </c>
      <c r="BS31" s="358">
        <v>77</v>
      </c>
      <c r="BT31" s="358">
        <v>81</v>
      </c>
      <c r="BU31" s="358">
        <v>84</v>
      </c>
      <c r="BV31" s="358">
        <v>21</v>
      </c>
      <c r="BW31" s="358">
        <v>22</v>
      </c>
      <c r="BX31" s="358">
        <v>25</v>
      </c>
      <c r="BY31" s="358">
        <v>29</v>
      </c>
      <c r="BZ31" s="358">
        <v>34</v>
      </c>
      <c r="CA31" s="358">
        <v>38</v>
      </c>
      <c r="CB31" s="358">
        <v>45</v>
      </c>
      <c r="CC31" s="358">
        <v>50</v>
      </c>
      <c r="CD31" s="358">
        <v>53</v>
      </c>
      <c r="CE31" s="358">
        <v>57</v>
      </c>
      <c r="CF31" s="358">
        <v>59</v>
      </c>
      <c r="CG31" s="358">
        <v>66</v>
      </c>
      <c r="CH31" s="358">
        <v>68</v>
      </c>
      <c r="CI31" s="358">
        <v>72</v>
      </c>
      <c r="CJ31" s="358">
        <v>75</v>
      </c>
      <c r="CK31" s="358">
        <v>82</v>
      </c>
      <c r="CL31" s="358">
        <v>88</v>
      </c>
      <c r="CM31" s="358">
        <v>92</v>
      </c>
      <c r="CN31" s="358">
        <v>97</v>
      </c>
      <c r="CO31" s="358">
        <v>104</v>
      </c>
      <c r="CP31" s="358">
        <v>115</v>
      </c>
      <c r="CQ31" s="358">
        <v>128</v>
      </c>
      <c r="CR31" s="358">
        <v>133</v>
      </c>
      <c r="CS31" s="358">
        <v>22</v>
      </c>
      <c r="CT31" s="358">
        <v>27</v>
      </c>
      <c r="CU31" s="358">
        <v>33</v>
      </c>
      <c r="CV31" s="358">
        <v>39</v>
      </c>
      <c r="CW31" s="358">
        <v>45</v>
      </c>
      <c r="CX31" s="358">
        <v>50</v>
      </c>
      <c r="CY31" s="358">
        <v>57</v>
      </c>
      <c r="CZ31" s="358">
        <v>60</v>
      </c>
      <c r="DA31" s="358">
        <v>64</v>
      </c>
      <c r="DB31" s="358">
        <v>69</v>
      </c>
      <c r="DC31" s="358">
        <v>80</v>
      </c>
      <c r="DD31" s="358">
        <v>90</v>
      </c>
      <c r="DE31" s="358">
        <v>94</v>
      </c>
      <c r="DF31" s="358">
        <v>100</v>
      </c>
      <c r="DG31" s="358">
        <v>109</v>
      </c>
      <c r="DH31" s="358">
        <v>114</v>
      </c>
      <c r="DI31" s="358">
        <v>121</v>
      </c>
      <c r="DJ31" s="358">
        <v>130</v>
      </c>
      <c r="DK31" s="358">
        <v>137</v>
      </c>
      <c r="DL31" s="358">
        <v>145</v>
      </c>
      <c r="DM31" s="358">
        <v>157</v>
      </c>
      <c r="DN31" s="358">
        <v>160</v>
      </c>
      <c r="DO31" s="358">
        <v>171</v>
      </c>
      <c r="DP31" s="358">
        <v>180</v>
      </c>
      <c r="DQ31" s="358">
        <v>15</v>
      </c>
      <c r="DR31" s="358">
        <v>20</v>
      </c>
      <c r="DS31" s="358">
        <v>24</v>
      </c>
      <c r="DT31" s="358">
        <v>26</v>
      </c>
      <c r="DU31" s="358">
        <v>29</v>
      </c>
      <c r="DV31" s="358">
        <v>30</v>
      </c>
      <c r="DW31" s="358">
        <v>36</v>
      </c>
      <c r="DX31" s="358">
        <v>39</v>
      </c>
      <c r="DY31" s="358">
        <v>45</v>
      </c>
      <c r="DZ31" s="358">
        <v>50</v>
      </c>
      <c r="EA31" s="358">
        <v>54</v>
      </c>
      <c r="EB31" s="358">
        <v>58</v>
      </c>
      <c r="EC31" s="358">
        <v>63</v>
      </c>
      <c r="ED31" s="358">
        <v>69</v>
      </c>
      <c r="EE31" s="358">
        <v>75</v>
      </c>
      <c r="EF31" s="358">
        <v>78</v>
      </c>
      <c r="EG31" s="358">
        <v>82</v>
      </c>
      <c r="EH31" s="358">
        <v>87</v>
      </c>
      <c r="EI31" s="358">
        <v>92</v>
      </c>
      <c r="EJ31" s="358">
        <v>96</v>
      </c>
      <c r="EK31" s="358">
        <v>101</v>
      </c>
      <c r="EL31" s="358">
        <v>105</v>
      </c>
      <c r="EM31" s="358">
        <v>130</v>
      </c>
      <c r="EN31" s="358">
        <v>142</v>
      </c>
      <c r="EO31" s="358">
        <v>153</v>
      </c>
      <c r="EP31" s="358">
        <v>163</v>
      </c>
      <c r="EQ31" s="358">
        <v>170</v>
      </c>
      <c r="ES31" s="358">
        <v>182</v>
      </c>
      <c r="ET31" s="358">
        <v>187</v>
      </c>
      <c r="EU31" s="358">
        <v>196</v>
      </c>
      <c r="EV31" s="358">
        <v>202</v>
      </c>
      <c r="EW31" s="358">
        <v>126</v>
      </c>
      <c r="EX31" s="358">
        <v>137</v>
      </c>
      <c r="EY31" s="358">
        <v>148</v>
      </c>
      <c r="EZ31" s="358">
        <v>164</v>
      </c>
      <c r="FA31" s="358">
        <v>172</v>
      </c>
      <c r="FB31" s="358">
        <v>182</v>
      </c>
      <c r="FC31" s="358">
        <v>196</v>
      </c>
      <c r="FD31" s="358">
        <v>208</v>
      </c>
      <c r="FE31" s="358">
        <v>215</v>
      </c>
      <c r="FF31" s="358">
        <v>220</v>
      </c>
      <c r="FG31" s="358">
        <v>232</v>
      </c>
      <c r="FH31" s="358">
        <v>241</v>
      </c>
      <c r="FI31" s="358">
        <v>252</v>
      </c>
      <c r="FJ31" s="358">
        <v>258</v>
      </c>
      <c r="FK31" s="358">
        <v>263</v>
      </c>
      <c r="FL31" s="358">
        <v>105</v>
      </c>
      <c r="FM31" s="358">
        <v>115</v>
      </c>
      <c r="FN31" s="358">
        <v>121</v>
      </c>
      <c r="FO31" s="358">
        <v>128</v>
      </c>
      <c r="FP31" s="358">
        <v>141</v>
      </c>
      <c r="FQ31" s="358">
        <v>156</v>
      </c>
      <c r="FR31" s="358">
        <v>164</v>
      </c>
      <c r="FS31" s="358">
        <v>171</v>
      </c>
      <c r="FT31" s="358">
        <v>178</v>
      </c>
      <c r="FU31" s="358">
        <v>185</v>
      </c>
      <c r="FV31" s="358">
        <v>195</v>
      </c>
      <c r="FW31" s="358">
        <v>88</v>
      </c>
      <c r="FX31" s="358">
        <v>135</v>
      </c>
      <c r="FY31" s="358">
        <v>142</v>
      </c>
      <c r="FZ31" s="358">
        <v>170</v>
      </c>
      <c r="GA31" s="358">
        <v>239</v>
      </c>
      <c r="GB31" s="358">
        <v>243</v>
      </c>
      <c r="GC31" s="358">
        <v>127</v>
      </c>
      <c r="GD31" s="358">
        <v>163</v>
      </c>
      <c r="GE31" s="358">
        <v>192</v>
      </c>
      <c r="GF31" s="358">
        <v>184</v>
      </c>
      <c r="GG31" s="358">
        <v>108</v>
      </c>
      <c r="GH31" s="358">
        <v>120</v>
      </c>
      <c r="GI31" s="361">
        <v>146</v>
      </c>
    </row>
    <row r="32" spans="1:191">
      <c r="A32" s="336" t="s">
        <v>467</v>
      </c>
      <c r="B32" s="358">
        <v>18</v>
      </c>
      <c r="C32" s="358">
        <v>22</v>
      </c>
      <c r="D32" s="358">
        <v>24</v>
      </c>
      <c r="E32" s="358">
        <v>25</v>
      </c>
      <c r="F32" s="358">
        <v>28</v>
      </c>
      <c r="G32" s="358">
        <v>31</v>
      </c>
      <c r="H32" s="358">
        <v>34</v>
      </c>
      <c r="I32" s="358">
        <v>36</v>
      </c>
      <c r="J32" s="358">
        <v>39</v>
      </c>
      <c r="K32" s="358">
        <v>43</v>
      </c>
      <c r="L32" s="358">
        <v>45</v>
      </c>
      <c r="M32" s="358">
        <v>48</v>
      </c>
      <c r="N32" s="358">
        <v>50</v>
      </c>
      <c r="O32" s="358">
        <v>55</v>
      </c>
      <c r="P32" s="358">
        <v>61</v>
      </c>
      <c r="Q32" s="358">
        <v>63</v>
      </c>
      <c r="R32" s="358">
        <v>66</v>
      </c>
      <c r="S32" s="358">
        <v>68</v>
      </c>
      <c r="T32" s="358">
        <v>71</v>
      </c>
      <c r="U32" s="358">
        <v>74</v>
      </c>
      <c r="V32" s="358">
        <v>16</v>
      </c>
      <c r="W32" s="358">
        <v>14</v>
      </c>
      <c r="X32" s="358">
        <v>12</v>
      </c>
      <c r="Y32" s="358">
        <v>10</v>
      </c>
      <c r="Z32" s="358">
        <v>8</v>
      </c>
      <c r="AA32" s="358">
        <v>7</v>
      </c>
      <c r="AB32" s="358">
        <v>5</v>
      </c>
      <c r="AC32" s="358">
        <v>2</v>
      </c>
      <c r="AE32" s="358">
        <v>5</v>
      </c>
      <c r="AF32" s="358">
        <v>10</v>
      </c>
      <c r="AG32" s="358">
        <v>15</v>
      </c>
      <c r="AH32" s="358">
        <v>16</v>
      </c>
      <c r="AI32" s="358">
        <v>17</v>
      </c>
      <c r="AJ32" s="358">
        <v>21</v>
      </c>
      <c r="AK32" s="358">
        <v>27</v>
      </c>
      <c r="AL32" s="358">
        <v>33</v>
      </c>
      <c r="AM32" s="358">
        <v>38</v>
      </c>
      <c r="AN32" s="358">
        <v>44</v>
      </c>
      <c r="AO32" s="358">
        <v>48</v>
      </c>
      <c r="AP32" s="358">
        <v>54</v>
      </c>
      <c r="AQ32" s="358">
        <v>60</v>
      </c>
      <c r="AR32" s="358">
        <v>64</v>
      </c>
      <c r="AS32" s="358">
        <v>76</v>
      </c>
      <c r="AT32" s="358">
        <v>84</v>
      </c>
      <c r="AU32" s="358">
        <v>94</v>
      </c>
      <c r="AV32" s="358">
        <v>103</v>
      </c>
      <c r="AW32" s="358">
        <v>111</v>
      </c>
      <c r="AX32" s="358">
        <v>21</v>
      </c>
      <c r="AY32" s="358">
        <v>25</v>
      </c>
      <c r="AZ32" s="358">
        <v>26</v>
      </c>
      <c r="BA32" s="358">
        <v>27</v>
      </c>
      <c r="BB32" s="358">
        <v>28</v>
      </c>
      <c r="BC32" s="358">
        <v>31</v>
      </c>
      <c r="BD32" s="358">
        <v>35</v>
      </c>
      <c r="BE32" s="358">
        <v>37</v>
      </c>
      <c r="BF32" s="358">
        <v>38</v>
      </c>
      <c r="BG32" s="358">
        <v>41</v>
      </c>
      <c r="BH32" s="358">
        <v>42</v>
      </c>
      <c r="BI32" s="358">
        <v>43</v>
      </c>
      <c r="BJ32" s="358">
        <v>45</v>
      </c>
      <c r="BK32" s="358">
        <v>46</v>
      </c>
      <c r="BL32" s="358">
        <v>47</v>
      </c>
      <c r="BM32" s="358">
        <v>49</v>
      </c>
      <c r="BN32" s="358">
        <v>50</v>
      </c>
      <c r="BO32" s="358">
        <v>53</v>
      </c>
      <c r="BP32" s="358">
        <v>58</v>
      </c>
      <c r="BQ32" s="358">
        <v>62</v>
      </c>
      <c r="BR32" s="358">
        <v>72</v>
      </c>
      <c r="BS32" s="358">
        <v>79</v>
      </c>
      <c r="BT32" s="358">
        <v>83</v>
      </c>
      <c r="BU32" s="358">
        <v>86</v>
      </c>
      <c r="BV32" s="358">
        <v>23</v>
      </c>
      <c r="BW32" s="358">
        <v>24</v>
      </c>
      <c r="BX32" s="358">
        <v>27</v>
      </c>
      <c r="BY32" s="358">
        <v>31</v>
      </c>
      <c r="BZ32" s="358">
        <v>36</v>
      </c>
      <c r="CA32" s="358">
        <v>40</v>
      </c>
      <c r="CB32" s="358">
        <v>47</v>
      </c>
      <c r="CC32" s="358">
        <v>52</v>
      </c>
      <c r="CD32" s="358">
        <v>55</v>
      </c>
      <c r="CE32" s="358">
        <v>59</v>
      </c>
      <c r="CF32" s="358">
        <v>61</v>
      </c>
      <c r="CG32" s="358">
        <v>68</v>
      </c>
      <c r="CH32" s="358">
        <v>70</v>
      </c>
      <c r="CI32" s="358">
        <v>74</v>
      </c>
      <c r="CJ32" s="358">
        <v>77</v>
      </c>
      <c r="CK32" s="358">
        <v>84</v>
      </c>
      <c r="CL32" s="358">
        <v>90</v>
      </c>
      <c r="CM32" s="358">
        <v>94</v>
      </c>
      <c r="CN32" s="358">
        <v>99</v>
      </c>
      <c r="CO32" s="358">
        <v>106</v>
      </c>
      <c r="CP32" s="358">
        <v>117</v>
      </c>
      <c r="CQ32" s="358">
        <v>130</v>
      </c>
      <c r="CR32" s="358">
        <v>135</v>
      </c>
      <c r="CS32" s="358">
        <v>24</v>
      </c>
      <c r="CT32" s="358">
        <v>29</v>
      </c>
      <c r="CU32" s="358">
        <v>35</v>
      </c>
      <c r="CV32" s="358">
        <v>41</v>
      </c>
      <c r="CW32" s="358">
        <v>47</v>
      </c>
      <c r="CX32" s="358">
        <v>52</v>
      </c>
      <c r="CY32" s="358">
        <v>59</v>
      </c>
      <c r="CZ32" s="358">
        <v>62</v>
      </c>
      <c r="DA32" s="358">
        <v>66</v>
      </c>
      <c r="DB32" s="358">
        <v>71</v>
      </c>
      <c r="DC32" s="358">
        <v>82</v>
      </c>
      <c r="DD32" s="358">
        <v>92</v>
      </c>
      <c r="DE32" s="358">
        <v>96</v>
      </c>
      <c r="DF32" s="358">
        <v>102</v>
      </c>
      <c r="DG32" s="358">
        <v>111</v>
      </c>
      <c r="DH32" s="358">
        <v>116</v>
      </c>
      <c r="DI32" s="358">
        <v>123</v>
      </c>
      <c r="DJ32" s="358">
        <v>132</v>
      </c>
      <c r="DK32" s="358">
        <v>139</v>
      </c>
      <c r="DL32" s="358">
        <v>147</v>
      </c>
      <c r="DM32" s="358">
        <v>159</v>
      </c>
      <c r="DN32" s="358">
        <v>162</v>
      </c>
      <c r="DO32" s="358">
        <v>173</v>
      </c>
      <c r="DP32" s="358">
        <v>182</v>
      </c>
      <c r="DQ32" s="358">
        <v>17</v>
      </c>
      <c r="DR32" s="358">
        <v>22</v>
      </c>
      <c r="DS32" s="358">
        <v>26</v>
      </c>
      <c r="DT32" s="358">
        <v>28</v>
      </c>
      <c r="DU32" s="358">
        <v>31</v>
      </c>
      <c r="DV32" s="358">
        <v>32</v>
      </c>
      <c r="DW32" s="358">
        <v>38</v>
      </c>
      <c r="DX32" s="358">
        <v>41</v>
      </c>
      <c r="DY32" s="358">
        <v>47</v>
      </c>
      <c r="DZ32" s="358">
        <v>52</v>
      </c>
      <c r="EA32" s="358">
        <v>56</v>
      </c>
      <c r="EB32" s="358">
        <v>60</v>
      </c>
      <c r="EC32" s="358">
        <v>65</v>
      </c>
      <c r="ED32" s="358">
        <v>71</v>
      </c>
      <c r="EE32" s="358">
        <v>77</v>
      </c>
      <c r="EF32" s="358">
        <v>80</v>
      </c>
      <c r="EG32" s="358">
        <v>84</v>
      </c>
      <c r="EH32" s="358">
        <v>89</v>
      </c>
      <c r="EI32" s="358">
        <v>94</v>
      </c>
      <c r="EJ32" s="358">
        <v>98</v>
      </c>
      <c r="EK32" s="358">
        <v>103</v>
      </c>
      <c r="EL32" s="358">
        <v>107</v>
      </c>
      <c r="EM32" s="358">
        <v>128</v>
      </c>
      <c r="EN32" s="358">
        <v>140</v>
      </c>
      <c r="EO32" s="358">
        <v>151</v>
      </c>
      <c r="EP32" s="358">
        <v>161</v>
      </c>
      <c r="EQ32" s="358">
        <v>168</v>
      </c>
      <c r="ES32" s="358">
        <v>180</v>
      </c>
      <c r="ET32" s="358">
        <v>185</v>
      </c>
      <c r="EU32" s="358">
        <v>194</v>
      </c>
      <c r="EV32" s="358">
        <v>200</v>
      </c>
      <c r="EW32" s="358">
        <v>124</v>
      </c>
      <c r="EX32" s="358">
        <v>135</v>
      </c>
      <c r="EY32" s="358">
        <v>146</v>
      </c>
      <c r="EZ32" s="358">
        <v>162</v>
      </c>
      <c r="FA32" s="358">
        <v>170</v>
      </c>
      <c r="FB32" s="358">
        <v>180</v>
      </c>
      <c r="FC32" s="358">
        <v>194</v>
      </c>
      <c r="FD32" s="358">
        <v>206</v>
      </c>
      <c r="FE32" s="358">
        <v>213</v>
      </c>
      <c r="FF32" s="358">
        <v>218</v>
      </c>
      <c r="FG32" s="358">
        <v>230</v>
      </c>
      <c r="FH32" s="358">
        <v>239</v>
      </c>
      <c r="FI32" s="358">
        <v>250</v>
      </c>
      <c r="FJ32" s="358">
        <v>256</v>
      </c>
      <c r="FK32" s="358">
        <v>261</v>
      </c>
      <c r="FL32" s="358">
        <v>103</v>
      </c>
      <c r="FM32" s="358">
        <v>113</v>
      </c>
      <c r="FN32" s="358">
        <v>119</v>
      </c>
      <c r="FO32" s="358">
        <v>126</v>
      </c>
      <c r="FP32" s="358">
        <v>139</v>
      </c>
      <c r="FQ32" s="358">
        <v>154</v>
      </c>
      <c r="FR32" s="358">
        <v>162</v>
      </c>
      <c r="FS32" s="358">
        <v>169</v>
      </c>
      <c r="FT32" s="358">
        <v>176</v>
      </c>
      <c r="FU32" s="358">
        <v>183</v>
      </c>
      <c r="FV32" s="358">
        <v>193</v>
      </c>
      <c r="FW32" s="358">
        <v>90</v>
      </c>
      <c r="FX32" s="358">
        <v>137</v>
      </c>
      <c r="FY32" s="358">
        <v>144</v>
      </c>
      <c r="FZ32" s="358">
        <v>172</v>
      </c>
      <c r="GA32" s="358">
        <v>241</v>
      </c>
      <c r="GB32" s="358">
        <v>241</v>
      </c>
      <c r="GC32" s="358">
        <v>129</v>
      </c>
      <c r="GD32" s="358">
        <v>165</v>
      </c>
      <c r="GE32" s="358">
        <v>194</v>
      </c>
      <c r="GF32" s="358">
        <v>186</v>
      </c>
      <c r="GG32" s="358">
        <v>110</v>
      </c>
      <c r="GH32" s="358">
        <v>122</v>
      </c>
      <c r="GI32" s="361">
        <v>148</v>
      </c>
    </row>
    <row r="33" spans="1:191">
      <c r="A33" s="336" t="s">
        <v>466</v>
      </c>
      <c r="B33" s="358">
        <v>23</v>
      </c>
      <c r="C33" s="358">
        <v>27</v>
      </c>
      <c r="D33" s="358">
        <v>29</v>
      </c>
      <c r="E33" s="358">
        <v>30</v>
      </c>
      <c r="F33" s="358">
        <v>33</v>
      </c>
      <c r="G33" s="358">
        <v>36</v>
      </c>
      <c r="H33" s="358">
        <v>39</v>
      </c>
      <c r="I33" s="358">
        <v>41</v>
      </c>
      <c r="J33" s="358">
        <v>44</v>
      </c>
      <c r="K33" s="358">
        <v>48</v>
      </c>
      <c r="L33" s="358">
        <v>50</v>
      </c>
      <c r="M33" s="358">
        <v>53</v>
      </c>
      <c r="N33" s="358">
        <v>55</v>
      </c>
      <c r="O33" s="358">
        <v>60</v>
      </c>
      <c r="P33" s="358">
        <v>66</v>
      </c>
      <c r="Q33" s="358">
        <v>68</v>
      </c>
      <c r="R33" s="358">
        <v>71</v>
      </c>
      <c r="S33" s="358">
        <v>73</v>
      </c>
      <c r="T33" s="358">
        <v>76</v>
      </c>
      <c r="U33" s="358">
        <v>79</v>
      </c>
      <c r="V33" s="358">
        <v>21</v>
      </c>
      <c r="W33" s="358">
        <v>19</v>
      </c>
      <c r="X33" s="358">
        <v>17</v>
      </c>
      <c r="Y33" s="358">
        <v>15</v>
      </c>
      <c r="Z33" s="358">
        <v>13</v>
      </c>
      <c r="AA33" s="358">
        <v>12</v>
      </c>
      <c r="AB33" s="358">
        <v>10</v>
      </c>
      <c r="AC33" s="358">
        <v>7</v>
      </c>
      <c r="AD33" s="358">
        <v>5</v>
      </c>
      <c r="AF33" s="358">
        <v>5</v>
      </c>
      <c r="AG33" s="358">
        <v>10</v>
      </c>
      <c r="AH33" s="358">
        <v>11</v>
      </c>
      <c r="AI33" s="358">
        <v>12</v>
      </c>
      <c r="AJ33" s="358">
        <v>16</v>
      </c>
      <c r="AK33" s="358">
        <v>22</v>
      </c>
      <c r="AL33" s="358">
        <v>28</v>
      </c>
      <c r="AM33" s="358">
        <v>33</v>
      </c>
      <c r="AN33" s="358">
        <v>39</v>
      </c>
      <c r="AO33" s="358">
        <v>43</v>
      </c>
      <c r="AP33" s="358">
        <v>49</v>
      </c>
      <c r="AQ33" s="358">
        <v>55</v>
      </c>
      <c r="AR33" s="358">
        <v>59</v>
      </c>
      <c r="AS33" s="358">
        <v>71</v>
      </c>
      <c r="AT33" s="358">
        <v>79</v>
      </c>
      <c r="AU33" s="358">
        <v>89</v>
      </c>
      <c r="AV33" s="358">
        <v>98</v>
      </c>
      <c r="AW33" s="358">
        <v>106</v>
      </c>
      <c r="AX33" s="358">
        <v>26</v>
      </c>
      <c r="AY33" s="358">
        <v>30</v>
      </c>
      <c r="AZ33" s="358">
        <v>31</v>
      </c>
      <c r="BA33" s="358">
        <v>32</v>
      </c>
      <c r="BB33" s="358">
        <v>33</v>
      </c>
      <c r="BC33" s="358">
        <v>36</v>
      </c>
      <c r="BD33" s="358">
        <v>40</v>
      </c>
      <c r="BE33" s="358">
        <v>42</v>
      </c>
      <c r="BF33" s="358">
        <v>43</v>
      </c>
      <c r="BG33" s="358">
        <v>46</v>
      </c>
      <c r="BH33" s="358">
        <v>47</v>
      </c>
      <c r="BI33" s="358">
        <v>48</v>
      </c>
      <c r="BJ33" s="358">
        <v>50</v>
      </c>
      <c r="BK33" s="358">
        <v>51</v>
      </c>
      <c r="BL33" s="358">
        <v>52</v>
      </c>
      <c r="BM33" s="358">
        <v>54</v>
      </c>
      <c r="BN33" s="358">
        <v>55</v>
      </c>
      <c r="BO33" s="358">
        <v>58</v>
      </c>
      <c r="BP33" s="358">
        <v>63</v>
      </c>
      <c r="BQ33" s="358">
        <v>67</v>
      </c>
      <c r="BR33" s="358">
        <v>77</v>
      </c>
      <c r="BS33" s="358">
        <v>84</v>
      </c>
      <c r="BT33" s="358">
        <v>88</v>
      </c>
      <c r="BU33" s="358">
        <v>91</v>
      </c>
      <c r="BV33" s="358">
        <v>28</v>
      </c>
      <c r="BW33" s="358">
        <v>29</v>
      </c>
      <c r="BX33" s="358">
        <v>32</v>
      </c>
      <c r="BY33" s="358">
        <v>36</v>
      </c>
      <c r="BZ33" s="358">
        <v>41</v>
      </c>
      <c r="CA33" s="358">
        <v>45</v>
      </c>
      <c r="CB33" s="358">
        <v>52</v>
      </c>
      <c r="CC33" s="358">
        <v>57</v>
      </c>
      <c r="CD33" s="358">
        <v>60</v>
      </c>
      <c r="CE33" s="358">
        <v>64</v>
      </c>
      <c r="CF33" s="358">
        <v>66</v>
      </c>
      <c r="CG33" s="358">
        <v>73</v>
      </c>
      <c r="CH33" s="358">
        <v>75</v>
      </c>
      <c r="CI33" s="358">
        <v>79</v>
      </c>
      <c r="CJ33" s="358">
        <v>82</v>
      </c>
      <c r="CK33" s="358">
        <v>89</v>
      </c>
      <c r="CL33" s="358">
        <v>95</v>
      </c>
      <c r="CM33" s="358">
        <v>99</v>
      </c>
      <c r="CN33" s="358">
        <v>104</v>
      </c>
      <c r="CO33" s="358">
        <v>111</v>
      </c>
      <c r="CP33" s="358">
        <v>122</v>
      </c>
      <c r="CQ33" s="358">
        <v>135</v>
      </c>
      <c r="CR33" s="358">
        <v>140</v>
      </c>
      <c r="CS33" s="358">
        <v>29</v>
      </c>
      <c r="CT33" s="358">
        <v>34</v>
      </c>
      <c r="CU33" s="358">
        <v>40</v>
      </c>
      <c r="CV33" s="358">
        <v>46</v>
      </c>
      <c r="CW33" s="358">
        <v>52</v>
      </c>
      <c r="CX33" s="358">
        <v>57</v>
      </c>
      <c r="CY33" s="358">
        <v>64</v>
      </c>
      <c r="CZ33" s="358">
        <v>67</v>
      </c>
      <c r="DA33" s="358">
        <v>71</v>
      </c>
      <c r="DB33" s="358">
        <v>76</v>
      </c>
      <c r="DC33" s="358">
        <v>87</v>
      </c>
      <c r="DD33" s="358">
        <v>97</v>
      </c>
      <c r="DE33" s="358">
        <v>101</v>
      </c>
      <c r="DF33" s="358">
        <v>107</v>
      </c>
      <c r="DG33" s="358">
        <v>116</v>
      </c>
      <c r="DH33" s="358">
        <v>121</v>
      </c>
      <c r="DI33" s="358">
        <v>128</v>
      </c>
      <c r="DJ33" s="358">
        <v>137</v>
      </c>
      <c r="DK33" s="358">
        <v>144</v>
      </c>
      <c r="DL33" s="358">
        <v>152</v>
      </c>
      <c r="DM33" s="358">
        <v>164</v>
      </c>
      <c r="DN33" s="358">
        <v>167</v>
      </c>
      <c r="DO33" s="358">
        <v>178</v>
      </c>
      <c r="DP33" s="358">
        <v>187</v>
      </c>
      <c r="DQ33" s="358">
        <v>22</v>
      </c>
      <c r="DR33" s="358">
        <v>27</v>
      </c>
      <c r="DS33" s="358">
        <v>31</v>
      </c>
      <c r="DT33" s="358">
        <v>33</v>
      </c>
      <c r="DU33" s="358">
        <v>36</v>
      </c>
      <c r="DV33" s="358">
        <v>37</v>
      </c>
      <c r="DW33" s="358">
        <v>43</v>
      </c>
      <c r="DX33" s="358">
        <v>46</v>
      </c>
      <c r="DY33" s="358">
        <v>52</v>
      </c>
      <c r="DZ33" s="358">
        <v>57</v>
      </c>
      <c r="EA33" s="358">
        <v>61</v>
      </c>
      <c r="EB33" s="358">
        <v>65</v>
      </c>
      <c r="EC33" s="358">
        <v>70</v>
      </c>
      <c r="ED33" s="358">
        <v>76</v>
      </c>
      <c r="EE33" s="358">
        <v>82</v>
      </c>
      <c r="EF33" s="358">
        <v>85</v>
      </c>
      <c r="EG33" s="358">
        <v>89</v>
      </c>
      <c r="EH33" s="358">
        <v>94</v>
      </c>
      <c r="EI33" s="358">
        <v>99</v>
      </c>
      <c r="EJ33" s="358">
        <v>103</v>
      </c>
      <c r="EK33" s="358">
        <v>108</v>
      </c>
      <c r="EL33" s="358">
        <v>112</v>
      </c>
      <c r="EM33" s="358">
        <v>123</v>
      </c>
      <c r="EN33" s="358">
        <v>135</v>
      </c>
      <c r="EO33" s="358">
        <v>146</v>
      </c>
      <c r="EP33" s="358">
        <v>156</v>
      </c>
      <c r="EQ33" s="358">
        <v>163</v>
      </c>
      <c r="ES33" s="358">
        <v>175</v>
      </c>
      <c r="ET33" s="358">
        <v>180</v>
      </c>
      <c r="EU33" s="358">
        <v>189</v>
      </c>
      <c r="EV33" s="358">
        <v>195</v>
      </c>
      <c r="EW33" s="358">
        <v>119</v>
      </c>
      <c r="EX33" s="358">
        <v>130</v>
      </c>
      <c r="EY33" s="358">
        <v>141</v>
      </c>
      <c r="EZ33" s="358">
        <v>157</v>
      </c>
      <c r="FA33" s="358">
        <v>165</v>
      </c>
      <c r="FB33" s="358">
        <v>175</v>
      </c>
      <c r="FC33" s="358">
        <v>189</v>
      </c>
      <c r="FD33" s="358">
        <v>201</v>
      </c>
      <c r="FE33" s="358">
        <v>208</v>
      </c>
      <c r="FF33" s="358">
        <v>213</v>
      </c>
      <c r="FG33" s="358">
        <v>225</v>
      </c>
      <c r="FH33" s="358">
        <v>234</v>
      </c>
      <c r="FI33" s="358">
        <v>245</v>
      </c>
      <c r="FJ33" s="358">
        <v>251</v>
      </c>
      <c r="FK33" s="358">
        <v>256</v>
      </c>
      <c r="FL33" s="358">
        <v>98</v>
      </c>
      <c r="FM33" s="358">
        <v>108</v>
      </c>
      <c r="FN33" s="358">
        <v>114</v>
      </c>
      <c r="FO33" s="358">
        <v>121</v>
      </c>
      <c r="FP33" s="358">
        <v>134</v>
      </c>
      <c r="FQ33" s="358">
        <v>149</v>
      </c>
      <c r="FR33" s="358">
        <v>157</v>
      </c>
      <c r="FS33" s="358">
        <v>164</v>
      </c>
      <c r="FT33" s="358">
        <v>171</v>
      </c>
      <c r="FU33" s="358">
        <v>178</v>
      </c>
      <c r="FV33" s="358">
        <v>188</v>
      </c>
      <c r="FW33" s="358">
        <v>95</v>
      </c>
      <c r="FX33" s="358">
        <v>142</v>
      </c>
      <c r="FY33" s="358">
        <v>149</v>
      </c>
      <c r="FZ33" s="358">
        <v>177</v>
      </c>
      <c r="GA33" s="358">
        <v>246</v>
      </c>
      <c r="GB33" s="358">
        <v>236</v>
      </c>
      <c r="GC33" s="358">
        <v>134</v>
      </c>
      <c r="GD33" s="358">
        <v>170</v>
      </c>
      <c r="GE33" s="358">
        <v>199</v>
      </c>
      <c r="GF33" s="358">
        <v>191</v>
      </c>
      <c r="GG33" s="358">
        <v>115</v>
      </c>
      <c r="GH33" s="358">
        <v>127</v>
      </c>
      <c r="GI33" s="361">
        <v>153</v>
      </c>
    </row>
    <row r="34" spans="1:191">
      <c r="A34" s="336" t="s">
        <v>465</v>
      </c>
      <c r="B34" s="358">
        <v>28</v>
      </c>
      <c r="C34" s="358">
        <v>32</v>
      </c>
      <c r="D34" s="358">
        <v>34</v>
      </c>
      <c r="E34" s="358">
        <v>35</v>
      </c>
      <c r="F34" s="358">
        <v>38</v>
      </c>
      <c r="G34" s="358">
        <v>41</v>
      </c>
      <c r="H34" s="358">
        <v>44</v>
      </c>
      <c r="I34" s="358">
        <v>46</v>
      </c>
      <c r="J34" s="358">
        <v>49</v>
      </c>
      <c r="K34" s="358">
        <v>53</v>
      </c>
      <c r="L34" s="358">
        <v>55</v>
      </c>
      <c r="M34" s="358">
        <v>58</v>
      </c>
      <c r="N34" s="358">
        <v>60</v>
      </c>
      <c r="O34" s="358">
        <v>65</v>
      </c>
      <c r="P34" s="358">
        <v>71</v>
      </c>
      <c r="Q34" s="358">
        <v>73</v>
      </c>
      <c r="R34" s="358">
        <v>76</v>
      </c>
      <c r="S34" s="358">
        <v>78</v>
      </c>
      <c r="T34" s="358">
        <v>81</v>
      </c>
      <c r="U34" s="358">
        <v>84</v>
      </c>
      <c r="V34" s="358">
        <v>26</v>
      </c>
      <c r="W34" s="358">
        <v>24</v>
      </c>
      <c r="X34" s="358">
        <v>22</v>
      </c>
      <c r="Y34" s="358">
        <v>20</v>
      </c>
      <c r="Z34" s="358">
        <v>18</v>
      </c>
      <c r="AA34" s="358">
        <v>17</v>
      </c>
      <c r="AB34" s="358">
        <v>15</v>
      </c>
      <c r="AC34" s="358">
        <v>12</v>
      </c>
      <c r="AD34" s="358">
        <v>10</v>
      </c>
      <c r="AE34" s="358">
        <v>5</v>
      </c>
      <c r="AG34" s="358">
        <v>5</v>
      </c>
      <c r="AH34" s="358">
        <v>6</v>
      </c>
      <c r="AI34" s="358">
        <v>7</v>
      </c>
      <c r="AJ34" s="358">
        <v>11</v>
      </c>
      <c r="AK34" s="358">
        <v>17</v>
      </c>
      <c r="AL34" s="358">
        <v>23</v>
      </c>
      <c r="AM34" s="358">
        <v>28</v>
      </c>
      <c r="AN34" s="358">
        <v>34</v>
      </c>
      <c r="AO34" s="358">
        <v>38</v>
      </c>
      <c r="AP34" s="358">
        <v>44</v>
      </c>
      <c r="AQ34" s="358">
        <v>50</v>
      </c>
      <c r="AR34" s="358">
        <v>54</v>
      </c>
      <c r="AS34" s="358">
        <v>66</v>
      </c>
      <c r="AT34" s="358">
        <v>74</v>
      </c>
      <c r="AU34" s="358">
        <v>84</v>
      </c>
      <c r="AV34" s="358">
        <v>93</v>
      </c>
      <c r="AW34" s="358">
        <v>101</v>
      </c>
      <c r="AX34" s="358">
        <v>31</v>
      </c>
      <c r="AY34" s="358">
        <v>35</v>
      </c>
      <c r="AZ34" s="358">
        <v>36</v>
      </c>
      <c r="BA34" s="358">
        <v>37</v>
      </c>
      <c r="BB34" s="358">
        <v>38</v>
      </c>
      <c r="BC34" s="358">
        <v>41</v>
      </c>
      <c r="BD34" s="358">
        <v>45</v>
      </c>
      <c r="BE34" s="358">
        <v>47</v>
      </c>
      <c r="BF34" s="358">
        <v>48</v>
      </c>
      <c r="BG34" s="358">
        <v>51</v>
      </c>
      <c r="BH34" s="358">
        <v>52</v>
      </c>
      <c r="BI34" s="358">
        <v>53</v>
      </c>
      <c r="BJ34" s="358">
        <v>55</v>
      </c>
      <c r="BK34" s="358">
        <v>56</v>
      </c>
      <c r="BL34" s="358">
        <v>57</v>
      </c>
      <c r="BM34" s="358">
        <v>59</v>
      </c>
      <c r="BN34" s="358">
        <v>60</v>
      </c>
      <c r="BO34" s="358">
        <v>63</v>
      </c>
      <c r="BP34" s="358">
        <v>68</v>
      </c>
      <c r="BQ34" s="358">
        <v>72</v>
      </c>
      <c r="BR34" s="358">
        <v>82</v>
      </c>
      <c r="BS34" s="358">
        <v>89</v>
      </c>
      <c r="BT34" s="358">
        <v>93</v>
      </c>
      <c r="BU34" s="358">
        <v>96</v>
      </c>
      <c r="BV34" s="358">
        <v>33</v>
      </c>
      <c r="BW34" s="358">
        <v>34</v>
      </c>
      <c r="BX34" s="358">
        <v>37</v>
      </c>
      <c r="BY34" s="358">
        <v>41</v>
      </c>
      <c r="BZ34" s="358">
        <v>46</v>
      </c>
      <c r="CA34" s="358">
        <v>50</v>
      </c>
      <c r="CB34" s="358">
        <v>57</v>
      </c>
      <c r="CC34" s="358">
        <v>62</v>
      </c>
      <c r="CD34" s="358">
        <v>65</v>
      </c>
      <c r="CE34" s="358">
        <v>69</v>
      </c>
      <c r="CF34" s="358">
        <v>71</v>
      </c>
      <c r="CG34" s="358">
        <v>78</v>
      </c>
      <c r="CH34" s="358">
        <v>80</v>
      </c>
      <c r="CI34" s="358">
        <v>84</v>
      </c>
      <c r="CJ34" s="358">
        <v>87</v>
      </c>
      <c r="CK34" s="358">
        <v>94</v>
      </c>
      <c r="CL34" s="358">
        <v>100</v>
      </c>
      <c r="CM34" s="358">
        <v>104</v>
      </c>
      <c r="CN34" s="358">
        <v>109</v>
      </c>
      <c r="CO34" s="358">
        <v>116</v>
      </c>
      <c r="CP34" s="358">
        <v>127</v>
      </c>
      <c r="CQ34" s="358">
        <v>140</v>
      </c>
      <c r="CR34" s="358">
        <v>145</v>
      </c>
      <c r="CS34" s="358">
        <v>34</v>
      </c>
      <c r="CT34" s="358">
        <v>39</v>
      </c>
      <c r="CU34" s="358">
        <v>45</v>
      </c>
      <c r="CV34" s="358">
        <v>51</v>
      </c>
      <c r="CW34" s="358">
        <v>57</v>
      </c>
      <c r="CX34" s="358">
        <v>62</v>
      </c>
      <c r="CY34" s="358">
        <v>69</v>
      </c>
      <c r="CZ34" s="358">
        <v>72</v>
      </c>
      <c r="DA34" s="358">
        <v>76</v>
      </c>
      <c r="DB34" s="358">
        <v>81</v>
      </c>
      <c r="DC34" s="358">
        <v>92</v>
      </c>
      <c r="DD34" s="358">
        <v>102</v>
      </c>
      <c r="DE34" s="358">
        <v>106</v>
      </c>
      <c r="DF34" s="358">
        <v>112</v>
      </c>
      <c r="DG34" s="358">
        <v>121</v>
      </c>
      <c r="DH34" s="358">
        <v>126</v>
      </c>
      <c r="DI34" s="358">
        <v>133</v>
      </c>
      <c r="DJ34" s="358">
        <v>142</v>
      </c>
      <c r="DK34" s="358">
        <v>149</v>
      </c>
      <c r="DL34" s="358">
        <v>157</v>
      </c>
      <c r="DM34" s="358">
        <v>169</v>
      </c>
      <c r="DN34" s="358">
        <v>172</v>
      </c>
      <c r="DO34" s="358">
        <v>183</v>
      </c>
      <c r="DP34" s="358">
        <v>192</v>
      </c>
      <c r="DQ34" s="358">
        <v>27</v>
      </c>
      <c r="DR34" s="358">
        <v>32</v>
      </c>
      <c r="DS34" s="358">
        <v>36</v>
      </c>
      <c r="DT34" s="358">
        <v>38</v>
      </c>
      <c r="DU34" s="358">
        <v>41</v>
      </c>
      <c r="DV34" s="358">
        <v>42</v>
      </c>
      <c r="DW34" s="358">
        <v>48</v>
      </c>
      <c r="DX34" s="358">
        <v>51</v>
      </c>
      <c r="DY34" s="358">
        <v>57</v>
      </c>
      <c r="DZ34" s="358">
        <v>62</v>
      </c>
      <c r="EA34" s="358">
        <v>66</v>
      </c>
      <c r="EB34" s="358">
        <v>70</v>
      </c>
      <c r="EC34" s="358">
        <v>75</v>
      </c>
      <c r="ED34" s="358">
        <v>81</v>
      </c>
      <c r="EE34" s="358">
        <v>87</v>
      </c>
      <c r="EF34" s="358">
        <v>90</v>
      </c>
      <c r="EG34" s="358">
        <v>94</v>
      </c>
      <c r="EH34" s="358">
        <v>99</v>
      </c>
      <c r="EI34" s="358">
        <v>104</v>
      </c>
      <c r="EJ34" s="358">
        <v>108</v>
      </c>
      <c r="EK34" s="358">
        <v>113</v>
      </c>
      <c r="EL34" s="358">
        <v>117</v>
      </c>
      <c r="EM34" s="358">
        <v>118</v>
      </c>
      <c r="EN34" s="358">
        <v>130</v>
      </c>
      <c r="EO34" s="358">
        <v>141</v>
      </c>
      <c r="EP34" s="358">
        <v>151</v>
      </c>
      <c r="EQ34" s="358">
        <v>158</v>
      </c>
      <c r="ES34" s="358">
        <v>170</v>
      </c>
      <c r="ET34" s="358">
        <v>175</v>
      </c>
      <c r="EU34" s="358">
        <v>184</v>
      </c>
      <c r="EV34" s="358">
        <v>190</v>
      </c>
      <c r="EW34" s="358">
        <v>114</v>
      </c>
      <c r="EX34" s="358">
        <v>125</v>
      </c>
      <c r="EY34" s="358">
        <v>136</v>
      </c>
      <c r="EZ34" s="358">
        <v>152</v>
      </c>
      <c r="FA34" s="358">
        <v>160</v>
      </c>
      <c r="FB34" s="358">
        <v>170</v>
      </c>
      <c r="FC34" s="358">
        <v>184</v>
      </c>
      <c r="FD34" s="358">
        <v>196</v>
      </c>
      <c r="FE34" s="358">
        <v>203</v>
      </c>
      <c r="FF34" s="358">
        <v>208</v>
      </c>
      <c r="FG34" s="358">
        <v>220</v>
      </c>
      <c r="FH34" s="358">
        <v>229</v>
      </c>
      <c r="FI34" s="358">
        <v>240</v>
      </c>
      <c r="FJ34" s="358">
        <v>246</v>
      </c>
      <c r="FK34" s="358">
        <v>251</v>
      </c>
      <c r="FL34" s="358">
        <v>93</v>
      </c>
      <c r="FM34" s="358">
        <v>103</v>
      </c>
      <c r="FN34" s="358">
        <v>109</v>
      </c>
      <c r="FO34" s="358">
        <v>116</v>
      </c>
      <c r="FP34" s="358">
        <v>129</v>
      </c>
      <c r="FQ34" s="358">
        <v>144</v>
      </c>
      <c r="FR34" s="358">
        <v>152</v>
      </c>
      <c r="FS34" s="358">
        <v>159</v>
      </c>
      <c r="FT34" s="358">
        <v>166</v>
      </c>
      <c r="FU34" s="358">
        <v>173</v>
      </c>
      <c r="FV34" s="358">
        <v>183</v>
      </c>
      <c r="FW34" s="358">
        <v>100</v>
      </c>
      <c r="FX34" s="358">
        <v>147</v>
      </c>
      <c r="FY34" s="358">
        <v>154</v>
      </c>
      <c r="FZ34" s="358">
        <v>182</v>
      </c>
      <c r="GA34" s="358">
        <v>251</v>
      </c>
      <c r="GB34" s="358">
        <v>231</v>
      </c>
      <c r="GC34" s="358">
        <v>139</v>
      </c>
      <c r="GD34" s="358">
        <v>175</v>
      </c>
      <c r="GE34" s="358">
        <v>204</v>
      </c>
      <c r="GF34" s="358">
        <v>196</v>
      </c>
      <c r="GG34" s="358">
        <v>120</v>
      </c>
      <c r="GH34" s="358">
        <v>132</v>
      </c>
      <c r="GI34" s="361">
        <v>158</v>
      </c>
    </row>
    <row r="35" spans="1:191">
      <c r="A35" s="336" t="s">
        <v>464</v>
      </c>
      <c r="B35" s="358">
        <v>33</v>
      </c>
      <c r="C35" s="358">
        <v>37</v>
      </c>
      <c r="D35" s="358">
        <v>39</v>
      </c>
      <c r="E35" s="358">
        <v>40</v>
      </c>
      <c r="F35" s="358">
        <v>43</v>
      </c>
      <c r="G35" s="358">
        <v>46</v>
      </c>
      <c r="H35" s="358">
        <v>49</v>
      </c>
      <c r="I35" s="358">
        <v>51</v>
      </c>
      <c r="J35" s="358">
        <v>54</v>
      </c>
      <c r="K35" s="358">
        <v>58</v>
      </c>
      <c r="L35" s="358">
        <v>60</v>
      </c>
      <c r="M35" s="358">
        <v>63</v>
      </c>
      <c r="N35" s="358">
        <v>65</v>
      </c>
      <c r="O35" s="358">
        <v>70</v>
      </c>
      <c r="P35" s="358">
        <v>76</v>
      </c>
      <c r="Q35" s="358">
        <v>78</v>
      </c>
      <c r="R35" s="358">
        <v>81</v>
      </c>
      <c r="S35" s="358">
        <v>83</v>
      </c>
      <c r="T35" s="358">
        <v>86</v>
      </c>
      <c r="U35" s="358">
        <v>89</v>
      </c>
      <c r="V35" s="358">
        <v>31</v>
      </c>
      <c r="W35" s="358">
        <v>29</v>
      </c>
      <c r="X35" s="358">
        <v>27</v>
      </c>
      <c r="Y35" s="358">
        <v>25</v>
      </c>
      <c r="Z35" s="358">
        <v>23</v>
      </c>
      <c r="AA35" s="358">
        <v>22</v>
      </c>
      <c r="AB35" s="358">
        <v>20</v>
      </c>
      <c r="AC35" s="358">
        <v>17</v>
      </c>
      <c r="AD35" s="358">
        <v>15</v>
      </c>
      <c r="AE35" s="358">
        <v>10</v>
      </c>
      <c r="AF35" s="358">
        <v>5</v>
      </c>
      <c r="AH35" s="358">
        <v>1</v>
      </c>
      <c r="AI35" s="358">
        <v>2</v>
      </c>
      <c r="AJ35" s="358">
        <v>6</v>
      </c>
      <c r="AK35" s="358">
        <v>12</v>
      </c>
      <c r="AL35" s="358">
        <v>18</v>
      </c>
      <c r="AM35" s="358">
        <v>23</v>
      </c>
      <c r="AN35" s="358">
        <v>29</v>
      </c>
      <c r="AO35" s="358">
        <v>33</v>
      </c>
      <c r="AP35" s="358">
        <v>39</v>
      </c>
      <c r="AQ35" s="358">
        <v>45</v>
      </c>
      <c r="AR35" s="358">
        <v>49</v>
      </c>
      <c r="AS35" s="358">
        <v>61</v>
      </c>
      <c r="AT35" s="358">
        <v>69</v>
      </c>
      <c r="AU35" s="358">
        <v>79</v>
      </c>
      <c r="AV35" s="358">
        <v>88</v>
      </c>
      <c r="AW35" s="358">
        <v>96</v>
      </c>
      <c r="AX35" s="358">
        <v>36</v>
      </c>
      <c r="AY35" s="358">
        <v>40</v>
      </c>
      <c r="AZ35" s="358">
        <v>41</v>
      </c>
      <c r="BA35" s="358">
        <v>42</v>
      </c>
      <c r="BB35" s="358">
        <v>43</v>
      </c>
      <c r="BC35" s="358">
        <v>46</v>
      </c>
      <c r="BD35" s="358">
        <v>50</v>
      </c>
      <c r="BE35" s="358">
        <v>52</v>
      </c>
      <c r="BF35" s="358">
        <v>53</v>
      </c>
      <c r="BG35" s="358">
        <v>56</v>
      </c>
      <c r="BH35" s="358">
        <v>57</v>
      </c>
      <c r="BI35" s="358">
        <v>58</v>
      </c>
      <c r="BJ35" s="358">
        <v>60</v>
      </c>
      <c r="BK35" s="358">
        <v>61</v>
      </c>
      <c r="BL35" s="358">
        <v>62</v>
      </c>
      <c r="BM35" s="358">
        <v>64</v>
      </c>
      <c r="BN35" s="358">
        <v>65</v>
      </c>
      <c r="BO35" s="358">
        <v>68</v>
      </c>
      <c r="BP35" s="358">
        <v>73</v>
      </c>
      <c r="BQ35" s="358">
        <v>77</v>
      </c>
      <c r="BR35" s="358">
        <v>87</v>
      </c>
      <c r="BS35" s="358">
        <v>94</v>
      </c>
      <c r="BT35" s="358">
        <v>98</v>
      </c>
      <c r="BU35" s="358">
        <v>101</v>
      </c>
      <c r="BV35" s="358">
        <v>38</v>
      </c>
      <c r="BW35" s="358">
        <v>39</v>
      </c>
      <c r="BX35" s="358">
        <v>42</v>
      </c>
      <c r="BY35" s="358">
        <v>46</v>
      </c>
      <c r="BZ35" s="358">
        <v>51</v>
      </c>
      <c r="CA35" s="358">
        <v>55</v>
      </c>
      <c r="CB35" s="358">
        <v>62</v>
      </c>
      <c r="CC35" s="358">
        <v>67</v>
      </c>
      <c r="CD35" s="358">
        <v>70</v>
      </c>
      <c r="CE35" s="358">
        <v>74</v>
      </c>
      <c r="CF35" s="358">
        <v>76</v>
      </c>
      <c r="CG35" s="358">
        <v>83</v>
      </c>
      <c r="CH35" s="358">
        <v>85</v>
      </c>
      <c r="CI35" s="358">
        <v>89</v>
      </c>
      <c r="CJ35" s="358">
        <v>92</v>
      </c>
      <c r="CK35" s="358">
        <v>99</v>
      </c>
      <c r="CL35" s="358">
        <v>105</v>
      </c>
      <c r="CM35" s="358">
        <v>109</v>
      </c>
      <c r="CN35" s="358">
        <v>114</v>
      </c>
      <c r="CO35" s="358">
        <v>121</v>
      </c>
      <c r="CP35" s="358">
        <v>132</v>
      </c>
      <c r="CQ35" s="358">
        <v>145</v>
      </c>
      <c r="CR35" s="358">
        <v>150</v>
      </c>
      <c r="CS35" s="358">
        <v>39</v>
      </c>
      <c r="CT35" s="358">
        <v>44</v>
      </c>
      <c r="CU35" s="358">
        <v>50</v>
      </c>
      <c r="CV35" s="358">
        <v>56</v>
      </c>
      <c r="CW35" s="358">
        <v>62</v>
      </c>
      <c r="CX35" s="358">
        <v>67</v>
      </c>
      <c r="CY35" s="358">
        <v>74</v>
      </c>
      <c r="CZ35" s="358">
        <v>77</v>
      </c>
      <c r="DA35" s="358">
        <v>81</v>
      </c>
      <c r="DB35" s="358">
        <v>86</v>
      </c>
      <c r="DC35" s="358">
        <v>97</v>
      </c>
      <c r="DD35" s="358">
        <v>107</v>
      </c>
      <c r="DE35" s="358">
        <v>111</v>
      </c>
      <c r="DF35" s="358">
        <v>117</v>
      </c>
      <c r="DG35" s="358">
        <v>126</v>
      </c>
      <c r="DH35" s="358">
        <v>131</v>
      </c>
      <c r="DI35" s="358">
        <v>138</v>
      </c>
      <c r="DJ35" s="358">
        <v>147</v>
      </c>
      <c r="DK35" s="358">
        <v>154</v>
      </c>
      <c r="DL35" s="358">
        <v>162</v>
      </c>
      <c r="DM35" s="358">
        <v>174</v>
      </c>
      <c r="DN35" s="358">
        <v>177</v>
      </c>
      <c r="DO35" s="358">
        <v>188</v>
      </c>
      <c r="DP35" s="358">
        <v>197</v>
      </c>
      <c r="DQ35" s="358">
        <v>32</v>
      </c>
      <c r="DR35" s="358">
        <v>37</v>
      </c>
      <c r="DS35" s="358">
        <v>41</v>
      </c>
      <c r="DT35" s="358">
        <v>43</v>
      </c>
      <c r="DU35" s="358">
        <v>46</v>
      </c>
      <c r="DV35" s="358">
        <v>47</v>
      </c>
      <c r="DW35" s="358">
        <v>53</v>
      </c>
      <c r="DX35" s="358">
        <v>56</v>
      </c>
      <c r="DY35" s="358">
        <v>62</v>
      </c>
      <c r="DZ35" s="358">
        <v>67</v>
      </c>
      <c r="EA35" s="358">
        <v>71</v>
      </c>
      <c r="EB35" s="358">
        <v>75</v>
      </c>
      <c r="EC35" s="358">
        <v>80</v>
      </c>
      <c r="ED35" s="358">
        <v>86</v>
      </c>
      <c r="EE35" s="358">
        <v>92</v>
      </c>
      <c r="EF35" s="358">
        <v>95</v>
      </c>
      <c r="EG35" s="358">
        <v>99</v>
      </c>
      <c r="EH35" s="358">
        <v>104</v>
      </c>
      <c r="EI35" s="358">
        <v>109</v>
      </c>
      <c r="EJ35" s="358">
        <v>113</v>
      </c>
      <c r="EK35" s="358">
        <v>118</v>
      </c>
      <c r="EL35" s="358">
        <v>122</v>
      </c>
      <c r="EM35" s="358">
        <v>113</v>
      </c>
      <c r="EN35" s="358">
        <v>125</v>
      </c>
      <c r="EO35" s="358">
        <v>136</v>
      </c>
      <c r="EP35" s="358">
        <v>146</v>
      </c>
      <c r="EQ35" s="358">
        <v>153</v>
      </c>
      <c r="ES35" s="358">
        <v>165</v>
      </c>
      <c r="ET35" s="358">
        <v>170</v>
      </c>
      <c r="EU35" s="358">
        <v>179</v>
      </c>
      <c r="EV35" s="358">
        <v>185</v>
      </c>
      <c r="EW35" s="358">
        <v>109</v>
      </c>
      <c r="EX35" s="358">
        <v>120</v>
      </c>
      <c r="EY35" s="358">
        <v>131</v>
      </c>
      <c r="EZ35" s="358">
        <v>147</v>
      </c>
      <c r="FA35" s="358">
        <v>155</v>
      </c>
      <c r="FB35" s="358">
        <v>165</v>
      </c>
      <c r="FC35" s="358">
        <v>179</v>
      </c>
      <c r="FD35" s="358">
        <v>191</v>
      </c>
      <c r="FE35" s="358">
        <v>198</v>
      </c>
      <c r="FF35" s="358">
        <v>203</v>
      </c>
      <c r="FG35" s="358">
        <v>215</v>
      </c>
      <c r="FH35" s="358">
        <v>224</v>
      </c>
      <c r="FI35" s="358">
        <v>235</v>
      </c>
      <c r="FJ35" s="358">
        <v>241</v>
      </c>
      <c r="FK35" s="358">
        <v>246</v>
      </c>
      <c r="FL35" s="358">
        <v>88</v>
      </c>
      <c r="FM35" s="358">
        <v>98</v>
      </c>
      <c r="FN35" s="358">
        <v>104</v>
      </c>
      <c r="FO35" s="358">
        <v>111</v>
      </c>
      <c r="FP35" s="358">
        <v>124</v>
      </c>
      <c r="FQ35" s="358">
        <v>139</v>
      </c>
      <c r="FR35" s="358">
        <v>147</v>
      </c>
      <c r="FS35" s="358">
        <v>154</v>
      </c>
      <c r="FT35" s="358">
        <v>161</v>
      </c>
      <c r="FU35" s="358">
        <v>168</v>
      </c>
      <c r="FV35" s="358">
        <v>178</v>
      </c>
      <c r="FW35" s="358">
        <v>105</v>
      </c>
      <c r="FX35" s="358">
        <v>152</v>
      </c>
      <c r="FY35" s="358">
        <v>159</v>
      </c>
      <c r="FZ35" s="358">
        <v>187</v>
      </c>
      <c r="GA35" s="358">
        <v>256</v>
      </c>
      <c r="GB35" s="358">
        <v>226</v>
      </c>
      <c r="GC35" s="358">
        <v>144</v>
      </c>
      <c r="GD35" s="358">
        <v>180</v>
      </c>
      <c r="GE35" s="358">
        <v>209</v>
      </c>
      <c r="GF35" s="358">
        <v>201</v>
      </c>
      <c r="GG35" s="358">
        <v>125</v>
      </c>
      <c r="GH35" s="358">
        <v>137</v>
      </c>
      <c r="GI35" s="361">
        <v>163</v>
      </c>
    </row>
    <row r="36" spans="1:191">
      <c r="A36" s="336" t="s">
        <v>463</v>
      </c>
      <c r="B36" s="358">
        <v>34</v>
      </c>
      <c r="C36" s="358">
        <v>38</v>
      </c>
      <c r="D36" s="358">
        <v>40</v>
      </c>
      <c r="E36" s="358">
        <v>41</v>
      </c>
      <c r="F36" s="358">
        <v>44</v>
      </c>
      <c r="G36" s="358">
        <v>47</v>
      </c>
      <c r="H36" s="358">
        <v>50</v>
      </c>
      <c r="I36" s="358">
        <v>52</v>
      </c>
      <c r="J36" s="358">
        <v>55</v>
      </c>
      <c r="K36" s="358">
        <v>59</v>
      </c>
      <c r="L36" s="358">
        <v>61</v>
      </c>
      <c r="M36" s="358">
        <v>64</v>
      </c>
      <c r="N36" s="358">
        <v>66</v>
      </c>
      <c r="O36" s="358">
        <v>71</v>
      </c>
      <c r="P36" s="358">
        <v>77</v>
      </c>
      <c r="Q36" s="358">
        <v>79</v>
      </c>
      <c r="R36" s="358">
        <v>82</v>
      </c>
      <c r="S36" s="358">
        <v>84</v>
      </c>
      <c r="T36" s="358">
        <v>87</v>
      </c>
      <c r="U36" s="358">
        <v>90</v>
      </c>
      <c r="V36" s="358">
        <v>32</v>
      </c>
      <c r="W36" s="358">
        <v>30</v>
      </c>
      <c r="X36" s="358">
        <v>28</v>
      </c>
      <c r="Y36" s="358">
        <v>26</v>
      </c>
      <c r="Z36" s="358">
        <v>24</v>
      </c>
      <c r="AA36" s="358">
        <v>23</v>
      </c>
      <c r="AB36" s="358">
        <v>21</v>
      </c>
      <c r="AC36" s="358">
        <v>18</v>
      </c>
      <c r="AD36" s="358">
        <v>16</v>
      </c>
      <c r="AE36" s="358">
        <v>11</v>
      </c>
      <c r="AF36" s="358">
        <v>6</v>
      </c>
      <c r="AG36" s="358">
        <v>1</v>
      </c>
      <c r="AI36" s="358">
        <v>1</v>
      </c>
      <c r="AJ36" s="358">
        <v>5</v>
      </c>
      <c r="AK36" s="358">
        <v>11</v>
      </c>
      <c r="AL36" s="358">
        <v>17</v>
      </c>
      <c r="AM36" s="358">
        <v>22</v>
      </c>
      <c r="AN36" s="358">
        <v>28</v>
      </c>
      <c r="AO36" s="358">
        <v>32</v>
      </c>
      <c r="AP36" s="358">
        <v>38</v>
      </c>
      <c r="AQ36" s="358">
        <v>44</v>
      </c>
      <c r="AR36" s="358">
        <v>48</v>
      </c>
      <c r="AS36" s="358">
        <v>60</v>
      </c>
      <c r="AT36" s="358">
        <v>68</v>
      </c>
      <c r="AU36" s="358">
        <v>78</v>
      </c>
      <c r="AV36" s="358">
        <v>87</v>
      </c>
      <c r="AW36" s="358">
        <v>95</v>
      </c>
      <c r="AX36" s="358">
        <v>37</v>
      </c>
      <c r="AY36" s="358">
        <v>41</v>
      </c>
      <c r="AZ36" s="358">
        <v>42</v>
      </c>
      <c r="BA36" s="358">
        <v>43</v>
      </c>
      <c r="BB36" s="358">
        <v>44</v>
      </c>
      <c r="BC36" s="358">
        <v>47</v>
      </c>
      <c r="BD36" s="358">
        <v>51</v>
      </c>
      <c r="BE36" s="358">
        <v>53</v>
      </c>
      <c r="BF36" s="358">
        <v>54</v>
      </c>
      <c r="BG36" s="358">
        <v>57</v>
      </c>
      <c r="BH36" s="358">
        <v>58</v>
      </c>
      <c r="BI36" s="358">
        <v>59</v>
      </c>
      <c r="BJ36" s="358">
        <v>61</v>
      </c>
      <c r="BK36" s="358">
        <v>62</v>
      </c>
      <c r="BL36" s="358">
        <v>63</v>
      </c>
      <c r="BM36" s="358">
        <v>65</v>
      </c>
      <c r="BN36" s="358">
        <v>66</v>
      </c>
      <c r="BO36" s="358">
        <v>69</v>
      </c>
      <c r="BP36" s="358">
        <v>74</v>
      </c>
      <c r="BQ36" s="358">
        <v>78</v>
      </c>
      <c r="BR36" s="358">
        <v>88</v>
      </c>
      <c r="BS36" s="358">
        <v>95</v>
      </c>
      <c r="BT36" s="358">
        <v>99</v>
      </c>
      <c r="BU36" s="358">
        <v>102</v>
      </c>
      <c r="BV36" s="358">
        <v>39</v>
      </c>
      <c r="BW36" s="358">
        <v>40</v>
      </c>
      <c r="BX36" s="358">
        <v>43</v>
      </c>
      <c r="BY36" s="358">
        <v>47</v>
      </c>
      <c r="BZ36" s="358">
        <v>52</v>
      </c>
      <c r="CA36" s="358">
        <v>56</v>
      </c>
      <c r="CB36" s="358">
        <v>63</v>
      </c>
      <c r="CC36" s="358">
        <v>68</v>
      </c>
      <c r="CD36" s="358">
        <v>71</v>
      </c>
      <c r="CE36" s="358">
        <v>75</v>
      </c>
      <c r="CF36" s="358">
        <v>77</v>
      </c>
      <c r="CG36" s="358">
        <v>84</v>
      </c>
      <c r="CH36" s="358">
        <v>86</v>
      </c>
      <c r="CI36" s="358">
        <v>90</v>
      </c>
      <c r="CJ36" s="358">
        <v>93</v>
      </c>
      <c r="CK36" s="358">
        <v>100</v>
      </c>
      <c r="CL36" s="358">
        <v>106</v>
      </c>
      <c r="CM36" s="358">
        <v>110</v>
      </c>
      <c r="CN36" s="358">
        <v>115</v>
      </c>
      <c r="CO36" s="358">
        <v>122</v>
      </c>
      <c r="CP36" s="358">
        <v>133</v>
      </c>
      <c r="CQ36" s="358">
        <v>146</v>
      </c>
      <c r="CR36" s="358">
        <v>151</v>
      </c>
      <c r="CS36" s="358">
        <v>40</v>
      </c>
      <c r="CT36" s="358">
        <v>45</v>
      </c>
      <c r="CU36" s="358">
        <v>51</v>
      </c>
      <c r="CV36" s="358">
        <v>57</v>
      </c>
      <c r="CW36" s="358">
        <v>63</v>
      </c>
      <c r="CX36" s="358">
        <v>68</v>
      </c>
      <c r="CY36" s="358">
        <v>75</v>
      </c>
      <c r="CZ36" s="358">
        <v>78</v>
      </c>
      <c r="DA36" s="358">
        <v>82</v>
      </c>
      <c r="DB36" s="358">
        <v>87</v>
      </c>
      <c r="DC36" s="358">
        <v>98</v>
      </c>
      <c r="DD36" s="358">
        <v>108</v>
      </c>
      <c r="DE36" s="358">
        <v>112</v>
      </c>
      <c r="DF36" s="358">
        <v>118</v>
      </c>
      <c r="DG36" s="358">
        <v>127</v>
      </c>
      <c r="DH36" s="358">
        <v>132</v>
      </c>
      <c r="DI36" s="358">
        <v>139</v>
      </c>
      <c r="DJ36" s="358">
        <v>148</v>
      </c>
      <c r="DK36" s="358">
        <v>155</v>
      </c>
      <c r="DL36" s="358">
        <v>163</v>
      </c>
      <c r="DM36" s="358">
        <v>175</v>
      </c>
      <c r="DN36" s="358">
        <v>178</v>
      </c>
      <c r="DO36" s="358">
        <v>189</v>
      </c>
      <c r="DP36" s="358">
        <v>198</v>
      </c>
      <c r="DQ36" s="358">
        <v>33</v>
      </c>
      <c r="DR36" s="358">
        <v>38</v>
      </c>
      <c r="DS36" s="358">
        <v>42</v>
      </c>
      <c r="DT36" s="358">
        <v>44</v>
      </c>
      <c r="DU36" s="358">
        <v>47</v>
      </c>
      <c r="DV36" s="358">
        <v>48</v>
      </c>
      <c r="DW36" s="358">
        <v>54</v>
      </c>
      <c r="DX36" s="358">
        <v>57</v>
      </c>
      <c r="DY36" s="358">
        <v>63</v>
      </c>
      <c r="DZ36" s="358">
        <v>68</v>
      </c>
      <c r="EA36" s="358">
        <v>72</v>
      </c>
      <c r="EB36" s="358">
        <v>76</v>
      </c>
      <c r="EC36" s="358">
        <v>81</v>
      </c>
      <c r="ED36" s="358">
        <v>87</v>
      </c>
      <c r="EE36" s="358">
        <v>93</v>
      </c>
      <c r="EF36" s="358">
        <v>96</v>
      </c>
      <c r="EG36" s="358">
        <v>100</v>
      </c>
      <c r="EH36" s="358">
        <v>105</v>
      </c>
      <c r="EI36" s="358">
        <v>110</v>
      </c>
      <c r="EJ36" s="358">
        <v>114</v>
      </c>
      <c r="EK36" s="358">
        <v>119</v>
      </c>
      <c r="EL36" s="358">
        <v>123</v>
      </c>
      <c r="EM36" s="358">
        <v>112</v>
      </c>
      <c r="EN36" s="358">
        <v>124</v>
      </c>
      <c r="EO36" s="358">
        <v>135</v>
      </c>
      <c r="EP36" s="358">
        <v>145</v>
      </c>
      <c r="EQ36" s="358">
        <v>152</v>
      </c>
      <c r="ES36" s="358">
        <v>164</v>
      </c>
      <c r="ET36" s="358">
        <v>169</v>
      </c>
      <c r="EU36" s="358">
        <v>178</v>
      </c>
      <c r="EV36" s="358">
        <v>184</v>
      </c>
      <c r="EW36" s="358">
        <v>108</v>
      </c>
      <c r="EX36" s="358">
        <v>119</v>
      </c>
      <c r="EY36" s="358">
        <v>130</v>
      </c>
      <c r="EZ36" s="358">
        <v>146</v>
      </c>
      <c r="FA36" s="358">
        <v>154</v>
      </c>
      <c r="FB36" s="358">
        <v>164</v>
      </c>
      <c r="FC36" s="358">
        <v>178</v>
      </c>
      <c r="FD36" s="358">
        <v>190</v>
      </c>
      <c r="FE36" s="358">
        <v>197</v>
      </c>
      <c r="FF36" s="358">
        <v>202</v>
      </c>
      <c r="FG36" s="358">
        <v>214</v>
      </c>
      <c r="FH36" s="358">
        <v>223</v>
      </c>
      <c r="FI36" s="358">
        <v>234</v>
      </c>
      <c r="FJ36" s="358">
        <v>240</v>
      </c>
      <c r="FK36" s="358">
        <v>245</v>
      </c>
      <c r="FL36" s="358">
        <v>87</v>
      </c>
      <c r="FM36" s="358">
        <v>97</v>
      </c>
      <c r="FN36" s="358">
        <v>103</v>
      </c>
      <c r="FO36" s="358">
        <v>110</v>
      </c>
      <c r="FP36" s="358">
        <v>123</v>
      </c>
      <c r="FQ36" s="358">
        <v>138</v>
      </c>
      <c r="FR36" s="358">
        <v>146</v>
      </c>
      <c r="FS36" s="358">
        <v>153</v>
      </c>
      <c r="FT36" s="358">
        <v>160</v>
      </c>
      <c r="FU36" s="358">
        <v>167</v>
      </c>
      <c r="FV36" s="358">
        <v>177</v>
      </c>
      <c r="FW36" s="358">
        <v>106</v>
      </c>
      <c r="FX36" s="358">
        <v>153</v>
      </c>
      <c r="FY36" s="358">
        <v>160</v>
      </c>
      <c r="FZ36" s="358">
        <v>188</v>
      </c>
      <c r="GA36" s="358">
        <v>257</v>
      </c>
      <c r="GB36" s="358">
        <v>225</v>
      </c>
      <c r="GC36" s="358">
        <v>145</v>
      </c>
      <c r="GD36" s="358">
        <v>181</v>
      </c>
      <c r="GE36" s="358">
        <v>210</v>
      </c>
      <c r="GF36" s="358">
        <v>202</v>
      </c>
      <c r="GG36" s="358">
        <v>126</v>
      </c>
      <c r="GH36" s="358">
        <v>138</v>
      </c>
      <c r="GI36" s="361">
        <v>164</v>
      </c>
    </row>
    <row r="37" spans="1:191">
      <c r="A37" s="336" t="s">
        <v>462</v>
      </c>
      <c r="B37" s="358">
        <v>35</v>
      </c>
      <c r="C37" s="358">
        <v>39</v>
      </c>
      <c r="D37" s="358">
        <v>41</v>
      </c>
      <c r="E37" s="358">
        <v>42</v>
      </c>
      <c r="F37" s="358">
        <v>45</v>
      </c>
      <c r="G37" s="358">
        <v>48</v>
      </c>
      <c r="H37" s="358">
        <v>51</v>
      </c>
      <c r="I37" s="358">
        <v>53</v>
      </c>
      <c r="J37" s="358">
        <v>56</v>
      </c>
      <c r="K37" s="358">
        <v>60</v>
      </c>
      <c r="L37" s="358">
        <v>62</v>
      </c>
      <c r="M37" s="358">
        <v>65</v>
      </c>
      <c r="N37" s="358">
        <v>67</v>
      </c>
      <c r="O37" s="358">
        <v>72</v>
      </c>
      <c r="P37" s="358">
        <v>78</v>
      </c>
      <c r="Q37" s="358">
        <v>80</v>
      </c>
      <c r="R37" s="358">
        <v>83</v>
      </c>
      <c r="S37" s="358">
        <v>85</v>
      </c>
      <c r="T37" s="358">
        <v>88</v>
      </c>
      <c r="U37" s="358">
        <v>91</v>
      </c>
      <c r="V37" s="358">
        <v>33</v>
      </c>
      <c r="W37" s="358">
        <v>31</v>
      </c>
      <c r="X37" s="358">
        <v>29</v>
      </c>
      <c r="Y37" s="358">
        <v>27</v>
      </c>
      <c r="Z37" s="358">
        <v>25</v>
      </c>
      <c r="AA37" s="358">
        <v>24</v>
      </c>
      <c r="AB37" s="358">
        <v>22</v>
      </c>
      <c r="AC37" s="358">
        <v>19</v>
      </c>
      <c r="AD37" s="358">
        <v>17</v>
      </c>
      <c r="AE37" s="358">
        <v>12</v>
      </c>
      <c r="AF37" s="358">
        <v>7</v>
      </c>
      <c r="AG37" s="358">
        <v>2</v>
      </c>
      <c r="AH37" s="358">
        <v>1</v>
      </c>
      <c r="AJ37" s="358">
        <v>4</v>
      </c>
      <c r="AK37" s="358">
        <v>10</v>
      </c>
      <c r="AL37" s="358">
        <v>16</v>
      </c>
      <c r="AM37" s="358">
        <v>21</v>
      </c>
      <c r="AN37" s="358">
        <v>27</v>
      </c>
      <c r="AO37" s="358">
        <v>31</v>
      </c>
      <c r="AP37" s="358">
        <v>37</v>
      </c>
      <c r="AQ37" s="358">
        <v>43</v>
      </c>
      <c r="AR37" s="358">
        <v>47</v>
      </c>
      <c r="AS37" s="358">
        <v>59</v>
      </c>
      <c r="AT37" s="358">
        <v>67</v>
      </c>
      <c r="AU37" s="358">
        <v>77</v>
      </c>
      <c r="AV37" s="358">
        <v>86</v>
      </c>
      <c r="AW37" s="358">
        <v>94</v>
      </c>
      <c r="AX37" s="358">
        <v>38</v>
      </c>
      <c r="AY37" s="358">
        <v>42</v>
      </c>
      <c r="AZ37" s="358">
        <v>43</v>
      </c>
      <c r="BA37" s="358">
        <v>44</v>
      </c>
      <c r="BB37" s="358">
        <v>45</v>
      </c>
      <c r="BC37" s="358">
        <v>48</v>
      </c>
      <c r="BD37" s="358">
        <v>52</v>
      </c>
      <c r="BE37" s="358">
        <v>54</v>
      </c>
      <c r="BF37" s="358">
        <v>55</v>
      </c>
      <c r="BG37" s="358">
        <v>58</v>
      </c>
      <c r="BH37" s="358">
        <v>59</v>
      </c>
      <c r="BI37" s="358">
        <v>60</v>
      </c>
      <c r="BJ37" s="358">
        <v>62</v>
      </c>
      <c r="BK37" s="358">
        <v>63</v>
      </c>
      <c r="BL37" s="358">
        <v>64</v>
      </c>
      <c r="BM37" s="358">
        <v>66</v>
      </c>
      <c r="BN37" s="358">
        <v>67</v>
      </c>
      <c r="BO37" s="358">
        <v>70</v>
      </c>
      <c r="BP37" s="358">
        <v>75</v>
      </c>
      <c r="BQ37" s="358">
        <v>79</v>
      </c>
      <c r="BR37" s="358">
        <v>89</v>
      </c>
      <c r="BS37" s="358">
        <v>96</v>
      </c>
      <c r="BT37" s="358">
        <v>100</v>
      </c>
      <c r="BU37" s="358">
        <v>103</v>
      </c>
      <c r="BV37" s="358">
        <v>40</v>
      </c>
      <c r="BW37" s="358">
        <v>41</v>
      </c>
      <c r="BX37" s="358">
        <v>44</v>
      </c>
      <c r="BY37" s="358">
        <v>48</v>
      </c>
      <c r="BZ37" s="358">
        <v>53</v>
      </c>
      <c r="CA37" s="358">
        <v>57</v>
      </c>
      <c r="CB37" s="358">
        <v>64</v>
      </c>
      <c r="CC37" s="358">
        <v>69</v>
      </c>
      <c r="CD37" s="358">
        <v>72</v>
      </c>
      <c r="CE37" s="358">
        <v>76</v>
      </c>
      <c r="CF37" s="358">
        <v>78</v>
      </c>
      <c r="CG37" s="358">
        <v>85</v>
      </c>
      <c r="CH37" s="358">
        <v>87</v>
      </c>
      <c r="CI37" s="358">
        <v>91</v>
      </c>
      <c r="CJ37" s="358">
        <v>94</v>
      </c>
      <c r="CK37" s="358">
        <v>101</v>
      </c>
      <c r="CL37" s="358">
        <v>107</v>
      </c>
      <c r="CM37" s="358">
        <v>111</v>
      </c>
      <c r="CN37" s="358">
        <v>116</v>
      </c>
      <c r="CO37" s="358">
        <v>123</v>
      </c>
      <c r="CP37" s="358">
        <v>134</v>
      </c>
      <c r="CQ37" s="358">
        <v>147</v>
      </c>
      <c r="CR37" s="358">
        <v>152</v>
      </c>
      <c r="CS37" s="358">
        <v>41</v>
      </c>
      <c r="CT37" s="358">
        <v>46</v>
      </c>
      <c r="CU37" s="358">
        <v>52</v>
      </c>
      <c r="CV37" s="358">
        <v>58</v>
      </c>
      <c r="CW37" s="358">
        <v>64</v>
      </c>
      <c r="CX37" s="358">
        <v>69</v>
      </c>
      <c r="CY37" s="358">
        <v>76</v>
      </c>
      <c r="CZ37" s="358">
        <v>79</v>
      </c>
      <c r="DA37" s="358">
        <v>83</v>
      </c>
      <c r="DB37" s="358">
        <v>88</v>
      </c>
      <c r="DC37" s="358">
        <v>99</v>
      </c>
      <c r="DD37" s="358">
        <v>109</v>
      </c>
      <c r="DE37" s="358">
        <v>113</v>
      </c>
      <c r="DF37" s="358">
        <v>119</v>
      </c>
      <c r="DG37" s="358">
        <v>128</v>
      </c>
      <c r="DH37" s="358">
        <v>133</v>
      </c>
      <c r="DI37" s="358">
        <v>140</v>
      </c>
      <c r="DJ37" s="358">
        <v>149</v>
      </c>
      <c r="DK37" s="358">
        <v>156</v>
      </c>
      <c r="DL37" s="358">
        <v>164</v>
      </c>
      <c r="DM37" s="358">
        <v>176</v>
      </c>
      <c r="DN37" s="358">
        <v>179</v>
      </c>
      <c r="DO37" s="358">
        <v>190</v>
      </c>
      <c r="DP37" s="358">
        <v>199</v>
      </c>
      <c r="DQ37" s="358">
        <v>34</v>
      </c>
      <c r="DR37" s="358">
        <v>39</v>
      </c>
      <c r="DS37" s="358">
        <v>43</v>
      </c>
      <c r="DT37" s="358">
        <v>45</v>
      </c>
      <c r="DU37" s="358">
        <v>48</v>
      </c>
      <c r="DV37" s="358">
        <v>49</v>
      </c>
      <c r="DW37" s="358">
        <v>55</v>
      </c>
      <c r="DX37" s="358">
        <v>58</v>
      </c>
      <c r="DY37" s="358">
        <v>64</v>
      </c>
      <c r="DZ37" s="358">
        <v>69</v>
      </c>
      <c r="EA37" s="358">
        <v>73</v>
      </c>
      <c r="EB37" s="358">
        <v>77</v>
      </c>
      <c r="EC37" s="358">
        <v>82</v>
      </c>
      <c r="ED37" s="358">
        <v>88</v>
      </c>
      <c r="EE37" s="358">
        <v>94</v>
      </c>
      <c r="EF37" s="358">
        <v>97</v>
      </c>
      <c r="EG37" s="358">
        <v>101</v>
      </c>
      <c r="EH37" s="358">
        <v>106</v>
      </c>
      <c r="EI37" s="358">
        <v>111</v>
      </c>
      <c r="EJ37" s="358">
        <v>115</v>
      </c>
      <c r="EK37" s="358">
        <v>120</v>
      </c>
      <c r="EL37" s="358">
        <v>124</v>
      </c>
      <c r="EM37" s="358">
        <v>111</v>
      </c>
      <c r="EN37" s="358">
        <v>123</v>
      </c>
      <c r="EO37" s="358">
        <v>134</v>
      </c>
      <c r="EP37" s="358">
        <v>144</v>
      </c>
      <c r="EQ37" s="358">
        <v>151</v>
      </c>
      <c r="ES37" s="358">
        <v>163</v>
      </c>
      <c r="ET37" s="358">
        <v>168</v>
      </c>
      <c r="EU37" s="358">
        <v>177</v>
      </c>
      <c r="EV37" s="358">
        <v>183</v>
      </c>
      <c r="EW37" s="358">
        <v>107</v>
      </c>
      <c r="EX37" s="358">
        <v>118</v>
      </c>
      <c r="EY37" s="358">
        <v>129</v>
      </c>
      <c r="EZ37" s="358">
        <v>145</v>
      </c>
      <c r="FA37" s="358">
        <v>153</v>
      </c>
      <c r="FB37" s="358">
        <v>163</v>
      </c>
      <c r="FC37" s="358">
        <v>177</v>
      </c>
      <c r="FD37" s="358">
        <v>189</v>
      </c>
      <c r="FE37" s="358">
        <v>196</v>
      </c>
      <c r="FF37" s="358">
        <v>201</v>
      </c>
      <c r="FG37" s="358">
        <v>213</v>
      </c>
      <c r="FH37" s="358">
        <v>222</v>
      </c>
      <c r="FI37" s="358">
        <v>233</v>
      </c>
      <c r="FJ37" s="358">
        <v>239</v>
      </c>
      <c r="FK37" s="358">
        <v>244</v>
      </c>
      <c r="FL37" s="358">
        <v>86</v>
      </c>
      <c r="FM37" s="358">
        <v>96</v>
      </c>
      <c r="FN37" s="358">
        <v>102</v>
      </c>
      <c r="FO37" s="358">
        <v>109</v>
      </c>
      <c r="FP37" s="358">
        <v>122</v>
      </c>
      <c r="FQ37" s="358">
        <v>137</v>
      </c>
      <c r="FR37" s="358">
        <v>145</v>
      </c>
      <c r="FS37" s="358">
        <v>152</v>
      </c>
      <c r="FT37" s="358">
        <v>159</v>
      </c>
      <c r="FU37" s="358">
        <v>166</v>
      </c>
      <c r="FV37" s="358">
        <v>176</v>
      </c>
      <c r="FW37" s="358">
        <v>107</v>
      </c>
      <c r="FX37" s="358">
        <v>154</v>
      </c>
      <c r="FY37" s="358">
        <v>161</v>
      </c>
      <c r="FZ37" s="358">
        <v>189</v>
      </c>
      <c r="GA37" s="358">
        <v>258</v>
      </c>
      <c r="GB37" s="358">
        <v>224</v>
      </c>
      <c r="GC37" s="358">
        <v>146</v>
      </c>
      <c r="GD37" s="358">
        <v>182</v>
      </c>
      <c r="GE37" s="358">
        <v>211</v>
      </c>
      <c r="GF37" s="358">
        <v>203</v>
      </c>
      <c r="GG37" s="358">
        <v>127</v>
      </c>
      <c r="GH37" s="358">
        <v>139</v>
      </c>
      <c r="GI37" s="361">
        <v>165</v>
      </c>
    </row>
    <row r="38" spans="1:191">
      <c r="A38" s="336" t="s">
        <v>461</v>
      </c>
      <c r="B38" s="358">
        <v>39</v>
      </c>
      <c r="C38" s="358">
        <v>43</v>
      </c>
      <c r="D38" s="358">
        <v>45</v>
      </c>
      <c r="E38" s="358">
        <v>46</v>
      </c>
      <c r="F38" s="358">
        <v>49</v>
      </c>
      <c r="G38" s="358">
        <v>52</v>
      </c>
      <c r="H38" s="358">
        <v>55</v>
      </c>
      <c r="I38" s="358">
        <v>57</v>
      </c>
      <c r="J38" s="358">
        <v>60</v>
      </c>
      <c r="K38" s="358">
        <v>64</v>
      </c>
      <c r="L38" s="358">
        <v>66</v>
      </c>
      <c r="M38" s="358">
        <v>69</v>
      </c>
      <c r="N38" s="358">
        <v>71</v>
      </c>
      <c r="O38" s="358">
        <v>76</v>
      </c>
      <c r="P38" s="358">
        <v>82</v>
      </c>
      <c r="Q38" s="358">
        <v>84</v>
      </c>
      <c r="R38" s="358">
        <v>87</v>
      </c>
      <c r="S38" s="358">
        <v>89</v>
      </c>
      <c r="T38" s="358">
        <v>92</v>
      </c>
      <c r="U38" s="358">
        <v>95</v>
      </c>
      <c r="V38" s="358">
        <v>37</v>
      </c>
      <c r="W38" s="358">
        <v>35</v>
      </c>
      <c r="X38" s="358">
        <v>33</v>
      </c>
      <c r="Y38" s="358">
        <v>31</v>
      </c>
      <c r="Z38" s="358">
        <v>29</v>
      </c>
      <c r="AA38" s="358">
        <v>28</v>
      </c>
      <c r="AB38" s="358">
        <v>26</v>
      </c>
      <c r="AC38" s="358">
        <v>23</v>
      </c>
      <c r="AD38" s="358">
        <v>21</v>
      </c>
      <c r="AE38" s="358">
        <v>16</v>
      </c>
      <c r="AF38" s="358">
        <v>11</v>
      </c>
      <c r="AG38" s="358">
        <v>6</v>
      </c>
      <c r="AH38" s="358">
        <v>5</v>
      </c>
      <c r="AI38" s="358">
        <v>4</v>
      </c>
      <c r="AK38" s="358">
        <v>6</v>
      </c>
      <c r="AL38" s="358">
        <v>12</v>
      </c>
      <c r="AM38" s="358">
        <v>17</v>
      </c>
      <c r="AN38" s="358">
        <v>23</v>
      </c>
      <c r="AO38" s="358">
        <v>27</v>
      </c>
      <c r="AP38" s="358">
        <v>33</v>
      </c>
      <c r="AQ38" s="358">
        <v>39</v>
      </c>
      <c r="AR38" s="358">
        <v>43</v>
      </c>
      <c r="AS38" s="358">
        <v>55</v>
      </c>
      <c r="AT38" s="358">
        <v>63</v>
      </c>
      <c r="AU38" s="358">
        <v>73</v>
      </c>
      <c r="AV38" s="358">
        <v>82</v>
      </c>
      <c r="AW38" s="358">
        <v>90</v>
      </c>
      <c r="AX38" s="358">
        <v>42</v>
      </c>
      <c r="AY38" s="358">
        <v>46</v>
      </c>
      <c r="AZ38" s="358">
        <v>47</v>
      </c>
      <c r="BA38" s="358">
        <v>48</v>
      </c>
      <c r="BB38" s="358">
        <v>49</v>
      </c>
      <c r="BC38" s="358">
        <v>52</v>
      </c>
      <c r="BD38" s="358">
        <v>56</v>
      </c>
      <c r="BE38" s="358">
        <v>58</v>
      </c>
      <c r="BF38" s="358">
        <v>59</v>
      </c>
      <c r="BG38" s="358">
        <v>62</v>
      </c>
      <c r="BH38" s="358">
        <v>63</v>
      </c>
      <c r="BI38" s="358">
        <v>64</v>
      </c>
      <c r="BJ38" s="358">
        <v>66</v>
      </c>
      <c r="BK38" s="358">
        <v>67</v>
      </c>
      <c r="BL38" s="358">
        <v>68</v>
      </c>
      <c r="BM38" s="358">
        <v>70</v>
      </c>
      <c r="BN38" s="358">
        <v>71</v>
      </c>
      <c r="BO38" s="358">
        <v>74</v>
      </c>
      <c r="BP38" s="358">
        <v>79</v>
      </c>
      <c r="BQ38" s="358">
        <v>83</v>
      </c>
      <c r="BR38" s="358">
        <v>93</v>
      </c>
      <c r="BS38" s="358">
        <v>100</v>
      </c>
      <c r="BT38" s="358">
        <v>104</v>
      </c>
      <c r="BU38" s="358">
        <v>107</v>
      </c>
      <c r="BV38" s="358">
        <v>44</v>
      </c>
      <c r="BW38" s="358">
        <v>45</v>
      </c>
      <c r="BX38" s="358">
        <v>48</v>
      </c>
      <c r="BY38" s="358">
        <v>52</v>
      </c>
      <c r="BZ38" s="358">
        <v>57</v>
      </c>
      <c r="CA38" s="358">
        <v>61</v>
      </c>
      <c r="CB38" s="358">
        <v>68</v>
      </c>
      <c r="CC38" s="358">
        <v>73</v>
      </c>
      <c r="CD38" s="358">
        <v>76</v>
      </c>
      <c r="CE38" s="358">
        <v>80</v>
      </c>
      <c r="CF38" s="358">
        <v>82</v>
      </c>
      <c r="CG38" s="358">
        <v>89</v>
      </c>
      <c r="CH38" s="358">
        <v>91</v>
      </c>
      <c r="CI38" s="358">
        <v>95</v>
      </c>
      <c r="CJ38" s="358">
        <v>98</v>
      </c>
      <c r="CK38" s="358">
        <v>105</v>
      </c>
      <c r="CL38" s="358">
        <v>111</v>
      </c>
      <c r="CM38" s="358">
        <v>115</v>
      </c>
      <c r="CN38" s="358">
        <v>120</v>
      </c>
      <c r="CO38" s="358">
        <v>127</v>
      </c>
      <c r="CP38" s="358">
        <v>138</v>
      </c>
      <c r="CQ38" s="358">
        <v>151</v>
      </c>
      <c r="CR38" s="358">
        <v>156</v>
      </c>
      <c r="CS38" s="358">
        <v>45</v>
      </c>
      <c r="CT38" s="358">
        <v>50</v>
      </c>
      <c r="CU38" s="358">
        <v>56</v>
      </c>
      <c r="CV38" s="358">
        <v>62</v>
      </c>
      <c r="CW38" s="358">
        <v>68</v>
      </c>
      <c r="CX38" s="358">
        <v>73</v>
      </c>
      <c r="CY38" s="358">
        <v>80</v>
      </c>
      <c r="CZ38" s="358">
        <v>83</v>
      </c>
      <c r="DA38" s="358">
        <v>87</v>
      </c>
      <c r="DB38" s="358">
        <v>92</v>
      </c>
      <c r="DC38" s="358">
        <v>103</v>
      </c>
      <c r="DD38" s="358">
        <v>113</v>
      </c>
      <c r="DE38" s="358">
        <v>117</v>
      </c>
      <c r="DF38" s="358">
        <v>123</v>
      </c>
      <c r="DG38" s="358">
        <v>132</v>
      </c>
      <c r="DH38" s="358">
        <v>137</v>
      </c>
      <c r="DI38" s="358">
        <v>144</v>
      </c>
      <c r="DJ38" s="358">
        <v>153</v>
      </c>
      <c r="DK38" s="358">
        <v>160</v>
      </c>
      <c r="DL38" s="358">
        <v>168</v>
      </c>
      <c r="DM38" s="358">
        <v>180</v>
      </c>
      <c r="DN38" s="358">
        <v>183</v>
      </c>
      <c r="DO38" s="358">
        <v>194</v>
      </c>
      <c r="DP38" s="358">
        <v>203</v>
      </c>
      <c r="DQ38" s="358">
        <v>38</v>
      </c>
      <c r="DR38" s="358">
        <v>43</v>
      </c>
      <c r="DS38" s="358">
        <v>47</v>
      </c>
      <c r="DT38" s="358">
        <v>49</v>
      </c>
      <c r="DU38" s="358">
        <v>52</v>
      </c>
      <c r="DV38" s="358">
        <v>53</v>
      </c>
      <c r="DW38" s="358">
        <v>59</v>
      </c>
      <c r="DX38" s="358">
        <v>62</v>
      </c>
      <c r="DY38" s="358">
        <v>68</v>
      </c>
      <c r="DZ38" s="358">
        <v>73</v>
      </c>
      <c r="EA38" s="358">
        <v>77</v>
      </c>
      <c r="EB38" s="358">
        <v>81</v>
      </c>
      <c r="EC38" s="358">
        <v>86</v>
      </c>
      <c r="ED38" s="358">
        <v>92</v>
      </c>
      <c r="EE38" s="358">
        <v>98</v>
      </c>
      <c r="EF38" s="358">
        <v>101</v>
      </c>
      <c r="EG38" s="358">
        <v>105</v>
      </c>
      <c r="EH38" s="358">
        <v>110</v>
      </c>
      <c r="EI38" s="358">
        <v>115</v>
      </c>
      <c r="EJ38" s="358">
        <v>119</v>
      </c>
      <c r="EK38" s="358">
        <v>124</v>
      </c>
      <c r="EL38" s="358">
        <v>128</v>
      </c>
      <c r="EM38" s="358">
        <v>107</v>
      </c>
      <c r="EN38" s="358">
        <v>119</v>
      </c>
      <c r="EO38" s="358">
        <v>130</v>
      </c>
      <c r="EP38" s="358">
        <v>140</v>
      </c>
      <c r="EQ38" s="358">
        <v>147</v>
      </c>
      <c r="ES38" s="358">
        <v>159</v>
      </c>
      <c r="ET38" s="358">
        <v>164</v>
      </c>
      <c r="EU38" s="358">
        <v>173</v>
      </c>
      <c r="EV38" s="358">
        <v>179</v>
      </c>
      <c r="EW38" s="358">
        <v>103</v>
      </c>
      <c r="EX38" s="358">
        <v>114</v>
      </c>
      <c r="EY38" s="358">
        <v>125</v>
      </c>
      <c r="EZ38" s="358">
        <v>141</v>
      </c>
      <c r="FA38" s="358">
        <v>149</v>
      </c>
      <c r="FB38" s="358">
        <v>159</v>
      </c>
      <c r="FC38" s="358">
        <v>173</v>
      </c>
      <c r="FD38" s="358">
        <v>185</v>
      </c>
      <c r="FE38" s="358">
        <v>192</v>
      </c>
      <c r="FF38" s="358">
        <v>197</v>
      </c>
      <c r="FG38" s="358">
        <v>209</v>
      </c>
      <c r="FH38" s="358">
        <v>218</v>
      </c>
      <c r="FI38" s="358">
        <v>229</v>
      </c>
      <c r="FJ38" s="358">
        <v>235</v>
      </c>
      <c r="FK38" s="358">
        <v>240</v>
      </c>
      <c r="FL38" s="358">
        <v>82</v>
      </c>
      <c r="FM38" s="358">
        <v>92</v>
      </c>
      <c r="FN38" s="358">
        <v>98</v>
      </c>
      <c r="FO38" s="358">
        <v>105</v>
      </c>
      <c r="FP38" s="358">
        <v>118</v>
      </c>
      <c r="FQ38" s="358">
        <v>133</v>
      </c>
      <c r="FR38" s="358">
        <v>141</v>
      </c>
      <c r="FS38" s="358">
        <v>148</v>
      </c>
      <c r="FT38" s="358">
        <v>155</v>
      </c>
      <c r="FU38" s="358">
        <v>162</v>
      </c>
      <c r="FV38" s="358">
        <v>172</v>
      </c>
      <c r="FW38" s="358">
        <v>111</v>
      </c>
      <c r="FX38" s="358">
        <v>158</v>
      </c>
      <c r="FY38" s="358">
        <v>165</v>
      </c>
      <c r="FZ38" s="358">
        <v>193</v>
      </c>
      <c r="GA38" s="358">
        <v>262</v>
      </c>
      <c r="GB38" s="358">
        <v>220</v>
      </c>
      <c r="GC38" s="358">
        <v>150</v>
      </c>
      <c r="GD38" s="358">
        <v>186</v>
      </c>
      <c r="GE38" s="358">
        <v>215</v>
      </c>
      <c r="GF38" s="358">
        <v>207</v>
      </c>
      <c r="GG38" s="358">
        <v>131</v>
      </c>
      <c r="GH38" s="358">
        <v>143</v>
      </c>
      <c r="GI38" s="361">
        <v>169</v>
      </c>
    </row>
    <row r="39" spans="1:191">
      <c r="A39" s="336" t="s">
        <v>460</v>
      </c>
      <c r="B39" s="358">
        <v>45</v>
      </c>
      <c r="C39" s="358">
        <v>49</v>
      </c>
      <c r="D39" s="358">
        <v>51</v>
      </c>
      <c r="E39" s="358">
        <v>52</v>
      </c>
      <c r="F39" s="358">
        <v>55</v>
      </c>
      <c r="G39" s="358">
        <v>58</v>
      </c>
      <c r="H39" s="358">
        <v>61</v>
      </c>
      <c r="I39" s="358">
        <v>63</v>
      </c>
      <c r="J39" s="358">
        <v>66</v>
      </c>
      <c r="K39" s="358">
        <v>70</v>
      </c>
      <c r="L39" s="358">
        <v>72</v>
      </c>
      <c r="M39" s="358">
        <v>75</v>
      </c>
      <c r="N39" s="358">
        <v>77</v>
      </c>
      <c r="O39" s="358">
        <v>82</v>
      </c>
      <c r="P39" s="358">
        <v>88</v>
      </c>
      <c r="Q39" s="358">
        <v>90</v>
      </c>
      <c r="R39" s="358">
        <v>93</v>
      </c>
      <c r="S39" s="358">
        <v>95</v>
      </c>
      <c r="T39" s="358">
        <v>98</v>
      </c>
      <c r="U39" s="358">
        <v>101</v>
      </c>
      <c r="V39" s="358">
        <v>43</v>
      </c>
      <c r="W39" s="358">
        <v>41</v>
      </c>
      <c r="X39" s="358">
        <v>39</v>
      </c>
      <c r="Y39" s="358">
        <v>37</v>
      </c>
      <c r="Z39" s="358">
        <v>35</v>
      </c>
      <c r="AA39" s="358">
        <v>34</v>
      </c>
      <c r="AB39" s="358">
        <v>32</v>
      </c>
      <c r="AC39" s="358">
        <v>29</v>
      </c>
      <c r="AD39" s="358">
        <v>27</v>
      </c>
      <c r="AE39" s="358">
        <v>22</v>
      </c>
      <c r="AF39" s="358">
        <v>17</v>
      </c>
      <c r="AG39" s="358">
        <v>12</v>
      </c>
      <c r="AH39" s="358">
        <v>11</v>
      </c>
      <c r="AI39" s="358">
        <v>10</v>
      </c>
      <c r="AJ39" s="358">
        <v>6</v>
      </c>
      <c r="AL39" s="358">
        <v>6</v>
      </c>
      <c r="AM39" s="358">
        <v>11</v>
      </c>
      <c r="AN39" s="358">
        <v>17</v>
      </c>
      <c r="AO39" s="358">
        <v>21</v>
      </c>
      <c r="AP39" s="358">
        <v>27</v>
      </c>
      <c r="AQ39" s="358">
        <v>33</v>
      </c>
      <c r="AR39" s="358">
        <v>37</v>
      </c>
      <c r="AS39" s="358">
        <v>49</v>
      </c>
      <c r="AT39" s="358">
        <v>57</v>
      </c>
      <c r="AU39" s="358">
        <v>67</v>
      </c>
      <c r="AV39" s="358">
        <v>76</v>
      </c>
      <c r="AW39" s="358">
        <v>84</v>
      </c>
      <c r="AX39" s="358">
        <v>48</v>
      </c>
      <c r="AY39" s="358">
        <v>52</v>
      </c>
      <c r="AZ39" s="358">
        <v>53</v>
      </c>
      <c r="BA39" s="358">
        <v>54</v>
      </c>
      <c r="BB39" s="358">
        <v>55</v>
      </c>
      <c r="BC39" s="358">
        <v>58</v>
      </c>
      <c r="BD39" s="358">
        <v>62</v>
      </c>
      <c r="BE39" s="358">
        <v>64</v>
      </c>
      <c r="BF39" s="358">
        <v>65</v>
      </c>
      <c r="BG39" s="358">
        <v>68</v>
      </c>
      <c r="BH39" s="358">
        <v>69</v>
      </c>
      <c r="BI39" s="358">
        <v>70</v>
      </c>
      <c r="BJ39" s="358">
        <v>72</v>
      </c>
      <c r="BK39" s="358">
        <v>73</v>
      </c>
      <c r="BL39" s="358">
        <v>74</v>
      </c>
      <c r="BM39" s="358">
        <v>76</v>
      </c>
      <c r="BN39" s="358">
        <v>77</v>
      </c>
      <c r="BO39" s="358">
        <v>80</v>
      </c>
      <c r="BP39" s="358">
        <v>85</v>
      </c>
      <c r="BQ39" s="358">
        <v>89</v>
      </c>
      <c r="BR39" s="358">
        <v>99</v>
      </c>
      <c r="BS39" s="358">
        <v>106</v>
      </c>
      <c r="BT39" s="358">
        <v>110</v>
      </c>
      <c r="BU39" s="358">
        <v>113</v>
      </c>
      <c r="BV39" s="358">
        <v>50</v>
      </c>
      <c r="BW39" s="358">
        <v>51</v>
      </c>
      <c r="BX39" s="358">
        <v>54</v>
      </c>
      <c r="BY39" s="358">
        <v>58</v>
      </c>
      <c r="BZ39" s="358">
        <v>63</v>
      </c>
      <c r="CA39" s="358">
        <v>67</v>
      </c>
      <c r="CB39" s="358">
        <v>74</v>
      </c>
      <c r="CC39" s="358">
        <v>79</v>
      </c>
      <c r="CD39" s="358">
        <v>82</v>
      </c>
      <c r="CE39" s="358">
        <v>86</v>
      </c>
      <c r="CF39" s="358">
        <v>88</v>
      </c>
      <c r="CG39" s="358">
        <v>95</v>
      </c>
      <c r="CH39" s="358">
        <v>97</v>
      </c>
      <c r="CI39" s="358">
        <v>101</v>
      </c>
      <c r="CJ39" s="358">
        <v>104</v>
      </c>
      <c r="CK39" s="358">
        <v>111</v>
      </c>
      <c r="CL39" s="358">
        <v>117</v>
      </c>
      <c r="CM39" s="358">
        <v>121</v>
      </c>
      <c r="CN39" s="358">
        <v>126</v>
      </c>
      <c r="CO39" s="358">
        <v>133</v>
      </c>
      <c r="CP39" s="358">
        <v>144</v>
      </c>
      <c r="CQ39" s="358">
        <v>157</v>
      </c>
      <c r="CR39" s="358">
        <v>162</v>
      </c>
      <c r="CS39" s="358">
        <v>51</v>
      </c>
      <c r="CT39" s="358">
        <v>56</v>
      </c>
      <c r="CU39" s="358">
        <v>62</v>
      </c>
      <c r="CV39" s="358">
        <v>68</v>
      </c>
      <c r="CW39" s="358">
        <v>74</v>
      </c>
      <c r="CX39" s="358">
        <v>79</v>
      </c>
      <c r="CY39" s="358">
        <v>86</v>
      </c>
      <c r="CZ39" s="358">
        <v>89</v>
      </c>
      <c r="DA39" s="358">
        <v>93</v>
      </c>
      <c r="DB39" s="358">
        <v>98</v>
      </c>
      <c r="DC39" s="358">
        <v>109</v>
      </c>
      <c r="DD39" s="358">
        <v>119</v>
      </c>
      <c r="DE39" s="358">
        <v>123</v>
      </c>
      <c r="DF39" s="358">
        <v>129</v>
      </c>
      <c r="DG39" s="358">
        <v>138</v>
      </c>
      <c r="DH39" s="358">
        <v>143</v>
      </c>
      <c r="DI39" s="358">
        <v>150</v>
      </c>
      <c r="DJ39" s="358">
        <v>159</v>
      </c>
      <c r="DK39" s="358">
        <v>166</v>
      </c>
      <c r="DL39" s="358">
        <v>174</v>
      </c>
      <c r="DM39" s="358">
        <v>186</v>
      </c>
      <c r="DN39" s="358">
        <v>189</v>
      </c>
      <c r="DO39" s="358">
        <v>200</v>
      </c>
      <c r="DP39" s="358">
        <v>209</v>
      </c>
      <c r="DQ39" s="358">
        <v>44</v>
      </c>
      <c r="DR39" s="358">
        <v>49</v>
      </c>
      <c r="DS39" s="358">
        <v>53</v>
      </c>
      <c r="DT39" s="358">
        <v>55</v>
      </c>
      <c r="DU39" s="358">
        <v>58</v>
      </c>
      <c r="DV39" s="358">
        <v>59</v>
      </c>
      <c r="DW39" s="358">
        <v>65</v>
      </c>
      <c r="DX39" s="358">
        <v>68</v>
      </c>
      <c r="DY39" s="358">
        <v>74</v>
      </c>
      <c r="DZ39" s="358">
        <v>79</v>
      </c>
      <c r="EA39" s="358">
        <v>83</v>
      </c>
      <c r="EB39" s="358">
        <v>87</v>
      </c>
      <c r="EC39" s="358">
        <v>92</v>
      </c>
      <c r="ED39" s="358">
        <v>98</v>
      </c>
      <c r="EE39" s="358">
        <v>104</v>
      </c>
      <c r="EF39" s="358">
        <v>107</v>
      </c>
      <c r="EG39" s="358">
        <v>111</v>
      </c>
      <c r="EH39" s="358">
        <v>116</v>
      </c>
      <c r="EI39" s="358">
        <v>121</v>
      </c>
      <c r="EJ39" s="358">
        <v>125</v>
      </c>
      <c r="EK39" s="358">
        <v>130</v>
      </c>
      <c r="EL39" s="358">
        <v>134</v>
      </c>
      <c r="EM39" s="358">
        <v>101</v>
      </c>
      <c r="EN39" s="358">
        <v>113</v>
      </c>
      <c r="EO39" s="358">
        <v>124</v>
      </c>
      <c r="EP39" s="358">
        <v>134</v>
      </c>
      <c r="EQ39" s="358">
        <v>141</v>
      </c>
      <c r="ES39" s="358">
        <v>153</v>
      </c>
      <c r="ET39" s="358">
        <v>158</v>
      </c>
      <c r="EU39" s="358">
        <v>167</v>
      </c>
      <c r="EV39" s="358">
        <v>173</v>
      </c>
      <c r="EW39" s="358">
        <v>97</v>
      </c>
      <c r="EX39" s="358">
        <v>108</v>
      </c>
      <c r="EY39" s="358">
        <v>119</v>
      </c>
      <c r="EZ39" s="358">
        <v>135</v>
      </c>
      <c r="FA39" s="358">
        <v>143</v>
      </c>
      <c r="FB39" s="358">
        <v>153</v>
      </c>
      <c r="FC39" s="358">
        <v>167</v>
      </c>
      <c r="FD39" s="358">
        <v>179</v>
      </c>
      <c r="FE39" s="358">
        <v>186</v>
      </c>
      <c r="FF39" s="358">
        <v>191</v>
      </c>
      <c r="FG39" s="358">
        <v>203</v>
      </c>
      <c r="FH39" s="358">
        <v>212</v>
      </c>
      <c r="FI39" s="358">
        <v>223</v>
      </c>
      <c r="FJ39" s="358">
        <v>229</v>
      </c>
      <c r="FK39" s="358">
        <v>234</v>
      </c>
      <c r="FL39" s="358">
        <v>76</v>
      </c>
      <c r="FM39" s="358">
        <v>86</v>
      </c>
      <c r="FN39" s="358">
        <v>92</v>
      </c>
      <c r="FO39" s="358">
        <v>99</v>
      </c>
      <c r="FP39" s="358">
        <v>112</v>
      </c>
      <c r="FQ39" s="358">
        <v>127</v>
      </c>
      <c r="FR39" s="358">
        <v>135</v>
      </c>
      <c r="FS39" s="358">
        <v>142</v>
      </c>
      <c r="FT39" s="358">
        <v>149</v>
      </c>
      <c r="FU39" s="358">
        <v>156</v>
      </c>
      <c r="FV39" s="358">
        <v>166</v>
      </c>
      <c r="FW39" s="358">
        <v>117</v>
      </c>
      <c r="FX39" s="358">
        <v>164</v>
      </c>
      <c r="FY39" s="358">
        <v>171</v>
      </c>
      <c r="FZ39" s="358">
        <v>199</v>
      </c>
      <c r="GA39" s="358">
        <v>268</v>
      </c>
      <c r="GB39" s="358">
        <v>214</v>
      </c>
      <c r="GC39" s="358">
        <v>156</v>
      </c>
      <c r="GD39" s="358">
        <v>192</v>
      </c>
      <c r="GE39" s="358">
        <v>221</v>
      </c>
      <c r="GF39" s="358">
        <v>213</v>
      </c>
      <c r="GG39" s="358">
        <v>137</v>
      </c>
      <c r="GH39" s="358">
        <v>149</v>
      </c>
      <c r="GI39" s="361">
        <v>175</v>
      </c>
    </row>
    <row r="40" spans="1:191">
      <c r="A40" s="336" t="s">
        <v>459</v>
      </c>
      <c r="B40" s="358">
        <v>51</v>
      </c>
      <c r="C40" s="358">
        <v>55</v>
      </c>
      <c r="D40" s="358">
        <v>57</v>
      </c>
      <c r="E40" s="358">
        <v>58</v>
      </c>
      <c r="F40" s="358">
        <v>61</v>
      </c>
      <c r="G40" s="358">
        <v>64</v>
      </c>
      <c r="H40" s="358">
        <v>67</v>
      </c>
      <c r="I40" s="358">
        <v>69</v>
      </c>
      <c r="J40" s="358">
        <v>72</v>
      </c>
      <c r="K40" s="358">
        <v>76</v>
      </c>
      <c r="L40" s="358">
        <v>78</v>
      </c>
      <c r="M40" s="358">
        <v>81</v>
      </c>
      <c r="N40" s="358">
        <v>83</v>
      </c>
      <c r="O40" s="358">
        <v>88</v>
      </c>
      <c r="P40" s="358">
        <v>94</v>
      </c>
      <c r="Q40" s="358">
        <v>96</v>
      </c>
      <c r="R40" s="358">
        <v>99</v>
      </c>
      <c r="S40" s="358">
        <v>101</v>
      </c>
      <c r="T40" s="358">
        <v>104</v>
      </c>
      <c r="U40" s="358">
        <v>107</v>
      </c>
      <c r="V40" s="358">
        <v>49</v>
      </c>
      <c r="W40" s="358">
        <v>47</v>
      </c>
      <c r="X40" s="358">
        <v>45</v>
      </c>
      <c r="Y40" s="358">
        <v>43</v>
      </c>
      <c r="Z40" s="358">
        <v>41</v>
      </c>
      <c r="AA40" s="358">
        <v>40</v>
      </c>
      <c r="AB40" s="358">
        <v>38</v>
      </c>
      <c r="AC40" s="358">
        <v>35</v>
      </c>
      <c r="AD40" s="358">
        <v>33</v>
      </c>
      <c r="AE40" s="358">
        <v>28</v>
      </c>
      <c r="AF40" s="358">
        <v>23</v>
      </c>
      <c r="AG40" s="358">
        <v>18</v>
      </c>
      <c r="AH40" s="358">
        <v>17</v>
      </c>
      <c r="AI40" s="358">
        <v>16</v>
      </c>
      <c r="AJ40" s="358">
        <v>12</v>
      </c>
      <c r="AK40" s="358">
        <v>6</v>
      </c>
      <c r="AM40" s="358">
        <v>5</v>
      </c>
      <c r="AN40" s="358">
        <v>11</v>
      </c>
      <c r="AO40" s="358">
        <v>15</v>
      </c>
      <c r="AP40" s="358">
        <v>21</v>
      </c>
      <c r="AQ40" s="358">
        <v>27</v>
      </c>
      <c r="AR40" s="358">
        <v>31</v>
      </c>
      <c r="AS40" s="358">
        <v>43</v>
      </c>
      <c r="AT40" s="358">
        <v>51</v>
      </c>
      <c r="AU40" s="358">
        <v>61</v>
      </c>
      <c r="AV40" s="358">
        <v>70</v>
      </c>
      <c r="AW40" s="358">
        <v>78</v>
      </c>
      <c r="AX40" s="358">
        <v>54</v>
      </c>
      <c r="AY40" s="358">
        <v>58</v>
      </c>
      <c r="AZ40" s="358">
        <v>59</v>
      </c>
      <c r="BA40" s="358">
        <v>60</v>
      </c>
      <c r="BB40" s="358">
        <v>61</v>
      </c>
      <c r="BC40" s="358">
        <v>64</v>
      </c>
      <c r="BD40" s="358">
        <v>68</v>
      </c>
      <c r="BE40" s="358">
        <v>70</v>
      </c>
      <c r="BF40" s="358">
        <v>71</v>
      </c>
      <c r="BG40" s="358">
        <v>74</v>
      </c>
      <c r="BH40" s="358">
        <v>75</v>
      </c>
      <c r="BI40" s="358">
        <v>76</v>
      </c>
      <c r="BJ40" s="358">
        <v>78</v>
      </c>
      <c r="BK40" s="358">
        <v>79</v>
      </c>
      <c r="BL40" s="358">
        <v>80</v>
      </c>
      <c r="BM40" s="358">
        <v>82</v>
      </c>
      <c r="BN40" s="358">
        <v>83</v>
      </c>
      <c r="BO40" s="358">
        <v>86</v>
      </c>
      <c r="BP40" s="358">
        <v>91</v>
      </c>
      <c r="BQ40" s="358">
        <v>95</v>
      </c>
      <c r="BR40" s="358">
        <v>105</v>
      </c>
      <c r="BS40" s="358">
        <v>112</v>
      </c>
      <c r="BT40" s="358">
        <v>116</v>
      </c>
      <c r="BU40" s="358">
        <v>119</v>
      </c>
      <c r="BV40" s="358">
        <v>56</v>
      </c>
      <c r="BW40" s="358">
        <v>57</v>
      </c>
      <c r="BX40" s="358">
        <v>60</v>
      </c>
      <c r="BY40" s="358">
        <v>64</v>
      </c>
      <c r="BZ40" s="358">
        <v>69</v>
      </c>
      <c r="CA40" s="358">
        <v>73</v>
      </c>
      <c r="CB40" s="358">
        <v>80</v>
      </c>
      <c r="CC40" s="358">
        <v>85</v>
      </c>
      <c r="CD40" s="358">
        <v>88</v>
      </c>
      <c r="CE40" s="358">
        <v>92</v>
      </c>
      <c r="CF40" s="358">
        <v>94</v>
      </c>
      <c r="CG40" s="358">
        <v>101</v>
      </c>
      <c r="CH40" s="358">
        <v>103</v>
      </c>
      <c r="CI40" s="358">
        <v>107</v>
      </c>
      <c r="CJ40" s="358">
        <v>110</v>
      </c>
      <c r="CK40" s="358">
        <v>117</v>
      </c>
      <c r="CL40" s="358">
        <v>123</v>
      </c>
      <c r="CM40" s="358">
        <v>127</v>
      </c>
      <c r="CN40" s="358">
        <v>132</v>
      </c>
      <c r="CO40" s="358">
        <v>139</v>
      </c>
      <c r="CP40" s="358">
        <v>150</v>
      </c>
      <c r="CQ40" s="358">
        <v>163</v>
      </c>
      <c r="CR40" s="358">
        <v>168</v>
      </c>
      <c r="CS40" s="358">
        <v>57</v>
      </c>
      <c r="CT40" s="358">
        <v>62</v>
      </c>
      <c r="CU40" s="358">
        <v>68</v>
      </c>
      <c r="CV40" s="358">
        <v>74</v>
      </c>
      <c r="CW40" s="358">
        <v>80</v>
      </c>
      <c r="CX40" s="358">
        <v>85</v>
      </c>
      <c r="CY40" s="358">
        <v>92</v>
      </c>
      <c r="CZ40" s="358">
        <v>95</v>
      </c>
      <c r="DA40" s="358">
        <v>99</v>
      </c>
      <c r="DB40" s="358">
        <v>104</v>
      </c>
      <c r="DC40" s="358">
        <v>115</v>
      </c>
      <c r="DD40" s="358">
        <v>125</v>
      </c>
      <c r="DE40" s="358">
        <v>129</v>
      </c>
      <c r="DF40" s="358">
        <v>135</v>
      </c>
      <c r="DG40" s="358">
        <v>144</v>
      </c>
      <c r="DH40" s="358">
        <v>149</v>
      </c>
      <c r="DI40" s="358">
        <v>156</v>
      </c>
      <c r="DJ40" s="358">
        <v>165</v>
      </c>
      <c r="DK40" s="358">
        <v>172</v>
      </c>
      <c r="DL40" s="358">
        <v>180</v>
      </c>
      <c r="DM40" s="358">
        <v>192</v>
      </c>
      <c r="DN40" s="358">
        <v>195</v>
      </c>
      <c r="DO40" s="358">
        <v>206</v>
      </c>
      <c r="DP40" s="358">
        <v>215</v>
      </c>
      <c r="DQ40" s="358">
        <v>50</v>
      </c>
      <c r="DR40" s="358">
        <v>55</v>
      </c>
      <c r="DS40" s="358">
        <v>59</v>
      </c>
      <c r="DT40" s="358">
        <v>61</v>
      </c>
      <c r="DU40" s="358">
        <v>64</v>
      </c>
      <c r="DV40" s="358">
        <v>65</v>
      </c>
      <c r="DW40" s="358">
        <v>71</v>
      </c>
      <c r="DX40" s="358">
        <v>74</v>
      </c>
      <c r="DY40" s="358">
        <v>80</v>
      </c>
      <c r="DZ40" s="358">
        <v>85</v>
      </c>
      <c r="EA40" s="358">
        <v>89</v>
      </c>
      <c r="EB40" s="358">
        <v>93</v>
      </c>
      <c r="EC40" s="358">
        <v>98</v>
      </c>
      <c r="ED40" s="358">
        <v>104</v>
      </c>
      <c r="EE40" s="358">
        <v>110</v>
      </c>
      <c r="EF40" s="358">
        <v>113</v>
      </c>
      <c r="EG40" s="358">
        <v>117</v>
      </c>
      <c r="EH40" s="358">
        <v>122</v>
      </c>
      <c r="EI40" s="358">
        <v>127</v>
      </c>
      <c r="EJ40" s="358">
        <v>131</v>
      </c>
      <c r="EK40" s="358">
        <v>136</v>
      </c>
      <c r="EL40" s="358">
        <v>140</v>
      </c>
      <c r="EM40" s="358">
        <v>95</v>
      </c>
      <c r="EN40" s="358">
        <v>107</v>
      </c>
      <c r="EO40" s="358">
        <v>118</v>
      </c>
      <c r="EP40" s="358">
        <v>128</v>
      </c>
      <c r="EQ40" s="358">
        <v>135</v>
      </c>
      <c r="ES40" s="358">
        <v>147</v>
      </c>
      <c r="ET40" s="358">
        <v>152</v>
      </c>
      <c r="EU40" s="358">
        <v>161</v>
      </c>
      <c r="EV40" s="358">
        <v>167</v>
      </c>
      <c r="EW40" s="358">
        <v>91</v>
      </c>
      <c r="EX40" s="358">
        <v>102</v>
      </c>
      <c r="EY40" s="358">
        <v>113</v>
      </c>
      <c r="EZ40" s="358">
        <v>129</v>
      </c>
      <c r="FA40" s="358">
        <v>137</v>
      </c>
      <c r="FB40" s="358">
        <v>147</v>
      </c>
      <c r="FC40" s="358">
        <v>161</v>
      </c>
      <c r="FD40" s="358">
        <v>173</v>
      </c>
      <c r="FE40" s="358">
        <v>180</v>
      </c>
      <c r="FF40" s="358">
        <v>185</v>
      </c>
      <c r="FG40" s="358">
        <v>197</v>
      </c>
      <c r="FH40" s="358">
        <v>206</v>
      </c>
      <c r="FI40" s="358">
        <v>217</v>
      </c>
      <c r="FJ40" s="358">
        <v>223</v>
      </c>
      <c r="FK40" s="358">
        <v>228</v>
      </c>
      <c r="FL40" s="358">
        <v>70</v>
      </c>
      <c r="FM40" s="358">
        <v>80</v>
      </c>
      <c r="FN40" s="358">
        <v>86</v>
      </c>
      <c r="FO40" s="358">
        <v>93</v>
      </c>
      <c r="FP40" s="358">
        <v>106</v>
      </c>
      <c r="FQ40" s="358">
        <v>121</v>
      </c>
      <c r="FR40" s="358">
        <v>129</v>
      </c>
      <c r="FS40" s="358">
        <v>136</v>
      </c>
      <c r="FT40" s="358">
        <v>143</v>
      </c>
      <c r="FU40" s="358">
        <v>150</v>
      </c>
      <c r="FV40" s="358">
        <v>160</v>
      </c>
      <c r="FW40" s="358">
        <v>123</v>
      </c>
      <c r="FX40" s="358">
        <v>170</v>
      </c>
      <c r="FY40" s="358">
        <v>177</v>
      </c>
      <c r="FZ40" s="358">
        <v>205</v>
      </c>
      <c r="GA40" s="358">
        <v>274</v>
      </c>
      <c r="GB40" s="358">
        <v>208</v>
      </c>
      <c r="GC40" s="358">
        <v>162</v>
      </c>
      <c r="GD40" s="358">
        <v>198</v>
      </c>
      <c r="GE40" s="358">
        <v>227</v>
      </c>
      <c r="GF40" s="358">
        <v>219</v>
      </c>
      <c r="GG40" s="358">
        <v>143</v>
      </c>
      <c r="GH40" s="358">
        <v>155</v>
      </c>
      <c r="GI40" s="361">
        <v>181</v>
      </c>
    </row>
    <row r="41" spans="1:191">
      <c r="A41" s="336" t="s">
        <v>458</v>
      </c>
      <c r="B41" s="358">
        <v>56</v>
      </c>
      <c r="C41" s="358">
        <v>60</v>
      </c>
      <c r="D41" s="358">
        <v>62</v>
      </c>
      <c r="E41" s="358">
        <v>63</v>
      </c>
      <c r="F41" s="358">
        <v>66</v>
      </c>
      <c r="G41" s="358">
        <v>69</v>
      </c>
      <c r="H41" s="358">
        <v>72</v>
      </c>
      <c r="I41" s="358">
        <v>74</v>
      </c>
      <c r="J41" s="358">
        <v>77</v>
      </c>
      <c r="K41" s="358">
        <v>81</v>
      </c>
      <c r="L41" s="358">
        <v>83</v>
      </c>
      <c r="M41" s="358">
        <v>86</v>
      </c>
      <c r="N41" s="358">
        <v>88</v>
      </c>
      <c r="O41" s="358">
        <v>93</v>
      </c>
      <c r="P41" s="358">
        <v>99</v>
      </c>
      <c r="Q41" s="358">
        <v>101</v>
      </c>
      <c r="R41" s="358">
        <v>104</v>
      </c>
      <c r="S41" s="358">
        <v>106</v>
      </c>
      <c r="T41" s="358">
        <v>109</v>
      </c>
      <c r="U41" s="358">
        <v>112</v>
      </c>
      <c r="V41" s="358">
        <v>54</v>
      </c>
      <c r="W41" s="358">
        <v>52</v>
      </c>
      <c r="X41" s="358">
        <v>50</v>
      </c>
      <c r="Y41" s="358">
        <v>48</v>
      </c>
      <c r="Z41" s="358">
        <v>46</v>
      </c>
      <c r="AA41" s="358">
        <v>45</v>
      </c>
      <c r="AB41" s="358">
        <v>43</v>
      </c>
      <c r="AC41" s="358">
        <v>40</v>
      </c>
      <c r="AD41" s="358">
        <v>38</v>
      </c>
      <c r="AE41" s="358">
        <v>33</v>
      </c>
      <c r="AF41" s="358">
        <v>28</v>
      </c>
      <c r="AG41" s="358">
        <v>23</v>
      </c>
      <c r="AH41" s="358">
        <v>22</v>
      </c>
      <c r="AI41" s="358">
        <v>21</v>
      </c>
      <c r="AJ41" s="358">
        <v>17</v>
      </c>
      <c r="AK41" s="358">
        <v>11</v>
      </c>
      <c r="AL41" s="358">
        <v>5</v>
      </c>
      <c r="AN41" s="358">
        <v>6</v>
      </c>
      <c r="AO41" s="358">
        <v>10</v>
      </c>
      <c r="AP41" s="358">
        <v>16</v>
      </c>
      <c r="AQ41" s="358">
        <v>22</v>
      </c>
      <c r="AR41" s="358">
        <v>26</v>
      </c>
      <c r="AS41" s="358">
        <v>38</v>
      </c>
      <c r="AT41" s="358">
        <v>46</v>
      </c>
      <c r="AU41" s="358">
        <v>56</v>
      </c>
      <c r="AV41" s="358">
        <v>65</v>
      </c>
      <c r="AW41" s="358">
        <v>73</v>
      </c>
      <c r="AX41" s="358">
        <v>59</v>
      </c>
      <c r="AY41" s="358">
        <v>63</v>
      </c>
      <c r="AZ41" s="358">
        <v>64</v>
      </c>
      <c r="BA41" s="358">
        <v>65</v>
      </c>
      <c r="BB41" s="358">
        <v>66</v>
      </c>
      <c r="BC41" s="358">
        <v>69</v>
      </c>
      <c r="BD41" s="358">
        <v>73</v>
      </c>
      <c r="BE41" s="358">
        <v>75</v>
      </c>
      <c r="BF41" s="358">
        <v>76</v>
      </c>
      <c r="BG41" s="358">
        <v>79</v>
      </c>
      <c r="BH41" s="358">
        <v>80</v>
      </c>
      <c r="BI41" s="358">
        <v>81</v>
      </c>
      <c r="BJ41" s="358">
        <v>83</v>
      </c>
      <c r="BK41" s="358">
        <v>84</v>
      </c>
      <c r="BL41" s="358">
        <v>85</v>
      </c>
      <c r="BM41" s="358">
        <v>87</v>
      </c>
      <c r="BN41" s="358">
        <v>88</v>
      </c>
      <c r="BO41" s="358">
        <v>91</v>
      </c>
      <c r="BP41" s="358">
        <v>96</v>
      </c>
      <c r="BQ41" s="358">
        <v>100</v>
      </c>
      <c r="BR41" s="358">
        <v>110</v>
      </c>
      <c r="BS41" s="358">
        <v>117</v>
      </c>
      <c r="BT41" s="358">
        <v>121</v>
      </c>
      <c r="BU41" s="358">
        <v>124</v>
      </c>
      <c r="BV41" s="358">
        <v>61</v>
      </c>
      <c r="BW41" s="358">
        <v>62</v>
      </c>
      <c r="BX41" s="358">
        <v>65</v>
      </c>
      <c r="BY41" s="358">
        <v>69</v>
      </c>
      <c r="BZ41" s="358">
        <v>74</v>
      </c>
      <c r="CA41" s="358">
        <v>78</v>
      </c>
      <c r="CB41" s="358">
        <v>85</v>
      </c>
      <c r="CC41" s="358">
        <v>90</v>
      </c>
      <c r="CD41" s="358">
        <v>93</v>
      </c>
      <c r="CE41" s="358">
        <v>97</v>
      </c>
      <c r="CF41" s="358">
        <v>99</v>
      </c>
      <c r="CG41" s="358">
        <v>106</v>
      </c>
      <c r="CH41" s="358">
        <v>108</v>
      </c>
      <c r="CI41" s="358">
        <v>112</v>
      </c>
      <c r="CJ41" s="358">
        <v>115</v>
      </c>
      <c r="CK41" s="358">
        <v>122</v>
      </c>
      <c r="CL41" s="358">
        <v>128</v>
      </c>
      <c r="CM41" s="358">
        <v>132</v>
      </c>
      <c r="CN41" s="358">
        <v>137</v>
      </c>
      <c r="CO41" s="358">
        <v>144</v>
      </c>
      <c r="CP41" s="358">
        <v>155</v>
      </c>
      <c r="CQ41" s="358">
        <v>168</v>
      </c>
      <c r="CR41" s="358">
        <v>173</v>
      </c>
      <c r="CS41" s="358">
        <v>62</v>
      </c>
      <c r="CT41" s="358">
        <v>67</v>
      </c>
      <c r="CU41" s="358">
        <v>73</v>
      </c>
      <c r="CV41" s="358">
        <v>79</v>
      </c>
      <c r="CW41" s="358">
        <v>85</v>
      </c>
      <c r="CX41" s="358">
        <v>90</v>
      </c>
      <c r="CY41" s="358">
        <v>97</v>
      </c>
      <c r="CZ41" s="358">
        <v>100</v>
      </c>
      <c r="DA41" s="358">
        <v>104</v>
      </c>
      <c r="DB41" s="358">
        <v>109</v>
      </c>
      <c r="DC41" s="358">
        <v>120</v>
      </c>
      <c r="DD41" s="358">
        <v>130</v>
      </c>
      <c r="DE41" s="358">
        <v>134</v>
      </c>
      <c r="DF41" s="358">
        <v>140</v>
      </c>
      <c r="DG41" s="358">
        <v>149</v>
      </c>
      <c r="DH41" s="358">
        <v>154</v>
      </c>
      <c r="DI41" s="358">
        <v>161</v>
      </c>
      <c r="DJ41" s="358">
        <v>170</v>
      </c>
      <c r="DK41" s="358">
        <v>177</v>
      </c>
      <c r="DL41" s="358">
        <v>185</v>
      </c>
      <c r="DM41" s="358">
        <v>197</v>
      </c>
      <c r="DN41" s="358">
        <v>200</v>
      </c>
      <c r="DO41" s="358">
        <v>211</v>
      </c>
      <c r="DP41" s="358">
        <v>220</v>
      </c>
      <c r="DQ41" s="358">
        <v>55</v>
      </c>
      <c r="DR41" s="358">
        <v>60</v>
      </c>
      <c r="DS41" s="358">
        <v>64</v>
      </c>
      <c r="DT41" s="358">
        <v>66</v>
      </c>
      <c r="DU41" s="358">
        <v>69</v>
      </c>
      <c r="DV41" s="358">
        <v>70</v>
      </c>
      <c r="DW41" s="358">
        <v>76</v>
      </c>
      <c r="DX41" s="358">
        <v>79</v>
      </c>
      <c r="DY41" s="358">
        <v>85</v>
      </c>
      <c r="DZ41" s="358">
        <v>90</v>
      </c>
      <c r="EA41" s="358">
        <v>94</v>
      </c>
      <c r="EB41" s="358">
        <v>98</v>
      </c>
      <c r="EC41" s="358">
        <v>103</v>
      </c>
      <c r="ED41" s="358">
        <v>109</v>
      </c>
      <c r="EE41" s="358">
        <v>115</v>
      </c>
      <c r="EF41" s="358">
        <v>118</v>
      </c>
      <c r="EG41" s="358">
        <v>122</v>
      </c>
      <c r="EH41" s="358">
        <v>127</v>
      </c>
      <c r="EI41" s="358">
        <v>132</v>
      </c>
      <c r="EJ41" s="358">
        <v>136</v>
      </c>
      <c r="EK41" s="358">
        <v>141</v>
      </c>
      <c r="EL41" s="358">
        <v>145</v>
      </c>
      <c r="EM41" s="358">
        <v>90</v>
      </c>
      <c r="EN41" s="358">
        <v>102</v>
      </c>
      <c r="EO41" s="358">
        <v>113</v>
      </c>
      <c r="EP41" s="358">
        <v>123</v>
      </c>
      <c r="EQ41" s="358">
        <v>130</v>
      </c>
      <c r="ES41" s="358">
        <v>142</v>
      </c>
      <c r="ET41" s="358">
        <v>147</v>
      </c>
      <c r="EU41" s="358">
        <v>156</v>
      </c>
      <c r="EV41" s="358">
        <v>162</v>
      </c>
      <c r="EW41" s="358">
        <v>86</v>
      </c>
      <c r="EX41" s="358">
        <v>97</v>
      </c>
      <c r="EY41" s="358">
        <v>108</v>
      </c>
      <c r="EZ41" s="358">
        <v>124</v>
      </c>
      <c r="FA41" s="358">
        <v>132</v>
      </c>
      <c r="FB41" s="358">
        <v>142</v>
      </c>
      <c r="FC41" s="358">
        <v>156</v>
      </c>
      <c r="FD41" s="358">
        <v>168</v>
      </c>
      <c r="FE41" s="358">
        <v>175</v>
      </c>
      <c r="FF41" s="358">
        <v>180</v>
      </c>
      <c r="FG41" s="358">
        <v>192</v>
      </c>
      <c r="FH41" s="358">
        <v>201</v>
      </c>
      <c r="FI41" s="358">
        <v>212</v>
      </c>
      <c r="FJ41" s="358">
        <v>218</v>
      </c>
      <c r="FK41" s="358">
        <v>223</v>
      </c>
      <c r="FL41" s="358">
        <v>65</v>
      </c>
      <c r="FM41" s="358">
        <v>75</v>
      </c>
      <c r="FN41" s="358">
        <v>81</v>
      </c>
      <c r="FO41" s="358">
        <v>88</v>
      </c>
      <c r="FP41" s="358">
        <v>101</v>
      </c>
      <c r="FQ41" s="358">
        <v>116</v>
      </c>
      <c r="FR41" s="358">
        <v>124</v>
      </c>
      <c r="FS41" s="358">
        <v>131</v>
      </c>
      <c r="FT41" s="358">
        <v>138</v>
      </c>
      <c r="FU41" s="358">
        <v>145</v>
      </c>
      <c r="FV41" s="358">
        <v>155</v>
      </c>
      <c r="FW41" s="358">
        <v>128</v>
      </c>
      <c r="FX41" s="358">
        <v>175</v>
      </c>
      <c r="FY41" s="358">
        <v>182</v>
      </c>
      <c r="FZ41" s="358">
        <v>210</v>
      </c>
      <c r="GA41" s="358">
        <v>279</v>
      </c>
      <c r="GB41" s="358">
        <v>203</v>
      </c>
      <c r="GC41" s="358">
        <v>167</v>
      </c>
      <c r="GD41" s="358">
        <v>203</v>
      </c>
      <c r="GE41" s="358">
        <v>232</v>
      </c>
      <c r="GF41" s="358">
        <v>224</v>
      </c>
      <c r="GG41" s="358">
        <v>148</v>
      </c>
      <c r="GH41" s="358">
        <v>160</v>
      </c>
      <c r="GI41" s="361">
        <v>186</v>
      </c>
    </row>
    <row r="42" spans="1:191">
      <c r="A42" s="336" t="s">
        <v>457</v>
      </c>
      <c r="B42" s="358">
        <v>62</v>
      </c>
      <c r="C42" s="358">
        <v>66</v>
      </c>
      <c r="D42" s="358">
        <v>68</v>
      </c>
      <c r="E42" s="358">
        <v>69</v>
      </c>
      <c r="F42" s="358">
        <v>72</v>
      </c>
      <c r="G42" s="358">
        <v>75</v>
      </c>
      <c r="H42" s="358">
        <v>78</v>
      </c>
      <c r="I42" s="358">
        <v>80</v>
      </c>
      <c r="J42" s="358">
        <v>83</v>
      </c>
      <c r="K42" s="358">
        <v>87</v>
      </c>
      <c r="L42" s="358">
        <v>89</v>
      </c>
      <c r="M42" s="358">
        <v>92</v>
      </c>
      <c r="N42" s="358">
        <v>94</v>
      </c>
      <c r="O42" s="358">
        <v>99</v>
      </c>
      <c r="P42" s="358">
        <v>105</v>
      </c>
      <c r="Q42" s="358">
        <v>107</v>
      </c>
      <c r="R42" s="358">
        <v>110</v>
      </c>
      <c r="S42" s="358">
        <v>112</v>
      </c>
      <c r="T42" s="358">
        <v>115</v>
      </c>
      <c r="U42" s="358">
        <v>118</v>
      </c>
      <c r="V42" s="358">
        <v>60</v>
      </c>
      <c r="W42" s="358">
        <v>58</v>
      </c>
      <c r="X42" s="358">
        <v>56</v>
      </c>
      <c r="Y42" s="358">
        <v>54</v>
      </c>
      <c r="Z42" s="358">
        <v>52</v>
      </c>
      <c r="AA42" s="358">
        <v>51</v>
      </c>
      <c r="AB42" s="358">
        <v>49</v>
      </c>
      <c r="AC42" s="358">
        <v>46</v>
      </c>
      <c r="AD42" s="358">
        <v>44</v>
      </c>
      <c r="AE42" s="358">
        <v>39</v>
      </c>
      <c r="AF42" s="358">
        <v>34</v>
      </c>
      <c r="AG42" s="358">
        <v>29</v>
      </c>
      <c r="AH42" s="358">
        <v>28</v>
      </c>
      <c r="AI42" s="358">
        <v>27</v>
      </c>
      <c r="AJ42" s="358">
        <v>23</v>
      </c>
      <c r="AK42" s="358">
        <v>17</v>
      </c>
      <c r="AL42" s="358">
        <v>11</v>
      </c>
      <c r="AM42" s="358">
        <v>6</v>
      </c>
      <c r="AO42" s="358">
        <v>4</v>
      </c>
      <c r="AP42" s="358">
        <v>10</v>
      </c>
      <c r="AQ42" s="358">
        <v>16</v>
      </c>
      <c r="AR42" s="358">
        <v>20</v>
      </c>
      <c r="AS42" s="358">
        <v>32</v>
      </c>
      <c r="AT42" s="358">
        <v>40</v>
      </c>
      <c r="AU42" s="358">
        <v>50</v>
      </c>
      <c r="AV42" s="358">
        <v>59</v>
      </c>
      <c r="AW42" s="358">
        <v>67</v>
      </c>
      <c r="AX42" s="358">
        <v>65</v>
      </c>
      <c r="AY42" s="358">
        <v>69</v>
      </c>
      <c r="AZ42" s="358">
        <v>70</v>
      </c>
      <c r="BA42" s="358">
        <v>71</v>
      </c>
      <c r="BB42" s="358">
        <v>72</v>
      </c>
      <c r="BC42" s="358">
        <v>75</v>
      </c>
      <c r="BD42" s="358">
        <v>79</v>
      </c>
      <c r="BE42" s="358">
        <v>81</v>
      </c>
      <c r="BF42" s="358">
        <v>82</v>
      </c>
      <c r="BG42" s="358">
        <v>85</v>
      </c>
      <c r="BH42" s="358">
        <v>86</v>
      </c>
      <c r="BI42" s="358">
        <v>87</v>
      </c>
      <c r="BJ42" s="358">
        <v>89</v>
      </c>
      <c r="BK42" s="358">
        <v>90</v>
      </c>
      <c r="BL42" s="358">
        <v>91</v>
      </c>
      <c r="BM42" s="358">
        <v>93</v>
      </c>
      <c r="BN42" s="358">
        <v>94</v>
      </c>
      <c r="BO42" s="358">
        <v>97</v>
      </c>
      <c r="BP42" s="358">
        <v>102</v>
      </c>
      <c r="BQ42" s="358">
        <v>106</v>
      </c>
      <c r="BR42" s="358">
        <v>116</v>
      </c>
      <c r="BS42" s="358">
        <v>123</v>
      </c>
      <c r="BT42" s="358">
        <v>127</v>
      </c>
      <c r="BU42" s="358">
        <v>130</v>
      </c>
      <c r="BV42" s="358">
        <v>67</v>
      </c>
      <c r="BW42" s="358">
        <v>68</v>
      </c>
      <c r="BX42" s="358">
        <v>71</v>
      </c>
      <c r="BY42" s="358">
        <v>75</v>
      </c>
      <c r="BZ42" s="358">
        <v>80</v>
      </c>
      <c r="CA42" s="358">
        <v>84</v>
      </c>
      <c r="CB42" s="358">
        <v>91</v>
      </c>
      <c r="CC42" s="358">
        <v>96</v>
      </c>
      <c r="CD42" s="358">
        <v>99</v>
      </c>
      <c r="CE42" s="358">
        <v>103</v>
      </c>
      <c r="CF42" s="358">
        <v>105</v>
      </c>
      <c r="CG42" s="358">
        <v>112</v>
      </c>
      <c r="CH42" s="358">
        <v>114</v>
      </c>
      <c r="CI42" s="358">
        <v>118</v>
      </c>
      <c r="CJ42" s="358">
        <v>121</v>
      </c>
      <c r="CK42" s="358">
        <v>128</v>
      </c>
      <c r="CL42" s="358">
        <v>134</v>
      </c>
      <c r="CM42" s="358">
        <v>138</v>
      </c>
      <c r="CN42" s="358">
        <v>143</v>
      </c>
      <c r="CO42" s="358">
        <v>150</v>
      </c>
      <c r="CP42" s="358">
        <v>161</v>
      </c>
      <c r="CQ42" s="358">
        <v>174</v>
      </c>
      <c r="CR42" s="358">
        <v>179</v>
      </c>
      <c r="CS42" s="358">
        <v>68</v>
      </c>
      <c r="CT42" s="358">
        <v>73</v>
      </c>
      <c r="CU42" s="358">
        <v>79</v>
      </c>
      <c r="CV42" s="358">
        <v>85</v>
      </c>
      <c r="CW42" s="358">
        <v>91</v>
      </c>
      <c r="CX42" s="358">
        <v>96</v>
      </c>
      <c r="CY42" s="358">
        <v>103</v>
      </c>
      <c r="CZ42" s="358">
        <v>106</v>
      </c>
      <c r="DA42" s="358">
        <v>110</v>
      </c>
      <c r="DB42" s="358">
        <v>115</v>
      </c>
      <c r="DC42" s="358">
        <v>126</v>
      </c>
      <c r="DD42" s="358">
        <v>136</v>
      </c>
      <c r="DE42" s="358">
        <v>140</v>
      </c>
      <c r="DF42" s="358">
        <v>146</v>
      </c>
      <c r="DG42" s="358">
        <v>155</v>
      </c>
      <c r="DH42" s="358">
        <v>160</v>
      </c>
      <c r="DI42" s="358">
        <v>167</v>
      </c>
      <c r="DJ42" s="358">
        <v>176</v>
      </c>
      <c r="DK42" s="358">
        <v>183</v>
      </c>
      <c r="DL42" s="358">
        <v>191</v>
      </c>
      <c r="DM42" s="358">
        <v>203</v>
      </c>
      <c r="DN42" s="358">
        <v>206</v>
      </c>
      <c r="DO42" s="358">
        <v>217</v>
      </c>
      <c r="DP42" s="358">
        <v>226</v>
      </c>
      <c r="DQ42" s="358">
        <v>61</v>
      </c>
      <c r="DR42" s="358">
        <v>66</v>
      </c>
      <c r="DS42" s="358">
        <v>70</v>
      </c>
      <c r="DT42" s="358">
        <v>72</v>
      </c>
      <c r="DU42" s="358">
        <v>75</v>
      </c>
      <c r="DV42" s="358">
        <v>76</v>
      </c>
      <c r="DW42" s="358">
        <v>82</v>
      </c>
      <c r="DX42" s="358">
        <v>85</v>
      </c>
      <c r="DY42" s="358">
        <v>91</v>
      </c>
      <c r="DZ42" s="358">
        <v>96</v>
      </c>
      <c r="EA42" s="358">
        <v>100</v>
      </c>
      <c r="EB42" s="358">
        <v>104</v>
      </c>
      <c r="EC42" s="358">
        <v>109</v>
      </c>
      <c r="ED42" s="358">
        <v>115</v>
      </c>
      <c r="EE42" s="358">
        <v>121</v>
      </c>
      <c r="EF42" s="358">
        <v>124</v>
      </c>
      <c r="EG42" s="358">
        <v>128</v>
      </c>
      <c r="EH42" s="358">
        <v>133</v>
      </c>
      <c r="EI42" s="358">
        <v>138</v>
      </c>
      <c r="EJ42" s="358">
        <v>142</v>
      </c>
      <c r="EK42" s="358">
        <v>147</v>
      </c>
      <c r="EL42" s="358">
        <v>151</v>
      </c>
      <c r="EM42" s="358">
        <v>84</v>
      </c>
      <c r="EN42" s="358">
        <v>96</v>
      </c>
      <c r="EO42" s="358">
        <v>107</v>
      </c>
      <c r="EP42" s="358">
        <v>117</v>
      </c>
      <c r="EQ42" s="358">
        <v>124</v>
      </c>
      <c r="ES42" s="358">
        <v>136</v>
      </c>
      <c r="ET42" s="358">
        <v>141</v>
      </c>
      <c r="EU42" s="358">
        <v>150</v>
      </c>
      <c r="EV42" s="358">
        <v>156</v>
      </c>
      <c r="EW42" s="358">
        <v>80</v>
      </c>
      <c r="EX42" s="358">
        <v>91</v>
      </c>
      <c r="EY42" s="358">
        <v>102</v>
      </c>
      <c r="EZ42" s="358">
        <v>118</v>
      </c>
      <c r="FA42" s="358">
        <v>126</v>
      </c>
      <c r="FB42" s="358">
        <v>136</v>
      </c>
      <c r="FC42" s="358">
        <v>150</v>
      </c>
      <c r="FD42" s="358">
        <v>162</v>
      </c>
      <c r="FE42" s="358">
        <v>169</v>
      </c>
      <c r="FF42" s="358">
        <v>174</v>
      </c>
      <c r="FG42" s="358">
        <v>186</v>
      </c>
      <c r="FH42" s="358">
        <v>195</v>
      </c>
      <c r="FI42" s="358">
        <v>206</v>
      </c>
      <c r="FJ42" s="358">
        <v>212</v>
      </c>
      <c r="FK42" s="358">
        <v>217</v>
      </c>
      <c r="FL42" s="358">
        <v>59</v>
      </c>
      <c r="FM42" s="358">
        <v>69</v>
      </c>
      <c r="FN42" s="358">
        <v>75</v>
      </c>
      <c r="FO42" s="358">
        <v>82</v>
      </c>
      <c r="FP42" s="358">
        <v>95</v>
      </c>
      <c r="FQ42" s="358">
        <v>110</v>
      </c>
      <c r="FR42" s="358">
        <v>118</v>
      </c>
      <c r="FS42" s="358">
        <v>125</v>
      </c>
      <c r="FT42" s="358">
        <v>132</v>
      </c>
      <c r="FU42" s="358">
        <v>139</v>
      </c>
      <c r="FV42" s="358">
        <v>149</v>
      </c>
      <c r="FW42" s="358">
        <v>134</v>
      </c>
      <c r="FX42" s="358">
        <v>181</v>
      </c>
      <c r="FY42" s="358">
        <v>188</v>
      </c>
      <c r="FZ42" s="358">
        <v>216</v>
      </c>
      <c r="GA42" s="358">
        <v>285</v>
      </c>
      <c r="GB42" s="358">
        <v>197</v>
      </c>
      <c r="GC42" s="358">
        <v>173</v>
      </c>
      <c r="GD42" s="358">
        <v>209</v>
      </c>
      <c r="GE42" s="358">
        <v>238</v>
      </c>
      <c r="GF42" s="358">
        <v>230</v>
      </c>
      <c r="GG42" s="358">
        <v>154</v>
      </c>
      <c r="GH42" s="358">
        <v>166</v>
      </c>
      <c r="GI42" s="361">
        <v>192</v>
      </c>
    </row>
    <row r="43" spans="1:191">
      <c r="A43" s="336" t="s">
        <v>456</v>
      </c>
      <c r="B43" s="358">
        <v>66</v>
      </c>
      <c r="C43" s="358">
        <v>70</v>
      </c>
      <c r="D43" s="358">
        <v>72</v>
      </c>
      <c r="E43" s="358">
        <v>73</v>
      </c>
      <c r="F43" s="358">
        <v>76</v>
      </c>
      <c r="G43" s="358">
        <v>79</v>
      </c>
      <c r="H43" s="358">
        <v>82</v>
      </c>
      <c r="I43" s="358">
        <v>84</v>
      </c>
      <c r="J43" s="358">
        <v>87</v>
      </c>
      <c r="K43" s="358">
        <v>91</v>
      </c>
      <c r="L43" s="358">
        <v>93</v>
      </c>
      <c r="M43" s="358">
        <v>96</v>
      </c>
      <c r="N43" s="358">
        <v>98</v>
      </c>
      <c r="O43" s="358">
        <v>103</v>
      </c>
      <c r="P43" s="358">
        <v>109</v>
      </c>
      <c r="Q43" s="358">
        <v>111</v>
      </c>
      <c r="R43" s="358">
        <v>114</v>
      </c>
      <c r="S43" s="358">
        <v>116</v>
      </c>
      <c r="T43" s="358">
        <v>119</v>
      </c>
      <c r="U43" s="358">
        <v>122</v>
      </c>
      <c r="V43" s="358">
        <v>64</v>
      </c>
      <c r="W43" s="358">
        <v>62</v>
      </c>
      <c r="X43" s="358">
        <v>60</v>
      </c>
      <c r="Y43" s="358">
        <v>58</v>
      </c>
      <c r="Z43" s="358">
        <v>56</v>
      </c>
      <c r="AA43" s="358">
        <v>55</v>
      </c>
      <c r="AB43" s="358">
        <v>53</v>
      </c>
      <c r="AC43" s="358">
        <v>50</v>
      </c>
      <c r="AD43" s="358">
        <v>48</v>
      </c>
      <c r="AE43" s="358">
        <v>43</v>
      </c>
      <c r="AF43" s="358">
        <v>38</v>
      </c>
      <c r="AG43" s="358">
        <v>33</v>
      </c>
      <c r="AH43" s="358">
        <v>32</v>
      </c>
      <c r="AI43" s="358">
        <v>31</v>
      </c>
      <c r="AJ43" s="358">
        <v>27</v>
      </c>
      <c r="AK43" s="358">
        <v>21</v>
      </c>
      <c r="AL43" s="358">
        <v>15</v>
      </c>
      <c r="AM43" s="358">
        <v>10</v>
      </c>
      <c r="AN43" s="358">
        <v>4</v>
      </c>
      <c r="AP43" s="358">
        <v>6</v>
      </c>
      <c r="AQ43" s="358">
        <v>12</v>
      </c>
      <c r="AR43" s="358">
        <v>16</v>
      </c>
      <c r="AS43" s="358">
        <v>28</v>
      </c>
      <c r="AT43" s="358">
        <v>36</v>
      </c>
      <c r="AU43" s="358">
        <v>46</v>
      </c>
      <c r="AV43" s="358">
        <v>55</v>
      </c>
      <c r="AW43" s="358">
        <v>63</v>
      </c>
      <c r="AX43" s="358">
        <v>69</v>
      </c>
      <c r="AY43" s="358">
        <v>73</v>
      </c>
      <c r="AZ43" s="358">
        <v>74</v>
      </c>
      <c r="BA43" s="358">
        <v>75</v>
      </c>
      <c r="BB43" s="358">
        <v>76</v>
      </c>
      <c r="BC43" s="358">
        <v>79</v>
      </c>
      <c r="BD43" s="358">
        <v>83</v>
      </c>
      <c r="BE43" s="358">
        <v>85</v>
      </c>
      <c r="BF43" s="358">
        <v>86</v>
      </c>
      <c r="BG43" s="358">
        <v>89</v>
      </c>
      <c r="BH43" s="358">
        <v>90</v>
      </c>
      <c r="BI43" s="358">
        <v>91</v>
      </c>
      <c r="BJ43" s="358">
        <v>93</v>
      </c>
      <c r="BK43" s="358">
        <v>94</v>
      </c>
      <c r="BL43" s="358">
        <v>95</v>
      </c>
      <c r="BM43" s="358">
        <v>97</v>
      </c>
      <c r="BN43" s="358">
        <v>98</v>
      </c>
      <c r="BO43" s="358">
        <v>101</v>
      </c>
      <c r="BP43" s="358">
        <v>106</v>
      </c>
      <c r="BQ43" s="358">
        <v>110</v>
      </c>
      <c r="BR43" s="358">
        <v>120</v>
      </c>
      <c r="BS43" s="358">
        <v>127</v>
      </c>
      <c r="BT43" s="358">
        <v>131</v>
      </c>
      <c r="BU43" s="358">
        <v>134</v>
      </c>
      <c r="BV43" s="358">
        <v>71</v>
      </c>
      <c r="BW43" s="358">
        <v>72</v>
      </c>
      <c r="BX43" s="358">
        <v>75</v>
      </c>
      <c r="BY43" s="358">
        <v>79</v>
      </c>
      <c r="BZ43" s="358">
        <v>84</v>
      </c>
      <c r="CA43" s="358">
        <v>88</v>
      </c>
      <c r="CB43" s="358">
        <v>95</v>
      </c>
      <c r="CC43" s="358">
        <v>100</v>
      </c>
      <c r="CD43" s="358">
        <v>103</v>
      </c>
      <c r="CE43" s="358">
        <v>107</v>
      </c>
      <c r="CF43" s="358">
        <v>109</v>
      </c>
      <c r="CG43" s="358">
        <v>116</v>
      </c>
      <c r="CH43" s="358">
        <v>118</v>
      </c>
      <c r="CI43" s="358">
        <v>122</v>
      </c>
      <c r="CJ43" s="358">
        <v>125</v>
      </c>
      <c r="CK43" s="358">
        <v>132</v>
      </c>
      <c r="CL43" s="358">
        <v>138</v>
      </c>
      <c r="CM43" s="358">
        <v>142</v>
      </c>
      <c r="CN43" s="358">
        <v>147</v>
      </c>
      <c r="CO43" s="358">
        <v>154</v>
      </c>
      <c r="CP43" s="358">
        <v>165</v>
      </c>
      <c r="CQ43" s="358">
        <v>178</v>
      </c>
      <c r="CR43" s="358">
        <v>183</v>
      </c>
      <c r="CS43" s="358">
        <v>72</v>
      </c>
      <c r="CT43" s="358">
        <v>77</v>
      </c>
      <c r="CU43" s="358">
        <v>83</v>
      </c>
      <c r="CV43" s="358">
        <v>89</v>
      </c>
      <c r="CW43" s="358">
        <v>95</v>
      </c>
      <c r="CX43" s="358">
        <v>100</v>
      </c>
      <c r="CY43" s="358">
        <v>107</v>
      </c>
      <c r="CZ43" s="358">
        <v>110</v>
      </c>
      <c r="DA43" s="358">
        <v>114</v>
      </c>
      <c r="DB43" s="358">
        <v>119</v>
      </c>
      <c r="DC43" s="358">
        <v>130</v>
      </c>
      <c r="DD43" s="358">
        <v>140</v>
      </c>
      <c r="DE43" s="358">
        <v>144</v>
      </c>
      <c r="DF43" s="358">
        <v>150</v>
      </c>
      <c r="DG43" s="358">
        <v>159</v>
      </c>
      <c r="DH43" s="358">
        <v>164</v>
      </c>
      <c r="DI43" s="358">
        <v>171</v>
      </c>
      <c r="DJ43" s="358">
        <v>180</v>
      </c>
      <c r="DK43" s="358">
        <v>187</v>
      </c>
      <c r="DL43" s="358">
        <v>195</v>
      </c>
      <c r="DM43" s="358">
        <v>207</v>
      </c>
      <c r="DN43" s="358">
        <v>210</v>
      </c>
      <c r="DO43" s="358">
        <v>221</v>
      </c>
      <c r="DP43" s="358">
        <v>230</v>
      </c>
      <c r="DQ43" s="358">
        <v>65</v>
      </c>
      <c r="DR43" s="358">
        <v>70</v>
      </c>
      <c r="DS43" s="358">
        <v>74</v>
      </c>
      <c r="DT43" s="358">
        <v>76</v>
      </c>
      <c r="DU43" s="358">
        <v>79</v>
      </c>
      <c r="DV43" s="358">
        <v>80</v>
      </c>
      <c r="DW43" s="358">
        <v>86</v>
      </c>
      <c r="DX43" s="358">
        <v>89</v>
      </c>
      <c r="DY43" s="358">
        <v>95</v>
      </c>
      <c r="DZ43" s="358">
        <v>100</v>
      </c>
      <c r="EA43" s="358">
        <v>104</v>
      </c>
      <c r="EB43" s="358">
        <v>108</v>
      </c>
      <c r="EC43" s="358">
        <v>113</v>
      </c>
      <c r="ED43" s="358">
        <v>119</v>
      </c>
      <c r="EE43" s="358">
        <v>125</v>
      </c>
      <c r="EF43" s="358">
        <v>128</v>
      </c>
      <c r="EG43" s="358">
        <v>132</v>
      </c>
      <c r="EH43" s="358">
        <v>137</v>
      </c>
      <c r="EI43" s="358">
        <v>142</v>
      </c>
      <c r="EJ43" s="358">
        <v>146</v>
      </c>
      <c r="EK43" s="358">
        <v>151</v>
      </c>
      <c r="EL43" s="358">
        <v>155</v>
      </c>
      <c r="EM43" s="358">
        <v>80</v>
      </c>
      <c r="EN43" s="358">
        <v>92</v>
      </c>
      <c r="EO43" s="358">
        <v>103</v>
      </c>
      <c r="EP43" s="358">
        <v>113</v>
      </c>
      <c r="EQ43" s="358">
        <v>120</v>
      </c>
      <c r="ES43" s="358">
        <v>132</v>
      </c>
      <c r="ET43" s="358">
        <v>137</v>
      </c>
      <c r="EU43" s="358">
        <v>146</v>
      </c>
      <c r="EV43" s="358">
        <v>152</v>
      </c>
      <c r="EW43" s="358">
        <v>76</v>
      </c>
      <c r="EX43" s="358">
        <v>87</v>
      </c>
      <c r="EY43" s="358">
        <v>98</v>
      </c>
      <c r="EZ43" s="358">
        <v>114</v>
      </c>
      <c r="FA43" s="358">
        <v>122</v>
      </c>
      <c r="FB43" s="358">
        <v>132</v>
      </c>
      <c r="FC43" s="358">
        <v>146</v>
      </c>
      <c r="FD43" s="358">
        <v>158</v>
      </c>
      <c r="FE43" s="358">
        <v>165</v>
      </c>
      <c r="FF43" s="358">
        <v>170</v>
      </c>
      <c r="FG43" s="358">
        <v>182</v>
      </c>
      <c r="FH43" s="358">
        <v>191</v>
      </c>
      <c r="FI43" s="358">
        <v>202</v>
      </c>
      <c r="FJ43" s="358">
        <v>208</v>
      </c>
      <c r="FK43" s="358">
        <v>213</v>
      </c>
      <c r="FL43" s="358">
        <v>55</v>
      </c>
      <c r="FM43" s="358">
        <v>65</v>
      </c>
      <c r="FN43" s="358">
        <v>71</v>
      </c>
      <c r="FO43" s="358">
        <v>78</v>
      </c>
      <c r="FP43" s="358">
        <v>91</v>
      </c>
      <c r="FQ43" s="358">
        <v>106</v>
      </c>
      <c r="FR43" s="358">
        <v>114</v>
      </c>
      <c r="FS43" s="358">
        <v>121</v>
      </c>
      <c r="FT43" s="358">
        <v>128</v>
      </c>
      <c r="FU43" s="358">
        <v>135</v>
      </c>
      <c r="FV43" s="358">
        <v>145</v>
      </c>
      <c r="FW43" s="358">
        <v>138</v>
      </c>
      <c r="FX43" s="358">
        <v>185</v>
      </c>
      <c r="FY43" s="358">
        <v>192</v>
      </c>
      <c r="FZ43" s="358">
        <v>220</v>
      </c>
      <c r="GA43" s="358">
        <v>289</v>
      </c>
      <c r="GB43" s="358">
        <v>193</v>
      </c>
      <c r="GC43" s="358">
        <v>177</v>
      </c>
      <c r="GD43" s="358">
        <v>213</v>
      </c>
      <c r="GE43" s="358">
        <v>242</v>
      </c>
      <c r="GF43" s="358">
        <v>234</v>
      </c>
      <c r="GG43" s="358">
        <v>158</v>
      </c>
      <c r="GH43" s="358">
        <v>170</v>
      </c>
      <c r="GI43" s="361">
        <v>196</v>
      </c>
    </row>
    <row r="44" spans="1:191">
      <c r="A44" s="336" t="s">
        <v>455</v>
      </c>
      <c r="B44" s="358">
        <v>72</v>
      </c>
      <c r="C44" s="358">
        <v>76</v>
      </c>
      <c r="D44" s="358">
        <v>78</v>
      </c>
      <c r="E44" s="358">
        <v>79</v>
      </c>
      <c r="F44" s="358">
        <v>82</v>
      </c>
      <c r="G44" s="358">
        <v>85</v>
      </c>
      <c r="H44" s="358">
        <v>88</v>
      </c>
      <c r="I44" s="358">
        <v>90</v>
      </c>
      <c r="J44" s="358">
        <v>93</v>
      </c>
      <c r="K44" s="358">
        <v>97</v>
      </c>
      <c r="L44" s="358">
        <v>99</v>
      </c>
      <c r="M44" s="358">
        <v>102</v>
      </c>
      <c r="N44" s="358">
        <v>104</v>
      </c>
      <c r="O44" s="358">
        <v>109</v>
      </c>
      <c r="P44" s="358">
        <v>115</v>
      </c>
      <c r="Q44" s="358">
        <v>117</v>
      </c>
      <c r="R44" s="358">
        <v>120</v>
      </c>
      <c r="S44" s="358">
        <v>122</v>
      </c>
      <c r="T44" s="358">
        <v>125</v>
      </c>
      <c r="U44" s="358">
        <v>128</v>
      </c>
      <c r="V44" s="358">
        <v>70</v>
      </c>
      <c r="W44" s="358">
        <v>68</v>
      </c>
      <c r="X44" s="358">
        <v>66</v>
      </c>
      <c r="Y44" s="358">
        <v>64</v>
      </c>
      <c r="Z44" s="358">
        <v>62</v>
      </c>
      <c r="AA44" s="358">
        <v>61</v>
      </c>
      <c r="AB44" s="358">
        <v>59</v>
      </c>
      <c r="AC44" s="358">
        <v>56</v>
      </c>
      <c r="AD44" s="358">
        <v>54</v>
      </c>
      <c r="AE44" s="358">
        <v>49</v>
      </c>
      <c r="AF44" s="358">
        <v>44</v>
      </c>
      <c r="AG44" s="358">
        <v>39</v>
      </c>
      <c r="AH44" s="358">
        <v>38</v>
      </c>
      <c r="AI44" s="358">
        <v>37</v>
      </c>
      <c r="AJ44" s="358">
        <v>33</v>
      </c>
      <c r="AK44" s="358">
        <v>27</v>
      </c>
      <c r="AL44" s="358">
        <v>21</v>
      </c>
      <c r="AM44" s="358">
        <v>16</v>
      </c>
      <c r="AN44" s="358">
        <v>10</v>
      </c>
      <c r="AO44" s="358">
        <v>6</v>
      </c>
      <c r="AQ44" s="358">
        <v>6</v>
      </c>
      <c r="AR44" s="358">
        <v>10</v>
      </c>
      <c r="AS44" s="358">
        <v>22</v>
      </c>
      <c r="AT44" s="358">
        <v>30</v>
      </c>
      <c r="AU44" s="358">
        <v>40</v>
      </c>
      <c r="AV44" s="358">
        <v>49</v>
      </c>
      <c r="AW44" s="358">
        <v>57</v>
      </c>
      <c r="AX44" s="358">
        <v>75</v>
      </c>
      <c r="AY44" s="358">
        <v>79</v>
      </c>
      <c r="AZ44" s="358">
        <v>80</v>
      </c>
      <c r="BA44" s="358">
        <v>81</v>
      </c>
      <c r="BB44" s="358">
        <v>82</v>
      </c>
      <c r="BC44" s="358">
        <v>85</v>
      </c>
      <c r="BD44" s="358">
        <v>89</v>
      </c>
      <c r="BE44" s="358">
        <v>91</v>
      </c>
      <c r="BF44" s="358">
        <v>92</v>
      </c>
      <c r="BG44" s="358">
        <v>95</v>
      </c>
      <c r="BH44" s="358">
        <v>96</v>
      </c>
      <c r="BI44" s="358">
        <v>97</v>
      </c>
      <c r="BJ44" s="358">
        <v>99</v>
      </c>
      <c r="BK44" s="358">
        <v>100</v>
      </c>
      <c r="BL44" s="358">
        <v>101</v>
      </c>
      <c r="BM44" s="358">
        <v>103</v>
      </c>
      <c r="BN44" s="358">
        <v>104</v>
      </c>
      <c r="BO44" s="358">
        <v>107</v>
      </c>
      <c r="BP44" s="358">
        <v>112</v>
      </c>
      <c r="BQ44" s="358">
        <v>116</v>
      </c>
      <c r="BR44" s="358">
        <v>126</v>
      </c>
      <c r="BS44" s="358">
        <v>133</v>
      </c>
      <c r="BT44" s="358">
        <v>137</v>
      </c>
      <c r="BU44" s="358">
        <v>140</v>
      </c>
      <c r="BV44" s="358">
        <v>77</v>
      </c>
      <c r="BW44" s="358">
        <v>78</v>
      </c>
      <c r="BX44" s="358">
        <v>81</v>
      </c>
      <c r="BY44" s="358">
        <v>85</v>
      </c>
      <c r="BZ44" s="358">
        <v>90</v>
      </c>
      <c r="CA44" s="358">
        <v>94</v>
      </c>
      <c r="CB44" s="358">
        <v>101</v>
      </c>
      <c r="CC44" s="358">
        <v>106</v>
      </c>
      <c r="CD44" s="358">
        <v>109</v>
      </c>
      <c r="CE44" s="358">
        <v>113</v>
      </c>
      <c r="CF44" s="358">
        <v>115</v>
      </c>
      <c r="CG44" s="358">
        <v>122</v>
      </c>
      <c r="CH44" s="358">
        <v>124</v>
      </c>
      <c r="CI44" s="358">
        <v>128</v>
      </c>
      <c r="CJ44" s="358">
        <v>131</v>
      </c>
      <c r="CK44" s="358">
        <v>138</v>
      </c>
      <c r="CL44" s="358">
        <v>144</v>
      </c>
      <c r="CM44" s="358">
        <v>148</v>
      </c>
      <c r="CN44" s="358">
        <v>153</v>
      </c>
      <c r="CO44" s="358">
        <v>160</v>
      </c>
      <c r="CP44" s="358">
        <v>171</v>
      </c>
      <c r="CQ44" s="358">
        <v>184</v>
      </c>
      <c r="CR44" s="358">
        <v>189</v>
      </c>
      <c r="CS44" s="358">
        <v>78</v>
      </c>
      <c r="CT44" s="358">
        <v>83</v>
      </c>
      <c r="CU44" s="358">
        <v>89</v>
      </c>
      <c r="CV44" s="358">
        <v>95</v>
      </c>
      <c r="CW44" s="358">
        <v>101</v>
      </c>
      <c r="CX44" s="358">
        <v>106</v>
      </c>
      <c r="CY44" s="358">
        <v>113</v>
      </c>
      <c r="CZ44" s="358">
        <v>116</v>
      </c>
      <c r="DA44" s="358">
        <v>120</v>
      </c>
      <c r="DB44" s="358">
        <v>125</v>
      </c>
      <c r="DC44" s="358">
        <v>136</v>
      </c>
      <c r="DD44" s="358">
        <v>146</v>
      </c>
      <c r="DE44" s="358">
        <v>150</v>
      </c>
      <c r="DF44" s="358">
        <v>156</v>
      </c>
      <c r="DG44" s="358">
        <v>165</v>
      </c>
      <c r="DH44" s="358">
        <v>170</v>
      </c>
      <c r="DI44" s="358">
        <v>177</v>
      </c>
      <c r="DJ44" s="358">
        <v>186</v>
      </c>
      <c r="DK44" s="358">
        <v>193</v>
      </c>
      <c r="DL44" s="358">
        <v>201</v>
      </c>
      <c r="DM44" s="358">
        <v>213</v>
      </c>
      <c r="DN44" s="358">
        <v>216</v>
      </c>
      <c r="DO44" s="358">
        <v>227</v>
      </c>
      <c r="DP44" s="358">
        <v>236</v>
      </c>
      <c r="DQ44" s="358">
        <v>71</v>
      </c>
      <c r="DR44" s="358">
        <v>76</v>
      </c>
      <c r="DS44" s="358">
        <v>80</v>
      </c>
      <c r="DT44" s="358">
        <v>82</v>
      </c>
      <c r="DU44" s="358">
        <v>85</v>
      </c>
      <c r="DV44" s="358">
        <v>86</v>
      </c>
      <c r="DW44" s="358">
        <v>92</v>
      </c>
      <c r="DX44" s="358">
        <v>95</v>
      </c>
      <c r="DY44" s="358">
        <v>101</v>
      </c>
      <c r="DZ44" s="358">
        <v>106</v>
      </c>
      <c r="EA44" s="358">
        <v>110</v>
      </c>
      <c r="EB44" s="358">
        <v>114</v>
      </c>
      <c r="EC44" s="358">
        <v>119</v>
      </c>
      <c r="ED44" s="358">
        <v>125</v>
      </c>
      <c r="EE44" s="358">
        <v>131</v>
      </c>
      <c r="EF44" s="358">
        <v>134</v>
      </c>
      <c r="EG44" s="358">
        <v>138</v>
      </c>
      <c r="EH44" s="358">
        <v>143</v>
      </c>
      <c r="EI44" s="358">
        <v>148</v>
      </c>
      <c r="EJ44" s="358">
        <v>152</v>
      </c>
      <c r="EK44" s="358">
        <v>157</v>
      </c>
      <c r="EL44" s="358">
        <v>161</v>
      </c>
      <c r="EM44" s="358">
        <v>74</v>
      </c>
      <c r="EN44" s="358">
        <v>86</v>
      </c>
      <c r="EO44" s="358">
        <v>97</v>
      </c>
      <c r="EP44" s="358">
        <v>107</v>
      </c>
      <c r="EQ44" s="358">
        <v>114</v>
      </c>
      <c r="ES44" s="358">
        <v>126</v>
      </c>
      <c r="ET44" s="358">
        <v>131</v>
      </c>
      <c r="EU44" s="358">
        <v>140</v>
      </c>
      <c r="EV44" s="358">
        <v>146</v>
      </c>
      <c r="EW44" s="358">
        <v>70</v>
      </c>
      <c r="EX44" s="358">
        <v>81</v>
      </c>
      <c r="EY44" s="358">
        <v>92</v>
      </c>
      <c r="EZ44" s="358">
        <v>108</v>
      </c>
      <c r="FA44" s="358">
        <v>116</v>
      </c>
      <c r="FB44" s="358">
        <v>126</v>
      </c>
      <c r="FC44" s="358">
        <v>140</v>
      </c>
      <c r="FD44" s="358">
        <v>152</v>
      </c>
      <c r="FE44" s="358">
        <v>159</v>
      </c>
      <c r="FF44" s="358">
        <v>164</v>
      </c>
      <c r="FG44" s="358">
        <v>176</v>
      </c>
      <c r="FH44" s="358">
        <v>185</v>
      </c>
      <c r="FI44" s="358">
        <v>196</v>
      </c>
      <c r="FJ44" s="358">
        <v>202</v>
      </c>
      <c r="FK44" s="358">
        <v>207</v>
      </c>
      <c r="FL44" s="358">
        <v>49</v>
      </c>
      <c r="FM44" s="358">
        <v>59</v>
      </c>
      <c r="FN44" s="358">
        <v>65</v>
      </c>
      <c r="FO44" s="358">
        <v>72</v>
      </c>
      <c r="FP44" s="358">
        <v>85</v>
      </c>
      <c r="FQ44" s="358">
        <v>100</v>
      </c>
      <c r="FR44" s="358">
        <v>108</v>
      </c>
      <c r="FS44" s="358">
        <v>115</v>
      </c>
      <c r="FT44" s="358">
        <v>122</v>
      </c>
      <c r="FU44" s="358">
        <v>129</v>
      </c>
      <c r="FV44" s="358">
        <v>139</v>
      </c>
      <c r="FW44" s="358">
        <v>144</v>
      </c>
      <c r="FX44" s="358">
        <v>191</v>
      </c>
      <c r="FY44" s="358">
        <v>198</v>
      </c>
      <c r="FZ44" s="358">
        <v>226</v>
      </c>
      <c r="GA44" s="358">
        <v>295</v>
      </c>
      <c r="GB44" s="358">
        <v>187</v>
      </c>
      <c r="GC44" s="358">
        <v>183</v>
      </c>
      <c r="GD44" s="358">
        <v>219</v>
      </c>
      <c r="GE44" s="358">
        <v>248</v>
      </c>
      <c r="GF44" s="358">
        <v>240</v>
      </c>
      <c r="GG44" s="358">
        <v>164</v>
      </c>
      <c r="GH44" s="358">
        <v>176</v>
      </c>
      <c r="GI44" s="361">
        <v>202</v>
      </c>
    </row>
    <row r="45" spans="1:191">
      <c r="A45" s="336" t="s">
        <v>454</v>
      </c>
      <c r="B45" s="358">
        <v>78</v>
      </c>
      <c r="C45" s="358">
        <v>82</v>
      </c>
      <c r="D45" s="358">
        <v>84</v>
      </c>
      <c r="E45" s="358">
        <v>85</v>
      </c>
      <c r="F45" s="358">
        <v>88</v>
      </c>
      <c r="G45" s="358">
        <v>91</v>
      </c>
      <c r="H45" s="358">
        <v>94</v>
      </c>
      <c r="I45" s="358">
        <v>96</v>
      </c>
      <c r="J45" s="358">
        <v>99</v>
      </c>
      <c r="K45" s="358">
        <v>103</v>
      </c>
      <c r="L45" s="358">
        <v>105</v>
      </c>
      <c r="M45" s="358">
        <v>108</v>
      </c>
      <c r="N45" s="358">
        <v>110</v>
      </c>
      <c r="O45" s="358">
        <v>115</v>
      </c>
      <c r="P45" s="358">
        <v>121</v>
      </c>
      <c r="Q45" s="358">
        <v>123</v>
      </c>
      <c r="R45" s="358">
        <v>126</v>
      </c>
      <c r="S45" s="358">
        <v>128</v>
      </c>
      <c r="T45" s="358">
        <v>131</v>
      </c>
      <c r="U45" s="358">
        <v>134</v>
      </c>
      <c r="V45" s="358">
        <v>76</v>
      </c>
      <c r="W45" s="358">
        <v>74</v>
      </c>
      <c r="X45" s="358">
        <v>72</v>
      </c>
      <c r="Y45" s="358">
        <v>70</v>
      </c>
      <c r="Z45" s="358">
        <v>68</v>
      </c>
      <c r="AA45" s="358">
        <v>67</v>
      </c>
      <c r="AB45" s="358">
        <v>65</v>
      </c>
      <c r="AC45" s="358">
        <v>62</v>
      </c>
      <c r="AD45" s="358">
        <v>60</v>
      </c>
      <c r="AE45" s="358">
        <v>55</v>
      </c>
      <c r="AF45" s="358">
        <v>50</v>
      </c>
      <c r="AG45" s="358">
        <v>45</v>
      </c>
      <c r="AH45" s="358">
        <v>44</v>
      </c>
      <c r="AI45" s="358">
        <v>43</v>
      </c>
      <c r="AJ45" s="358">
        <v>39</v>
      </c>
      <c r="AK45" s="358">
        <v>33</v>
      </c>
      <c r="AL45" s="358">
        <v>27</v>
      </c>
      <c r="AM45" s="358">
        <v>22</v>
      </c>
      <c r="AN45" s="358">
        <v>16</v>
      </c>
      <c r="AO45" s="358">
        <v>12</v>
      </c>
      <c r="AP45" s="358">
        <v>6</v>
      </c>
      <c r="AR45" s="358">
        <v>4</v>
      </c>
      <c r="AS45" s="358">
        <v>16</v>
      </c>
      <c r="AT45" s="358">
        <v>24</v>
      </c>
      <c r="AU45" s="358">
        <v>34</v>
      </c>
      <c r="AV45" s="358">
        <v>43</v>
      </c>
      <c r="AW45" s="358">
        <v>51</v>
      </c>
      <c r="AX45" s="358">
        <v>81</v>
      </c>
      <c r="AY45" s="358">
        <v>85</v>
      </c>
      <c r="AZ45" s="358">
        <v>86</v>
      </c>
      <c r="BA45" s="358">
        <v>87</v>
      </c>
      <c r="BB45" s="358">
        <v>88</v>
      </c>
      <c r="BC45" s="358">
        <v>91</v>
      </c>
      <c r="BD45" s="358">
        <v>95</v>
      </c>
      <c r="BE45" s="358">
        <v>97</v>
      </c>
      <c r="BF45" s="358">
        <v>98</v>
      </c>
      <c r="BG45" s="358">
        <v>101</v>
      </c>
      <c r="BH45" s="358">
        <v>102</v>
      </c>
      <c r="BI45" s="358">
        <v>103</v>
      </c>
      <c r="BJ45" s="358">
        <v>105</v>
      </c>
      <c r="BK45" s="358">
        <v>106</v>
      </c>
      <c r="BL45" s="358">
        <v>107</v>
      </c>
      <c r="BM45" s="358">
        <v>109</v>
      </c>
      <c r="BN45" s="358">
        <v>110</v>
      </c>
      <c r="BO45" s="358">
        <v>113</v>
      </c>
      <c r="BP45" s="358">
        <v>118</v>
      </c>
      <c r="BQ45" s="358">
        <v>122</v>
      </c>
      <c r="BR45" s="358">
        <v>132</v>
      </c>
      <c r="BS45" s="358">
        <v>139</v>
      </c>
      <c r="BT45" s="358">
        <v>143</v>
      </c>
      <c r="BU45" s="358">
        <v>146</v>
      </c>
      <c r="BV45" s="358">
        <v>83</v>
      </c>
      <c r="BW45" s="358">
        <v>84</v>
      </c>
      <c r="BX45" s="358">
        <v>87</v>
      </c>
      <c r="BY45" s="358">
        <v>91</v>
      </c>
      <c r="BZ45" s="358">
        <v>96</v>
      </c>
      <c r="CA45" s="358">
        <v>100</v>
      </c>
      <c r="CB45" s="358">
        <v>107</v>
      </c>
      <c r="CC45" s="358">
        <v>112</v>
      </c>
      <c r="CD45" s="358">
        <v>115</v>
      </c>
      <c r="CE45" s="358">
        <v>119</v>
      </c>
      <c r="CF45" s="358">
        <v>121</v>
      </c>
      <c r="CG45" s="358">
        <v>128</v>
      </c>
      <c r="CH45" s="358">
        <v>130</v>
      </c>
      <c r="CI45" s="358">
        <v>134</v>
      </c>
      <c r="CJ45" s="358">
        <v>137</v>
      </c>
      <c r="CK45" s="358">
        <v>144</v>
      </c>
      <c r="CL45" s="358">
        <v>150</v>
      </c>
      <c r="CM45" s="358">
        <v>154</v>
      </c>
      <c r="CN45" s="358">
        <v>159</v>
      </c>
      <c r="CO45" s="358">
        <v>166</v>
      </c>
      <c r="CP45" s="358">
        <v>177</v>
      </c>
      <c r="CQ45" s="358">
        <v>190</v>
      </c>
      <c r="CR45" s="358">
        <v>195</v>
      </c>
      <c r="CS45" s="358">
        <v>84</v>
      </c>
      <c r="CT45" s="358">
        <v>89</v>
      </c>
      <c r="CU45" s="358">
        <v>95</v>
      </c>
      <c r="CV45" s="358">
        <v>101</v>
      </c>
      <c r="CW45" s="358">
        <v>107</v>
      </c>
      <c r="CX45" s="358">
        <v>112</v>
      </c>
      <c r="CY45" s="358">
        <v>119</v>
      </c>
      <c r="CZ45" s="358">
        <v>122</v>
      </c>
      <c r="DA45" s="358">
        <v>126</v>
      </c>
      <c r="DB45" s="358">
        <v>131</v>
      </c>
      <c r="DC45" s="358">
        <v>142</v>
      </c>
      <c r="DD45" s="358">
        <v>152</v>
      </c>
      <c r="DE45" s="358">
        <v>156</v>
      </c>
      <c r="DF45" s="358">
        <v>162</v>
      </c>
      <c r="DG45" s="358">
        <v>171</v>
      </c>
      <c r="DH45" s="358">
        <v>176</v>
      </c>
      <c r="DI45" s="358">
        <v>183</v>
      </c>
      <c r="DJ45" s="358">
        <v>192</v>
      </c>
      <c r="DK45" s="358">
        <v>199</v>
      </c>
      <c r="DL45" s="358">
        <v>207</v>
      </c>
      <c r="DM45" s="358">
        <v>219</v>
      </c>
      <c r="DN45" s="358">
        <v>222</v>
      </c>
      <c r="DO45" s="358">
        <v>233</v>
      </c>
      <c r="DP45" s="358">
        <v>242</v>
      </c>
      <c r="DQ45" s="358">
        <v>77</v>
      </c>
      <c r="DR45" s="358">
        <v>82</v>
      </c>
      <c r="DS45" s="358">
        <v>86</v>
      </c>
      <c r="DT45" s="358">
        <v>88</v>
      </c>
      <c r="DU45" s="358">
        <v>91</v>
      </c>
      <c r="DV45" s="358">
        <v>92</v>
      </c>
      <c r="DW45" s="358">
        <v>98</v>
      </c>
      <c r="DX45" s="358">
        <v>101</v>
      </c>
      <c r="DY45" s="358">
        <v>107</v>
      </c>
      <c r="DZ45" s="358">
        <v>112</v>
      </c>
      <c r="EA45" s="358">
        <v>116</v>
      </c>
      <c r="EB45" s="358">
        <v>120</v>
      </c>
      <c r="EC45" s="358">
        <v>125</v>
      </c>
      <c r="ED45" s="358">
        <v>131</v>
      </c>
      <c r="EE45" s="358">
        <v>137</v>
      </c>
      <c r="EF45" s="358">
        <v>140</v>
      </c>
      <c r="EG45" s="358">
        <v>144</v>
      </c>
      <c r="EH45" s="358">
        <v>149</v>
      </c>
      <c r="EI45" s="358">
        <v>154</v>
      </c>
      <c r="EJ45" s="358">
        <v>158</v>
      </c>
      <c r="EK45" s="358">
        <v>163</v>
      </c>
      <c r="EL45" s="358">
        <v>167</v>
      </c>
      <c r="EM45" s="358">
        <v>68</v>
      </c>
      <c r="EN45" s="358">
        <v>80</v>
      </c>
      <c r="EO45" s="358">
        <v>91</v>
      </c>
      <c r="EP45" s="358">
        <v>101</v>
      </c>
      <c r="EQ45" s="358">
        <v>108</v>
      </c>
      <c r="ES45" s="358">
        <v>120</v>
      </c>
      <c r="ET45" s="358">
        <v>125</v>
      </c>
      <c r="EU45" s="358">
        <v>134</v>
      </c>
      <c r="EV45" s="358">
        <v>140</v>
      </c>
      <c r="EW45" s="358">
        <v>64</v>
      </c>
      <c r="EX45" s="358">
        <v>75</v>
      </c>
      <c r="EY45" s="358">
        <v>86</v>
      </c>
      <c r="EZ45" s="358">
        <v>102</v>
      </c>
      <c r="FA45" s="358">
        <v>110</v>
      </c>
      <c r="FB45" s="358">
        <v>120</v>
      </c>
      <c r="FC45" s="358">
        <v>134</v>
      </c>
      <c r="FD45" s="358">
        <v>146</v>
      </c>
      <c r="FE45" s="358">
        <v>153</v>
      </c>
      <c r="FF45" s="358">
        <v>158</v>
      </c>
      <c r="FG45" s="358">
        <v>170</v>
      </c>
      <c r="FH45" s="358">
        <v>179</v>
      </c>
      <c r="FI45" s="358">
        <v>190</v>
      </c>
      <c r="FJ45" s="358">
        <v>196</v>
      </c>
      <c r="FK45" s="358">
        <v>201</v>
      </c>
      <c r="FL45" s="358">
        <v>43</v>
      </c>
      <c r="FM45" s="358">
        <v>53</v>
      </c>
      <c r="FN45" s="358">
        <v>59</v>
      </c>
      <c r="FO45" s="358">
        <v>66</v>
      </c>
      <c r="FP45" s="358">
        <v>79</v>
      </c>
      <c r="FQ45" s="358">
        <v>94</v>
      </c>
      <c r="FR45" s="358">
        <v>102</v>
      </c>
      <c r="FS45" s="358">
        <v>109</v>
      </c>
      <c r="FT45" s="358">
        <v>116</v>
      </c>
      <c r="FU45" s="358">
        <v>123</v>
      </c>
      <c r="FV45" s="358">
        <v>133</v>
      </c>
      <c r="FW45" s="358">
        <v>150</v>
      </c>
      <c r="FX45" s="358">
        <v>197</v>
      </c>
      <c r="FY45" s="358">
        <v>204</v>
      </c>
      <c r="FZ45" s="358">
        <v>232</v>
      </c>
      <c r="GA45" s="358">
        <v>301</v>
      </c>
      <c r="GB45" s="358">
        <v>181</v>
      </c>
      <c r="GC45" s="358">
        <v>189</v>
      </c>
      <c r="GD45" s="358">
        <v>225</v>
      </c>
      <c r="GE45" s="358">
        <v>254</v>
      </c>
      <c r="GF45" s="358">
        <v>246</v>
      </c>
      <c r="GG45" s="358">
        <v>170</v>
      </c>
      <c r="GH45" s="358">
        <v>182</v>
      </c>
      <c r="GI45" s="361">
        <v>208</v>
      </c>
    </row>
    <row r="46" spans="1:191">
      <c r="A46" s="336" t="s">
        <v>453</v>
      </c>
      <c r="B46" s="358">
        <v>82</v>
      </c>
      <c r="C46" s="358">
        <v>86</v>
      </c>
      <c r="D46" s="358">
        <v>88</v>
      </c>
      <c r="E46" s="358">
        <v>89</v>
      </c>
      <c r="F46" s="358">
        <v>92</v>
      </c>
      <c r="G46" s="358">
        <v>95</v>
      </c>
      <c r="H46" s="358">
        <v>98</v>
      </c>
      <c r="I46" s="358">
        <v>100</v>
      </c>
      <c r="J46" s="358">
        <v>103</v>
      </c>
      <c r="K46" s="358">
        <v>107</v>
      </c>
      <c r="L46" s="358">
        <v>109</v>
      </c>
      <c r="M46" s="358">
        <v>112</v>
      </c>
      <c r="N46" s="358">
        <v>114</v>
      </c>
      <c r="O46" s="358">
        <v>119</v>
      </c>
      <c r="P46" s="358">
        <v>125</v>
      </c>
      <c r="Q46" s="358">
        <v>127</v>
      </c>
      <c r="R46" s="358">
        <v>130</v>
      </c>
      <c r="S46" s="358">
        <v>132</v>
      </c>
      <c r="T46" s="358">
        <v>135</v>
      </c>
      <c r="U46" s="358">
        <v>138</v>
      </c>
      <c r="V46" s="358">
        <v>80</v>
      </c>
      <c r="W46" s="358">
        <v>78</v>
      </c>
      <c r="X46" s="358">
        <v>76</v>
      </c>
      <c r="Y46" s="358">
        <v>74</v>
      </c>
      <c r="Z46" s="358">
        <v>72</v>
      </c>
      <c r="AA46" s="358">
        <v>71</v>
      </c>
      <c r="AB46" s="358">
        <v>69</v>
      </c>
      <c r="AC46" s="358">
        <v>66</v>
      </c>
      <c r="AD46" s="358">
        <v>64</v>
      </c>
      <c r="AE46" s="358">
        <v>59</v>
      </c>
      <c r="AF46" s="358">
        <v>54</v>
      </c>
      <c r="AG46" s="358">
        <v>49</v>
      </c>
      <c r="AH46" s="358">
        <v>48</v>
      </c>
      <c r="AI46" s="358">
        <v>47</v>
      </c>
      <c r="AJ46" s="358">
        <v>43</v>
      </c>
      <c r="AK46" s="358">
        <v>37</v>
      </c>
      <c r="AL46" s="358">
        <v>31</v>
      </c>
      <c r="AM46" s="358">
        <v>26</v>
      </c>
      <c r="AN46" s="358">
        <v>20</v>
      </c>
      <c r="AO46" s="358">
        <v>16</v>
      </c>
      <c r="AP46" s="358">
        <v>10</v>
      </c>
      <c r="AQ46" s="358">
        <v>4</v>
      </c>
      <c r="AS46" s="358">
        <v>12</v>
      </c>
      <c r="AT46" s="358">
        <v>20</v>
      </c>
      <c r="AU46" s="358">
        <v>30</v>
      </c>
      <c r="AV46" s="358">
        <v>39</v>
      </c>
      <c r="AW46" s="358">
        <v>47</v>
      </c>
      <c r="AX46" s="358">
        <v>85</v>
      </c>
      <c r="AY46" s="358">
        <v>89</v>
      </c>
      <c r="AZ46" s="358">
        <v>90</v>
      </c>
      <c r="BA46" s="358">
        <v>91</v>
      </c>
      <c r="BB46" s="358">
        <v>92</v>
      </c>
      <c r="BC46" s="358">
        <v>95</v>
      </c>
      <c r="BD46" s="358">
        <v>99</v>
      </c>
      <c r="BE46" s="358">
        <v>101</v>
      </c>
      <c r="BF46" s="358">
        <v>102</v>
      </c>
      <c r="BG46" s="358">
        <v>105</v>
      </c>
      <c r="BH46" s="358">
        <v>106</v>
      </c>
      <c r="BI46" s="358">
        <v>107</v>
      </c>
      <c r="BJ46" s="358">
        <v>109</v>
      </c>
      <c r="BK46" s="358">
        <v>110</v>
      </c>
      <c r="BL46" s="358">
        <v>111</v>
      </c>
      <c r="BM46" s="358">
        <v>113</v>
      </c>
      <c r="BN46" s="358">
        <v>114</v>
      </c>
      <c r="BO46" s="358">
        <v>117</v>
      </c>
      <c r="BP46" s="358">
        <v>122</v>
      </c>
      <c r="BQ46" s="358">
        <v>126</v>
      </c>
      <c r="BR46" s="358">
        <v>136</v>
      </c>
      <c r="BS46" s="358">
        <v>143</v>
      </c>
      <c r="BT46" s="358">
        <v>147</v>
      </c>
      <c r="BU46" s="358">
        <v>150</v>
      </c>
      <c r="BV46" s="358">
        <v>87</v>
      </c>
      <c r="BW46" s="358">
        <v>88</v>
      </c>
      <c r="BX46" s="358">
        <v>91</v>
      </c>
      <c r="BY46" s="358">
        <v>95</v>
      </c>
      <c r="BZ46" s="358">
        <v>100</v>
      </c>
      <c r="CA46" s="358">
        <v>104</v>
      </c>
      <c r="CB46" s="358">
        <v>111</v>
      </c>
      <c r="CC46" s="358">
        <v>116</v>
      </c>
      <c r="CD46" s="358">
        <v>119</v>
      </c>
      <c r="CE46" s="358">
        <v>123</v>
      </c>
      <c r="CF46" s="358">
        <v>125</v>
      </c>
      <c r="CG46" s="358">
        <v>132</v>
      </c>
      <c r="CH46" s="358">
        <v>134</v>
      </c>
      <c r="CI46" s="358">
        <v>138</v>
      </c>
      <c r="CJ46" s="358">
        <v>141</v>
      </c>
      <c r="CK46" s="358">
        <v>148</v>
      </c>
      <c r="CL46" s="358">
        <v>154</v>
      </c>
      <c r="CM46" s="358">
        <v>158</v>
      </c>
      <c r="CN46" s="358">
        <v>163</v>
      </c>
      <c r="CO46" s="358">
        <v>170</v>
      </c>
      <c r="CP46" s="358">
        <v>181</v>
      </c>
      <c r="CQ46" s="358">
        <v>194</v>
      </c>
      <c r="CR46" s="358">
        <v>199</v>
      </c>
      <c r="CS46" s="358">
        <v>88</v>
      </c>
      <c r="CT46" s="358">
        <v>93</v>
      </c>
      <c r="CU46" s="358">
        <v>99</v>
      </c>
      <c r="CV46" s="358">
        <v>105</v>
      </c>
      <c r="CW46" s="358">
        <v>111</v>
      </c>
      <c r="CX46" s="358">
        <v>116</v>
      </c>
      <c r="CY46" s="358">
        <v>123</v>
      </c>
      <c r="CZ46" s="358">
        <v>126</v>
      </c>
      <c r="DA46" s="358">
        <v>130</v>
      </c>
      <c r="DB46" s="358">
        <v>135</v>
      </c>
      <c r="DC46" s="358">
        <v>146</v>
      </c>
      <c r="DD46" s="358">
        <v>156</v>
      </c>
      <c r="DE46" s="358">
        <v>160</v>
      </c>
      <c r="DF46" s="358">
        <v>166</v>
      </c>
      <c r="DG46" s="358">
        <v>175</v>
      </c>
      <c r="DH46" s="358">
        <v>180</v>
      </c>
      <c r="DI46" s="358">
        <v>187</v>
      </c>
      <c r="DJ46" s="358">
        <v>196</v>
      </c>
      <c r="DK46" s="358">
        <v>203</v>
      </c>
      <c r="DL46" s="358">
        <v>211</v>
      </c>
      <c r="DM46" s="358">
        <v>223</v>
      </c>
      <c r="DN46" s="358">
        <v>226</v>
      </c>
      <c r="DO46" s="358">
        <v>237</v>
      </c>
      <c r="DP46" s="358">
        <v>246</v>
      </c>
      <c r="DQ46" s="358">
        <v>81</v>
      </c>
      <c r="DR46" s="358">
        <v>86</v>
      </c>
      <c r="DS46" s="358">
        <v>90</v>
      </c>
      <c r="DT46" s="358">
        <v>92</v>
      </c>
      <c r="DU46" s="358">
        <v>95</v>
      </c>
      <c r="DV46" s="358">
        <v>96</v>
      </c>
      <c r="DW46" s="358">
        <v>102</v>
      </c>
      <c r="DX46" s="358">
        <v>105</v>
      </c>
      <c r="DY46" s="358">
        <v>111</v>
      </c>
      <c r="DZ46" s="358">
        <v>116</v>
      </c>
      <c r="EA46" s="358">
        <v>120</v>
      </c>
      <c r="EB46" s="358">
        <v>124</v>
      </c>
      <c r="EC46" s="358">
        <v>129</v>
      </c>
      <c r="ED46" s="358">
        <v>135</v>
      </c>
      <c r="EE46" s="358">
        <v>141</v>
      </c>
      <c r="EF46" s="358">
        <v>144</v>
      </c>
      <c r="EG46" s="358">
        <v>148</v>
      </c>
      <c r="EH46" s="358">
        <v>153</v>
      </c>
      <c r="EI46" s="358">
        <v>158</v>
      </c>
      <c r="EJ46" s="358">
        <v>162</v>
      </c>
      <c r="EK46" s="358">
        <v>167</v>
      </c>
      <c r="EL46" s="358">
        <v>171</v>
      </c>
      <c r="EM46" s="358">
        <v>64</v>
      </c>
      <c r="EN46" s="358">
        <v>76</v>
      </c>
      <c r="EO46" s="358">
        <v>87</v>
      </c>
      <c r="EP46" s="358">
        <v>97</v>
      </c>
      <c r="EQ46" s="358">
        <v>104</v>
      </c>
      <c r="ES46" s="358">
        <v>116</v>
      </c>
      <c r="ET46" s="358">
        <v>121</v>
      </c>
      <c r="EU46" s="358">
        <v>130</v>
      </c>
      <c r="EV46" s="358">
        <v>136</v>
      </c>
      <c r="EW46" s="358">
        <v>60</v>
      </c>
      <c r="EX46" s="358">
        <v>71</v>
      </c>
      <c r="EY46" s="358">
        <v>82</v>
      </c>
      <c r="EZ46" s="358">
        <v>98</v>
      </c>
      <c r="FA46" s="358">
        <v>106</v>
      </c>
      <c r="FB46" s="358">
        <v>116</v>
      </c>
      <c r="FC46" s="358">
        <v>130</v>
      </c>
      <c r="FD46" s="358">
        <v>142</v>
      </c>
      <c r="FE46" s="358">
        <v>149</v>
      </c>
      <c r="FF46" s="358">
        <v>154</v>
      </c>
      <c r="FG46" s="358">
        <v>166</v>
      </c>
      <c r="FH46" s="358">
        <v>175</v>
      </c>
      <c r="FI46" s="358">
        <v>186</v>
      </c>
      <c r="FJ46" s="358">
        <v>192</v>
      </c>
      <c r="FK46" s="358">
        <v>197</v>
      </c>
      <c r="FL46" s="358">
        <v>39</v>
      </c>
      <c r="FM46" s="358">
        <v>49</v>
      </c>
      <c r="FN46" s="358">
        <v>55</v>
      </c>
      <c r="FO46" s="358">
        <v>62</v>
      </c>
      <c r="FP46" s="358">
        <v>75</v>
      </c>
      <c r="FQ46" s="358">
        <v>90</v>
      </c>
      <c r="FR46" s="358">
        <v>98</v>
      </c>
      <c r="FS46" s="358">
        <v>105</v>
      </c>
      <c r="FT46" s="358">
        <v>112</v>
      </c>
      <c r="FU46" s="358">
        <v>119</v>
      </c>
      <c r="FV46" s="358">
        <v>129</v>
      </c>
      <c r="FW46" s="358">
        <v>154</v>
      </c>
      <c r="FX46" s="358">
        <v>201</v>
      </c>
      <c r="FY46" s="358">
        <v>208</v>
      </c>
      <c r="FZ46" s="358">
        <v>236</v>
      </c>
      <c r="GA46" s="358">
        <v>305</v>
      </c>
      <c r="GB46" s="358">
        <v>177</v>
      </c>
      <c r="GC46" s="358">
        <v>193</v>
      </c>
      <c r="GD46" s="358">
        <v>229</v>
      </c>
      <c r="GE46" s="358">
        <v>258</v>
      </c>
      <c r="GF46" s="358">
        <v>250</v>
      </c>
      <c r="GG46" s="358">
        <v>174</v>
      </c>
      <c r="GH46" s="358">
        <v>186</v>
      </c>
      <c r="GI46" s="361">
        <v>212</v>
      </c>
    </row>
    <row r="47" spans="1:191">
      <c r="A47" s="336" t="s">
        <v>452</v>
      </c>
      <c r="B47" s="358">
        <v>94</v>
      </c>
      <c r="C47" s="358">
        <v>98</v>
      </c>
      <c r="D47" s="358">
        <v>100</v>
      </c>
      <c r="E47" s="358">
        <v>101</v>
      </c>
      <c r="F47" s="358">
        <v>104</v>
      </c>
      <c r="G47" s="358">
        <v>107</v>
      </c>
      <c r="H47" s="358">
        <v>110</v>
      </c>
      <c r="I47" s="358">
        <v>112</v>
      </c>
      <c r="J47" s="358">
        <v>115</v>
      </c>
      <c r="K47" s="358">
        <v>119</v>
      </c>
      <c r="L47" s="358">
        <v>121</v>
      </c>
      <c r="M47" s="358">
        <v>124</v>
      </c>
      <c r="N47" s="358">
        <v>126</v>
      </c>
      <c r="O47" s="358">
        <v>131</v>
      </c>
      <c r="P47" s="358">
        <v>137</v>
      </c>
      <c r="Q47" s="358">
        <v>139</v>
      </c>
      <c r="R47" s="358">
        <v>142</v>
      </c>
      <c r="S47" s="358">
        <v>144</v>
      </c>
      <c r="T47" s="358">
        <v>147</v>
      </c>
      <c r="U47" s="358">
        <v>150</v>
      </c>
      <c r="V47" s="358">
        <v>92</v>
      </c>
      <c r="W47" s="358">
        <v>90</v>
      </c>
      <c r="X47" s="358">
        <v>88</v>
      </c>
      <c r="Y47" s="358">
        <v>86</v>
      </c>
      <c r="Z47" s="358">
        <v>84</v>
      </c>
      <c r="AA47" s="358">
        <v>83</v>
      </c>
      <c r="AB47" s="358">
        <v>81</v>
      </c>
      <c r="AC47" s="358">
        <v>78</v>
      </c>
      <c r="AD47" s="358">
        <v>76</v>
      </c>
      <c r="AE47" s="358">
        <v>71</v>
      </c>
      <c r="AF47" s="358">
        <v>66</v>
      </c>
      <c r="AG47" s="358">
        <v>61</v>
      </c>
      <c r="AH47" s="358">
        <v>60</v>
      </c>
      <c r="AI47" s="358">
        <v>59</v>
      </c>
      <c r="AJ47" s="358">
        <v>55</v>
      </c>
      <c r="AK47" s="358">
        <v>49</v>
      </c>
      <c r="AL47" s="358">
        <v>43</v>
      </c>
      <c r="AM47" s="358">
        <v>38</v>
      </c>
      <c r="AN47" s="358">
        <v>32</v>
      </c>
      <c r="AO47" s="358">
        <v>28</v>
      </c>
      <c r="AP47" s="358">
        <v>22</v>
      </c>
      <c r="AQ47" s="358">
        <v>16</v>
      </c>
      <c r="AR47" s="358">
        <v>12</v>
      </c>
      <c r="AT47" s="358">
        <v>8</v>
      </c>
      <c r="AU47" s="358">
        <v>18</v>
      </c>
      <c r="AV47" s="358">
        <v>27</v>
      </c>
      <c r="AW47" s="358">
        <v>35</v>
      </c>
      <c r="AX47" s="358">
        <v>97</v>
      </c>
      <c r="AY47" s="358">
        <v>101</v>
      </c>
      <c r="AZ47" s="358">
        <v>102</v>
      </c>
      <c r="BA47" s="358">
        <v>103</v>
      </c>
      <c r="BB47" s="358">
        <v>104</v>
      </c>
      <c r="BC47" s="358">
        <v>107</v>
      </c>
      <c r="BD47" s="358">
        <v>111</v>
      </c>
      <c r="BE47" s="358">
        <v>113</v>
      </c>
      <c r="BF47" s="358">
        <v>114</v>
      </c>
      <c r="BG47" s="358">
        <v>117</v>
      </c>
      <c r="BH47" s="358">
        <v>118</v>
      </c>
      <c r="BI47" s="358">
        <v>119</v>
      </c>
      <c r="BJ47" s="358">
        <v>121</v>
      </c>
      <c r="BK47" s="358">
        <v>122</v>
      </c>
      <c r="BL47" s="358">
        <v>123</v>
      </c>
      <c r="BM47" s="358">
        <v>125</v>
      </c>
      <c r="BN47" s="358">
        <v>126</v>
      </c>
      <c r="BO47" s="358">
        <v>129</v>
      </c>
      <c r="BP47" s="358">
        <v>134</v>
      </c>
      <c r="BQ47" s="358">
        <v>138</v>
      </c>
      <c r="BR47" s="358">
        <v>148</v>
      </c>
      <c r="BS47" s="358">
        <v>155</v>
      </c>
      <c r="BT47" s="358">
        <v>159</v>
      </c>
      <c r="BU47" s="358">
        <v>162</v>
      </c>
      <c r="BV47" s="358">
        <v>99</v>
      </c>
      <c r="BW47" s="358">
        <v>100</v>
      </c>
      <c r="BX47" s="358">
        <v>103</v>
      </c>
      <c r="BY47" s="358">
        <v>107</v>
      </c>
      <c r="BZ47" s="358">
        <v>112</v>
      </c>
      <c r="CA47" s="358">
        <v>116</v>
      </c>
      <c r="CB47" s="358">
        <v>123</v>
      </c>
      <c r="CC47" s="358">
        <v>128</v>
      </c>
      <c r="CD47" s="358">
        <v>131</v>
      </c>
      <c r="CE47" s="358">
        <v>135</v>
      </c>
      <c r="CF47" s="358">
        <v>137</v>
      </c>
      <c r="CG47" s="358">
        <v>144</v>
      </c>
      <c r="CH47" s="358">
        <v>146</v>
      </c>
      <c r="CI47" s="358">
        <v>150</v>
      </c>
      <c r="CJ47" s="358">
        <v>153</v>
      </c>
      <c r="CK47" s="358">
        <v>160</v>
      </c>
      <c r="CL47" s="358">
        <v>166</v>
      </c>
      <c r="CM47" s="358">
        <v>170</v>
      </c>
      <c r="CN47" s="358">
        <v>175</v>
      </c>
      <c r="CO47" s="358">
        <v>182</v>
      </c>
      <c r="CP47" s="358">
        <v>193</v>
      </c>
      <c r="CQ47" s="358">
        <v>206</v>
      </c>
      <c r="CR47" s="358">
        <v>211</v>
      </c>
      <c r="CS47" s="358">
        <v>100</v>
      </c>
      <c r="CT47" s="358">
        <v>105</v>
      </c>
      <c r="CU47" s="358">
        <v>111</v>
      </c>
      <c r="CV47" s="358">
        <v>117</v>
      </c>
      <c r="CW47" s="358">
        <v>123</v>
      </c>
      <c r="CX47" s="358">
        <v>128</v>
      </c>
      <c r="CY47" s="358">
        <v>135</v>
      </c>
      <c r="CZ47" s="358">
        <v>138</v>
      </c>
      <c r="DA47" s="358">
        <v>142</v>
      </c>
      <c r="DB47" s="358">
        <v>147</v>
      </c>
      <c r="DC47" s="358">
        <v>158</v>
      </c>
      <c r="DD47" s="358">
        <v>168</v>
      </c>
      <c r="DE47" s="358">
        <v>172</v>
      </c>
      <c r="DF47" s="358">
        <v>178</v>
      </c>
      <c r="DG47" s="358">
        <v>187</v>
      </c>
      <c r="DH47" s="358">
        <v>192</v>
      </c>
      <c r="DI47" s="358">
        <v>199</v>
      </c>
      <c r="DJ47" s="358">
        <v>208</v>
      </c>
      <c r="DK47" s="358">
        <v>215</v>
      </c>
      <c r="DL47" s="358">
        <v>223</v>
      </c>
      <c r="DM47" s="358">
        <v>235</v>
      </c>
      <c r="DN47" s="358">
        <v>238</v>
      </c>
      <c r="DO47" s="358">
        <v>249</v>
      </c>
      <c r="DP47" s="358">
        <v>258</v>
      </c>
      <c r="DQ47" s="358">
        <v>93</v>
      </c>
      <c r="DR47" s="358">
        <v>98</v>
      </c>
      <c r="DS47" s="358">
        <v>102</v>
      </c>
      <c r="DT47" s="358">
        <v>104</v>
      </c>
      <c r="DU47" s="358">
        <v>107</v>
      </c>
      <c r="DV47" s="358">
        <v>108</v>
      </c>
      <c r="DW47" s="358">
        <v>114</v>
      </c>
      <c r="DX47" s="358">
        <v>117</v>
      </c>
      <c r="DY47" s="358">
        <v>123</v>
      </c>
      <c r="DZ47" s="358">
        <v>128</v>
      </c>
      <c r="EA47" s="358">
        <v>132</v>
      </c>
      <c r="EB47" s="358">
        <v>136</v>
      </c>
      <c r="EC47" s="358">
        <v>141</v>
      </c>
      <c r="ED47" s="358">
        <v>147</v>
      </c>
      <c r="EE47" s="358">
        <v>153</v>
      </c>
      <c r="EF47" s="358">
        <v>156</v>
      </c>
      <c r="EG47" s="358">
        <v>160</v>
      </c>
      <c r="EH47" s="358">
        <v>165</v>
      </c>
      <c r="EI47" s="358">
        <v>170</v>
      </c>
      <c r="EJ47" s="358">
        <v>174</v>
      </c>
      <c r="EK47" s="358">
        <v>179</v>
      </c>
      <c r="EL47" s="358">
        <v>183</v>
      </c>
      <c r="EM47" s="358">
        <v>52</v>
      </c>
      <c r="EN47" s="358">
        <v>64</v>
      </c>
      <c r="EO47" s="358">
        <v>75</v>
      </c>
      <c r="EP47" s="358">
        <v>85</v>
      </c>
      <c r="EQ47" s="358">
        <v>92</v>
      </c>
      <c r="ES47" s="358">
        <v>104</v>
      </c>
      <c r="ET47" s="358">
        <v>109</v>
      </c>
      <c r="EU47" s="358">
        <v>118</v>
      </c>
      <c r="EV47" s="358">
        <v>124</v>
      </c>
      <c r="EW47" s="358">
        <v>48</v>
      </c>
      <c r="EX47" s="358">
        <v>59</v>
      </c>
      <c r="EY47" s="358">
        <v>70</v>
      </c>
      <c r="EZ47" s="358">
        <v>86</v>
      </c>
      <c r="FA47" s="358">
        <v>94</v>
      </c>
      <c r="FB47" s="358">
        <v>104</v>
      </c>
      <c r="FC47" s="358">
        <v>118</v>
      </c>
      <c r="FD47" s="358">
        <v>130</v>
      </c>
      <c r="FE47" s="358">
        <v>137</v>
      </c>
      <c r="FF47" s="358">
        <v>142</v>
      </c>
      <c r="FG47" s="358">
        <v>154</v>
      </c>
      <c r="FH47" s="358">
        <v>163</v>
      </c>
      <c r="FI47" s="358">
        <v>174</v>
      </c>
      <c r="FJ47" s="358">
        <v>180</v>
      </c>
      <c r="FK47" s="358">
        <v>185</v>
      </c>
      <c r="FL47" s="358">
        <v>27</v>
      </c>
      <c r="FM47" s="358">
        <v>37</v>
      </c>
      <c r="FN47" s="358">
        <v>43</v>
      </c>
      <c r="FO47" s="358">
        <v>50</v>
      </c>
      <c r="FP47" s="358">
        <v>63</v>
      </c>
      <c r="FQ47" s="358">
        <v>78</v>
      </c>
      <c r="FR47" s="358">
        <v>86</v>
      </c>
      <c r="FS47" s="358">
        <v>93</v>
      </c>
      <c r="FT47" s="358">
        <v>100</v>
      </c>
      <c r="FU47" s="358">
        <v>107</v>
      </c>
      <c r="FV47" s="358">
        <v>117</v>
      </c>
      <c r="FW47" s="358">
        <v>166</v>
      </c>
      <c r="FX47" s="358">
        <v>213</v>
      </c>
      <c r="FY47" s="358">
        <v>220</v>
      </c>
      <c r="FZ47" s="358">
        <v>248</v>
      </c>
      <c r="GA47" s="358">
        <v>317</v>
      </c>
      <c r="GB47" s="358">
        <v>165</v>
      </c>
      <c r="GC47" s="358">
        <v>205</v>
      </c>
      <c r="GD47" s="358">
        <v>241</v>
      </c>
      <c r="GE47" s="358">
        <v>270</v>
      </c>
      <c r="GF47" s="358">
        <v>262</v>
      </c>
      <c r="GG47" s="358">
        <v>186</v>
      </c>
      <c r="GH47" s="358">
        <v>198</v>
      </c>
      <c r="GI47" s="361">
        <v>224</v>
      </c>
    </row>
    <row r="48" spans="1:191">
      <c r="A48" s="336" t="s">
        <v>451</v>
      </c>
      <c r="B48" s="358">
        <v>102</v>
      </c>
      <c r="C48" s="358">
        <v>106</v>
      </c>
      <c r="D48" s="358">
        <v>108</v>
      </c>
      <c r="E48" s="358">
        <v>109</v>
      </c>
      <c r="F48" s="358">
        <v>112</v>
      </c>
      <c r="G48" s="358">
        <v>115</v>
      </c>
      <c r="H48" s="358">
        <v>118</v>
      </c>
      <c r="I48" s="358">
        <v>120</v>
      </c>
      <c r="J48" s="358">
        <v>123</v>
      </c>
      <c r="K48" s="358">
        <v>127</v>
      </c>
      <c r="L48" s="358">
        <v>129</v>
      </c>
      <c r="M48" s="358">
        <v>132</v>
      </c>
      <c r="N48" s="358">
        <v>134</v>
      </c>
      <c r="O48" s="358">
        <v>139</v>
      </c>
      <c r="P48" s="358">
        <v>145</v>
      </c>
      <c r="Q48" s="358">
        <v>147</v>
      </c>
      <c r="R48" s="358">
        <v>150</v>
      </c>
      <c r="S48" s="358">
        <v>152</v>
      </c>
      <c r="T48" s="358">
        <v>155</v>
      </c>
      <c r="U48" s="358">
        <v>158</v>
      </c>
      <c r="V48" s="358">
        <v>100</v>
      </c>
      <c r="W48" s="358">
        <v>98</v>
      </c>
      <c r="X48" s="358">
        <v>96</v>
      </c>
      <c r="Y48" s="358">
        <v>94</v>
      </c>
      <c r="Z48" s="358">
        <v>92</v>
      </c>
      <c r="AA48" s="358">
        <v>91</v>
      </c>
      <c r="AB48" s="358">
        <v>89</v>
      </c>
      <c r="AC48" s="358">
        <v>86</v>
      </c>
      <c r="AD48" s="358">
        <v>84</v>
      </c>
      <c r="AE48" s="358">
        <v>79</v>
      </c>
      <c r="AF48" s="358">
        <v>74</v>
      </c>
      <c r="AG48" s="358">
        <v>69</v>
      </c>
      <c r="AH48" s="358">
        <v>68</v>
      </c>
      <c r="AI48" s="358">
        <v>67</v>
      </c>
      <c r="AJ48" s="358">
        <v>63</v>
      </c>
      <c r="AK48" s="358">
        <v>57</v>
      </c>
      <c r="AL48" s="358">
        <v>51</v>
      </c>
      <c r="AM48" s="358">
        <v>46</v>
      </c>
      <c r="AN48" s="358">
        <v>40</v>
      </c>
      <c r="AO48" s="358">
        <v>36</v>
      </c>
      <c r="AP48" s="358">
        <v>30</v>
      </c>
      <c r="AQ48" s="358">
        <v>24</v>
      </c>
      <c r="AR48" s="358">
        <v>20</v>
      </c>
      <c r="AS48" s="358">
        <v>8</v>
      </c>
      <c r="AU48" s="358">
        <v>10</v>
      </c>
      <c r="AV48" s="358">
        <v>19</v>
      </c>
      <c r="AW48" s="358">
        <v>27</v>
      </c>
      <c r="AX48" s="358">
        <v>105</v>
      </c>
      <c r="AY48" s="358">
        <v>109</v>
      </c>
      <c r="AZ48" s="358">
        <v>110</v>
      </c>
      <c r="BA48" s="358">
        <v>111</v>
      </c>
      <c r="BB48" s="358">
        <v>112</v>
      </c>
      <c r="BC48" s="358">
        <v>115</v>
      </c>
      <c r="BD48" s="358">
        <v>119</v>
      </c>
      <c r="BE48" s="358">
        <v>121</v>
      </c>
      <c r="BF48" s="358">
        <v>122</v>
      </c>
      <c r="BG48" s="358">
        <v>125</v>
      </c>
      <c r="BH48" s="358">
        <v>126</v>
      </c>
      <c r="BI48" s="358">
        <v>127</v>
      </c>
      <c r="BJ48" s="358">
        <v>129</v>
      </c>
      <c r="BK48" s="358">
        <v>130</v>
      </c>
      <c r="BL48" s="358">
        <v>131</v>
      </c>
      <c r="BM48" s="358">
        <v>133</v>
      </c>
      <c r="BN48" s="358">
        <v>134</v>
      </c>
      <c r="BO48" s="358">
        <v>137</v>
      </c>
      <c r="BP48" s="358">
        <v>142</v>
      </c>
      <c r="BQ48" s="358">
        <v>146</v>
      </c>
      <c r="BR48" s="358">
        <v>156</v>
      </c>
      <c r="BS48" s="358">
        <v>163</v>
      </c>
      <c r="BT48" s="358">
        <v>167</v>
      </c>
      <c r="BU48" s="358">
        <v>170</v>
      </c>
      <c r="BV48" s="358">
        <v>107</v>
      </c>
      <c r="BW48" s="358">
        <v>108</v>
      </c>
      <c r="BX48" s="358">
        <v>111</v>
      </c>
      <c r="BY48" s="358">
        <v>115</v>
      </c>
      <c r="BZ48" s="358">
        <v>120</v>
      </c>
      <c r="CA48" s="358">
        <v>124</v>
      </c>
      <c r="CB48" s="358">
        <v>131</v>
      </c>
      <c r="CC48" s="358">
        <v>136</v>
      </c>
      <c r="CD48" s="358">
        <v>139</v>
      </c>
      <c r="CE48" s="358">
        <v>143</v>
      </c>
      <c r="CF48" s="358">
        <v>145</v>
      </c>
      <c r="CG48" s="358">
        <v>152</v>
      </c>
      <c r="CH48" s="358">
        <v>154</v>
      </c>
      <c r="CI48" s="358">
        <v>158</v>
      </c>
      <c r="CJ48" s="358">
        <v>161</v>
      </c>
      <c r="CK48" s="358">
        <v>168</v>
      </c>
      <c r="CL48" s="358">
        <v>174</v>
      </c>
      <c r="CM48" s="358">
        <v>178</v>
      </c>
      <c r="CN48" s="358">
        <v>183</v>
      </c>
      <c r="CO48" s="358">
        <v>190</v>
      </c>
      <c r="CP48" s="358">
        <v>201</v>
      </c>
      <c r="CQ48" s="358">
        <v>214</v>
      </c>
      <c r="CR48" s="358">
        <v>219</v>
      </c>
      <c r="CS48" s="358">
        <v>108</v>
      </c>
      <c r="CT48" s="358">
        <v>113</v>
      </c>
      <c r="CU48" s="358">
        <v>119</v>
      </c>
      <c r="CV48" s="358">
        <v>125</v>
      </c>
      <c r="CW48" s="358">
        <v>131</v>
      </c>
      <c r="CX48" s="358">
        <v>136</v>
      </c>
      <c r="CY48" s="358">
        <v>143</v>
      </c>
      <c r="CZ48" s="358">
        <v>146</v>
      </c>
      <c r="DA48" s="358">
        <v>150</v>
      </c>
      <c r="DB48" s="358">
        <v>155</v>
      </c>
      <c r="DC48" s="358">
        <v>166</v>
      </c>
      <c r="DD48" s="358">
        <v>176</v>
      </c>
      <c r="DE48" s="358">
        <v>180</v>
      </c>
      <c r="DF48" s="358">
        <v>186</v>
      </c>
      <c r="DG48" s="358">
        <v>195</v>
      </c>
      <c r="DH48" s="358">
        <v>200</v>
      </c>
      <c r="DI48" s="358">
        <v>207</v>
      </c>
      <c r="DJ48" s="358">
        <v>216</v>
      </c>
      <c r="DK48" s="358">
        <v>223</v>
      </c>
      <c r="DL48" s="358">
        <v>231</v>
      </c>
      <c r="DM48" s="358">
        <v>243</v>
      </c>
      <c r="DN48" s="358">
        <v>246</v>
      </c>
      <c r="DO48" s="358">
        <v>257</v>
      </c>
      <c r="DP48" s="358">
        <v>266</v>
      </c>
      <c r="DQ48" s="358">
        <v>101</v>
      </c>
      <c r="DR48" s="358">
        <v>106</v>
      </c>
      <c r="DS48" s="358">
        <v>110</v>
      </c>
      <c r="DT48" s="358">
        <v>112</v>
      </c>
      <c r="DU48" s="358">
        <v>115</v>
      </c>
      <c r="DV48" s="358">
        <v>116</v>
      </c>
      <c r="DW48" s="358">
        <v>122</v>
      </c>
      <c r="DX48" s="358">
        <v>125</v>
      </c>
      <c r="DY48" s="358">
        <v>131</v>
      </c>
      <c r="DZ48" s="358">
        <v>136</v>
      </c>
      <c r="EA48" s="358">
        <v>140</v>
      </c>
      <c r="EB48" s="358">
        <v>144</v>
      </c>
      <c r="EC48" s="358">
        <v>149</v>
      </c>
      <c r="ED48" s="358">
        <v>155</v>
      </c>
      <c r="EE48" s="358">
        <v>161</v>
      </c>
      <c r="EF48" s="358">
        <v>164</v>
      </c>
      <c r="EG48" s="358">
        <v>168</v>
      </c>
      <c r="EH48" s="358">
        <v>173</v>
      </c>
      <c r="EI48" s="358">
        <v>178</v>
      </c>
      <c r="EJ48" s="358">
        <v>182</v>
      </c>
      <c r="EK48" s="358">
        <v>187</v>
      </c>
      <c r="EL48" s="358">
        <v>191</v>
      </c>
      <c r="EM48" s="358">
        <v>44</v>
      </c>
      <c r="EN48" s="358">
        <v>56</v>
      </c>
      <c r="EO48" s="358">
        <v>67</v>
      </c>
      <c r="EP48" s="358">
        <v>77</v>
      </c>
      <c r="EQ48" s="358">
        <v>84</v>
      </c>
      <c r="ES48" s="358">
        <v>96</v>
      </c>
      <c r="ET48" s="358">
        <v>101</v>
      </c>
      <c r="EU48" s="358">
        <v>110</v>
      </c>
      <c r="EV48" s="358">
        <v>116</v>
      </c>
      <c r="EW48" s="358">
        <v>40</v>
      </c>
      <c r="EX48" s="358">
        <v>51</v>
      </c>
      <c r="EY48" s="358">
        <v>62</v>
      </c>
      <c r="EZ48" s="358">
        <v>78</v>
      </c>
      <c r="FA48" s="358">
        <v>86</v>
      </c>
      <c r="FB48" s="358">
        <v>96</v>
      </c>
      <c r="FC48" s="358">
        <v>110</v>
      </c>
      <c r="FD48" s="358">
        <v>122</v>
      </c>
      <c r="FE48" s="358">
        <v>129</v>
      </c>
      <c r="FF48" s="358">
        <v>134</v>
      </c>
      <c r="FG48" s="358">
        <v>146</v>
      </c>
      <c r="FH48" s="358">
        <v>155</v>
      </c>
      <c r="FI48" s="358">
        <v>166</v>
      </c>
      <c r="FJ48" s="358">
        <v>172</v>
      </c>
      <c r="FK48" s="358">
        <v>177</v>
      </c>
      <c r="FL48" s="358">
        <v>19</v>
      </c>
      <c r="FM48" s="358">
        <v>29</v>
      </c>
      <c r="FN48" s="358">
        <v>35</v>
      </c>
      <c r="FO48" s="358">
        <v>42</v>
      </c>
      <c r="FP48" s="358">
        <v>55</v>
      </c>
      <c r="FQ48" s="358">
        <v>70</v>
      </c>
      <c r="FR48" s="358">
        <v>78</v>
      </c>
      <c r="FS48" s="358">
        <v>85</v>
      </c>
      <c r="FT48" s="358">
        <v>92</v>
      </c>
      <c r="FU48" s="358">
        <v>99</v>
      </c>
      <c r="FV48" s="358">
        <v>109</v>
      </c>
      <c r="FW48" s="358">
        <v>174</v>
      </c>
      <c r="FX48" s="358">
        <v>221</v>
      </c>
      <c r="FY48" s="358">
        <v>228</v>
      </c>
      <c r="FZ48" s="358">
        <v>256</v>
      </c>
      <c r="GA48" s="358">
        <v>325</v>
      </c>
      <c r="GB48" s="358">
        <v>157</v>
      </c>
      <c r="GC48" s="358">
        <v>213</v>
      </c>
      <c r="GD48" s="358">
        <v>249</v>
      </c>
      <c r="GE48" s="358">
        <v>278</v>
      </c>
      <c r="GF48" s="358">
        <v>270</v>
      </c>
      <c r="GG48" s="358">
        <v>194</v>
      </c>
      <c r="GH48" s="358">
        <v>206</v>
      </c>
      <c r="GI48" s="361">
        <v>232</v>
      </c>
    </row>
    <row r="49" spans="1:191">
      <c r="A49" s="336" t="s">
        <v>450</v>
      </c>
      <c r="B49" s="358">
        <v>112</v>
      </c>
      <c r="C49" s="358">
        <v>116</v>
      </c>
      <c r="D49" s="358">
        <v>118</v>
      </c>
      <c r="E49" s="358">
        <v>119</v>
      </c>
      <c r="F49" s="358">
        <v>122</v>
      </c>
      <c r="G49" s="358">
        <v>125</v>
      </c>
      <c r="H49" s="358">
        <v>128</v>
      </c>
      <c r="I49" s="358">
        <v>130</v>
      </c>
      <c r="J49" s="358">
        <v>133</v>
      </c>
      <c r="K49" s="358">
        <v>137</v>
      </c>
      <c r="L49" s="358">
        <v>139</v>
      </c>
      <c r="M49" s="358">
        <v>142</v>
      </c>
      <c r="N49" s="358">
        <v>144</v>
      </c>
      <c r="O49" s="358">
        <v>149</v>
      </c>
      <c r="P49" s="358">
        <v>155</v>
      </c>
      <c r="Q49" s="358">
        <v>157</v>
      </c>
      <c r="R49" s="358">
        <v>160</v>
      </c>
      <c r="S49" s="358">
        <v>162</v>
      </c>
      <c r="T49" s="358">
        <v>165</v>
      </c>
      <c r="U49" s="358">
        <v>168</v>
      </c>
      <c r="V49" s="358">
        <v>110</v>
      </c>
      <c r="W49" s="358">
        <v>108</v>
      </c>
      <c r="X49" s="358">
        <v>106</v>
      </c>
      <c r="Y49" s="358">
        <v>104</v>
      </c>
      <c r="Z49" s="358">
        <v>102</v>
      </c>
      <c r="AA49" s="358">
        <v>101</v>
      </c>
      <c r="AB49" s="358">
        <v>99</v>
      </c>
      <c r="AC49" s="358">
        <v>96</v>
      </c>
      <c r="AD49" s="358">
        <v>94</v>
      </c>
      <c r="AE49" s="358">
        <v>89</v>
      </c>
      <c r="AF49" s="358">
        <v>84</v>
      </c>
      <c r="AG49" s="358">
        <v>79</v>
      </c>
      <c r="AH49" s="358">
        <v>78</v>
      </c>
      <c r="AI49" s="358">
        <v>77</v>
      </c>
      <c r="AJ49" s="358">
        <v>73</v>
      </c>
      <c r="AK49" s="358">
        <v>67</v>
      </c>
      <c r="AL49" s="358">
        <v>61</v>
      </c>
      <c r="AM49" s="358">
        <v>56</v>
      </c>
      <c r="AN49" s="358">
        <v>50</v>
      </c>
      <c r="AO49" s="358">
        <v>46</v>
      </c>
      <c r="AP49" s="358">
        <v>40</v>
      </c>
      <c r="AQ49" s="358">
        <v>34</v>
      </c>
      <c r="AR49" s="358">
        <v>30</v>
      </c>
      <c r="AS49" s="358">
        <v>18</v>
      </c>
      <c r="AT49" s="358">
        <v>10</v>
      </c>
      <c r="AV49" s="358">
        <v>9</v>
      </c>
      <c r="AW49" s="358">
        <v>17</v>
      </c>
      <c r="AX49" s="358">
        <v>115</v>
      </c>
      <c r="AY49" s="358">
        <v>119</v>
      </c>
      <c r="AZ49" s="358">
        <v>120</v>
      </c>
      <c r="BA49" s="358">
        <v>121</v>
      </c>
      <c r="BB49" s="358">
        <v>122</v>
      </c>
      <c r="BC49" s="358">
        <v>125</v>
      </c>
      <c r="BD49" s="358">
        <v>129</v>
      </c>
      <c r="BE49" s="358">
        <v>131</v>
      </c>
      <c r="BF49" s="358">
        <v>132</v>
      </c>
      <c r="BG49" s="358">
        <v>135</v>
      </c>
      <c r="BH49" s="358">
        <v>136</v>
      </c>
      <c r="BI49" s="358">
        <v>137</v>
      </c>
      <c r="BJ49" s="358">
        <v>139</v>
      </c>
      <c r="BK49" s="358">
        <v>140</v>
      </c>
      <c r="BL49" s="358">
        <v>141</v>
      </c>
      <c r="BM49" s="358">
        <v>143</v>
      </c>
      <c r="BN49" s="358">
        <v>144</v>
      </c>
      <c r="BO49" s="358">
        <v>147</v>
      </c>
      <c r="BP49" s="358">
        <v>152</v>
      </c>
      <c r="BQ49" s="358">
        <v>156</v>
      </c>
      <c r="BR49" s="358">
        <v>166</v>
      </c>
      <c r="BS49" s="358">
        <v>173</v>
      </c>
      <c r="BT49" s="358">
        <v>177</v>
      </c>
      <c r="BU49" s="358">
        <v>180</v>
      </c>
      <c r="BV49" s="358">
        <v>117</v>
      </c>
      <c r="BW49" s="358">
        <v>118</v>
      </c>
      <c r="BX49" s="358">
        <v>121</v>
      </c>
      <c r="BY49" s="358">
        <v>125</v>
      </c>
      <c r="BZ49" s="358">
        <v>130</v>
      </c>
      <c r="CA49" s="358">
        <v>134</v>
      </c>
      <c r="CB49" s="358">
        <v>141</v>
      </c>
      <c r="CC49" s="358">
        <v>146</v>
      </c>
      <c r="CD49" s="358">
        <v>149</v>
      </c>
      <c r="CE49" s="358">
        <v>153</v>
      </c>
      <c r="CF49" s="358">
        <v>155</v>
      </c>
      <c r="CG49" s="358">
        <v>162</v>
      </c>
      <c r="CH49" s="358">
        <v>164</v>
      </c>
      <c r="CI49" s="358">
        <v>168</v>
      </c>
      <c r="CJ49" s="358">
        <v>171</v>
      </c>
      <c r="CK49" s="358">
        <v>178</v>
      </c>
      <c r="CL49" s="358">
        <v>184</v>
      </c>
      <c r="CM49" s="358">
        <v>188</v>
      </c>
      <c r="CN49" s="358">
        <v>193</v>
      </c>
      <c r="CO49" s="358">
        <v>200</v>
      </c>
      <c r="CP49" s="358">
        <v>211</v>
      </c>
      <c r="CQ49" s="358">
        <v>224</v>
      </c>
      <c r="CR49" s="358">
        <v>229</v>
      </c>
      <c r="CS49" s="358">
        <v>118</v>
      </c>
      <c r="CT49" s="358">
        <v>123</v>
      </c>
      <c r="CU49" s="358">
        <v>129</v>
      </c>
      <c r="CV49" s="358">
        <v>135</v>
      </c>
      <c r="CW49" s="358">
        <v>141</v>
      </c>
      <c r="CX49" s="358">
        <v>146</v>
      </c>
      <c r="CY49" s="358">
        <v>153</v>
      </c>
      <c r="CZ49" s="358">
        <v>156</v>
      </c>
      <c r="DA49" s="358">
        <v>160</v>
      </c>
      <c r="DB49" s="358">
        <v>165</v>
      </c>
      <c r="DC49" s="358">
        <v>176</v>
      </c>
      <c r="DD49" s="358">
        <v>186</v>
      </c>
      <c r="DE49" s="358">
        <v>190</v>
      </c>
      <c r="DF49" s="358">
        <v>196</v>
      </c>
      <c r="DG49" s="358">
        <v>205</v>
      </c>
      <c r="DH49" s="358">
        <v>210</v>
      </c>
      <c r="DI49" s="358">
        <v>217</v>
      </c>
      <c r="DJ49" s="358">
        <v>226</v>
      </c>
      <c r="DK49" s="358">
        <v>233</v>
      </c>
      <c r="DL49" s="358">
        <v>241</v>
      </c>
      <c r="DM49" s="358">
        <v>253</v>
      </c>
      <c r="DN49" s="358">
        <v>256</v>
      </c>
      <c r="DO49" s="358">
        <v>267</v>
      </c>
      <c r="DP49" s="358">
        <v>276</v>
      </c>
      <c r="DQ49" s="358">
        <v>111</v>
      </c>
      <c r="DR49" s="358">
        <v>116</v>
      </c>
      <c r="DS49" s="358">
        <v>120</v>
      </c>
      <c r="DT49" s="358">
        <v>122</v>
      </c>
      <c r="DU49" s="358">
        <v>125</v>
      </c>
      <c r="DV49" s="358">
        <v>126</v>
      </c>
      <c r="DW49" s="358">
        <v>132</v>
      </c>
      <c r="DX49" s="358">
        <v>135</v>
      </c>
      <c r="DY49" s="358">
        <v>141</v>
      </c>
      <c r="DZ49" s="358">
        <v>146</v>
      </c>
      <c r="EA49" s="358">
        <v>150</v>
      </c>
      <c r="EB49" s="358">
        <v>154</v>
      </c>
      <c r="EC49" s="358">
        <v>159</v>
      </c>
      <c r="ED49" s="358">
        <v>165</v>
      </c>
      <c r="EE49" s="358">
        <v>171</v>
      </c>
      <c r="EF49" s="358">
        <v>174</v>
      </c>
      <c r="EG49" s="358">
        <v>178</v>
      </c>
      <c r="EH49" s="358">
        <v>183</v>
      </c>
      <c r="EI49" s="358">
        <v>188</v>
      </c>
      <c r="EJ49" s="358">
        <v>192</v>
      </c>
      <c r="EK49" s="358">
        <v>197</v>
      </c>
      <c r="EL49" s="358">
        <v>201</v>
      </c>
      <c r="EM49" s="358">
        <v>34</v>
      </c>
      <c r="EN49" s="358">
        <v>46</v>
      </c>
      <c r="EO49" s="358">
        <v>57</v>
      </c>
      <c r="EP49" s="358">
        <v>67</v>
      </c>
      <c r="EQ49" s="358">
        <v>74</v>
      </c>
      <c r="ES49" s="358">
        <v>86</v>
      </c>
      <c r="ET49" s="358">
        <v>91</v>
      </c>
      <c r="EU49" s="358">
        <v>100</v>
      </c>
      <c r="EV49" s="358">
        <v>106</v>
      </c>
      <c r="EW49" s="358">
        <v>30</v>
      </c>
      <c r="EX49" s="358">
        <v>41</v>
      </c>
      <c r="EY49" s="358">
        <v>52</v>
      </c>
      <c r="EZ49" s="358">
        <v>68</v>
      </c>
      <c r="FA49" s="358">
        <v>76</v>
      </c>
      <c r="FB49" s="358">
        <v>86</v>
      </c>
      <c r="FC49" s="358">
        <v>100</v>
      </c>
      <c r="FD49" s="358">
        <v>112</v>
      </c>
      <c r="FE49" s="358">
        <v>119</v>
      </c>
      <c r="FF49" s="358">
        <v>124</v>
      </c>
      <c r="FG49" s="358">
        <v>136</v>
      </c>
      <c r="FH49" s="358">
        <v>145</v>
      </c>
      <c r="FI49" s="358">
        <v>156</v>
      </c>
      <c r="FJ49" s="358">
        <v>162</v>
      </c>
      <c r="FK49" s="358">
        <v>167</v>
      </c>
      <c r="FL49" s="358">
        <v>9</v>
      </c>
      <c r="FM49" s="358">
        <v>19</v>
      </c>
      <c r="FN49" s="358">
        <v>25</v>
      </c>
      <c r="FO49" s="358">
        <v>32</v>
      </c>
      <c r="FP49" s="358">
        <v>45</v>
      </c>
      <c r="FQ49" s="358">
        <v>60</v>
      </c>
      <c r="FR49" s="358">
        <v>68</v>
      </c>
      <c r="FS49" s="358">
        <v>75</v>
      </c>
      <c r="FT49" s="358">
        <v>82</v>
      </c>
      <c r="FU49" s="358">
        <v>89</v>
      </c>
      <c r="FV49" s="358">
        <v>99</v>
      </c>
      <c r="FW49" s="358">
        <v>184</v>
      </c>
      <c r="FX49" s="358">
        <v>231</v>
      </c>
      <c r="FY49" s="358">
        <v>238</v>
      </c>
      <c r="FZ49" s="358">
        <v>266</v>
      </c>
      <c r="GA49" s="358">
        <v>335</v>
      </c>
      <c r="GB49" s="358">
        <v>147</v>
      </c>
      <c r="GC49" s="358">
        <v>223</v>
      </c>
      <c r="GD49" s="358">
        <v>259</v>
      </c>
      <c r="GE49" s="358">
        <v>288</v>
      </c>
      <c r="GF49" s="358">
        <v>280</v>
      </c>
      <c r="GG49" s="358">
        <v>204</v>
      </c>
      <c r="GH49" s="358">
        <v>216</v>
      </c>
      <c r="GI49" s="361">
        <v>242</v>
      </c>
    </row>
    <row r="50" spans="1:191">
      <c r="A50" s="336" t="s">
        <v>449</v>
      </c>
      <c r="B50" s="358">
        <v>121</v>
      </c>
      <c r="C50" s="358">
        <v>125</v>
      </c>
      <c r="D50" s="358">
        <v>127</v>
      </c>
      <c r="E50" s="358">
        <v>128</v>
      </c>
      <c r="F50" s="358">
        <v>131</v>
      </c>
      <c r="G50" s="358">
        <v>134</v>
      </c>
      <c r="H50" s="358">
        <v>137</v>
      </c>
      <c r="I50" s="358">
        <v>139</v>
      </c>
      <c r="J50" s="358">
        <v>142</v>
      </c>
      <c r="K50" s="358">
        <v>146</v>
      </c>
      <c r="L50" s="358">
        <v>148</v>
      </c>
      <c r="M50" s="358">
        <v>151</v>
      </c>
      <c r="N50" s="358">
        <v>153</v>
      </c>
      <c r="O50" s="358">
        <v>158</v>
      </c>
      <c r="P50" s="358">
        <v>164</v>
      </c>
      <c r="Q50" s="358">
        <v>166</v>
      </c>
      <c r="R50" s="358">
        <v>169</v>
      </c>
      <c r="S50" s="358">
        <v>171</v>
      </c>
      <c r="T50" s="358">
        <v>174</v>
      </c>
      <c r="U50" s="358">
        <v>177</v>
      </c>
      <c r="V50" s="358">
        <v>119</v>
      </c>
      <c r="W50" s="358">
        <v>117</v>
      </c>
      <c r="X50" s="358">
        <v>115</v>
      </c>
      <c r="Y50" s="358">
        <v>113</v>
      </c>
      <c r="Z50" s="358">
        <v>111</v>
      </c>
      <c r="AA50" s="358">
        <v>110</v>
      </c>
      <c r="AB50" s="358">
        <v>108</v>
      </c>
      <c r="AC50" s="358">
        <v>105</v>
      </c>
      <c r="AD50" s="358">
        <v>103</v>
      </c>
      <c r="AE50" s="358">
        <v>98</v>
      </c>
      <c r="AF50" s="358">
        <v>93</v>
      </c>
      <c r="AG50" s="358">
        <v>88</v>
      </c>
      <c r="AH50" s="358">
        <v>87</v>
      </c>
      <c r="AI50" s="358">
        <v>86</v>
      </c>
      <c r="AJ50" s="358">
        <v>82</v>
      </c>
      <c r="AK50" s="358">
        <v>76</v>
      </c>
      <c r="AL50" s="358">
        <v>70</v>
      </c>
      <c r="AM50" s="358">
        <v>65</v>
      </c>
      <c r="AN50" s="358">
        <v>59</v>
      </c>
      <c r="AO50" s="358">
        <v>55</v>
      </c>
      <c r="AP50" s="358">
        <v>49</v>
      </c>
      <c r="AQ50" s="358">
        <v>43</v>
      </c>
      <c r="AR50" s="358">
        <v>39</v>
      </c>
      <c r="AS50" s="358">
        <v>27</v>
      </c>
      <c r="AT50" s="358">
        <v>19</v>
      </c>
      <c r="AU50" s="358">
        <v>9</v>
      </c>
      <c r="AW50" s="358">
        <v>8</v>
      </c>
      <c r="AX50" s="358">
        <v>124</v>
      </c>
      <c r="AY50" s="358">
        <v>128</v>
      </c>
      <c r="AZ50" s="358">
        <v>129</v>
      </c>
      <c r="BA50" s="358">
        <v>130</v>
      </c>
      <c r="BB50" s="358">
        <v>131</v>
      </c>
      <c r="BC50" s="358">
        <v>134</v>
      </c>
      <c r="BD50" s="358">
        <v>138</v>
      </c>
      <c r="BE50" s="358">
        <v>140</v>
      </c>
      <c r="BF50" s="358">
        <v>141</v>
      </c>
      <c r="BG50" s="358">
        <v>144</v>
      </c>
      <c r="BH50" s="358">
        <v>145</v>
      </c>
      <c r="BI50" s="358">
        <v>146</v>
      </c>
      <c r="BJ50" s="358">
        <v>148</v>
      </c>
      <c r="BK50" s="358">
        <v>149</v>
      </c>
      <c r="BL50" s="358">
        <v>150</v>
      </c>
      <c r="BM50" s="358">
        <v>152</v>
      </c>
      <c r="BN50" s="358">
        <v>153</v>
      </c>
      <c r="BO50" s="358">
        <v>156</v>
      </c>
      <c r="BP50" s="358">
        <v>161</v>
      </c>
      <c r="BQ50" s="358">
        <v>165</v>
      </c>
      <c r="BR50" s="358">
        <v>175</v>
      </c>
      <c r="BS50" s="358">
        <v>182</v>
      </c>
      <c r="BT50" s="358">
        <v>186</v>
      </c>
      <c r="BU50" s="358">
        <v>189</v>
      </c>
      <c r="BV50" s="358">
        <v>126</v>
      </c>
      <c r="BW50" s="358">
        <v>127</v>
      </c>
      <c r="BX50" s="358">
        <v>130</v>
      </c>
      <c r="BY50" s="358">
        <v>134</v>
      </c>
      <c r="BZ50" s="358">
        <v>139</v>
      </c>
      <c r="CA50" s="358">
        <v>143</v>
      </c>
      <c r="CB50" s="358">
        <v>150</v>
      </c>
      <c r="CC50" s="358">
        <v>155</v>
      </c>
      <c r="CD50" s="358">
        <v>158</v>
      </c>
      <c r="CE50" s="358">
        <v>162</v>
      </c>
      <c r="CF50" s="358">
        <v>164</v>
      </c>
      <c r="CG50" s="358">
        <v>171</v>
      </c>
      <c r="CH50" s="358">
        <v>173</v>
      </c>
      <c r="CI50" s="358">
        <v>177</v>
      </c>
      <c r="CJ50" s="358">
        <v>180</v>
      </c>
      <c r="CK50" s="358">
        <v>187</v>
      </c>
      <c r="CL50" s="358">
        <v>193</v>
      </c>
      <c r="CM50" s="358">
        <v>197</v>
      </c>
      <c r="CN50" s="358">
        <v>202</v>
      </c>
      <c r="CO50" s="358">
        <v>209</v>
      </c>
      <c r="CP50" s="358">
        <v>220</v>
      </c>
      <c r="CQ50" s="358">
        <v>233</v>
      </c>
      <c r="CR50" s="358">
        <v>238</v>
      </c>
      <c r="CS50" s="358">
        <v>127</v>
      </c>
      <c r="CT50" s="358">
        <v>132</v>
      </c>
      <c r="CU50" s="358">
        <v>138</v>
      </c>
      <c r="CV50" s="358">
        <v>144</v>
      </c>
      <c r="CW50" s="358">
        <v>150</v>
      </c>
      <c r="CX50" s="358">
        <v>155</v>
      </c>
      <c r="CY50" s="358">
        <v>162</v>
      </c>
      <c r="CZ50" s="358">
        <v>165</v>
      </c>
      <c r="DA50" s="358">
        <v>169</v>
      </c>
      <c r="DB50" s="358">
        <v>174</v>
      </c>
      <c r="DC50" s="358">
        <v>185</v>
      </c>
      <c r="DD50" s="358">
        <v>195</v>
      </c>
      <c r="DE50" s="358">
        <v>199</v>
      </c>
      <c r="DF50" s="358">
        <v>205</v>
      </c>
      <c r="DG50" s="358">
        <v>214</v>
      </c>
      <c r="DH50" s="358">
        <v>219</v>
      </c>
      <c r="DI50" s="358">
        <v>226</v>
      </c>
      <c r="DJ50" s="358">
        <v>235</v>
      </c>
      <c r="DK50" s="358">
        <v>242</v>
      </c>
      <c r="DL50" s="358">
        <v>250</v>
      </c>
      <c r="DM50" s="358">
        <v>262</v>
      </c>
      <c r="DN50" s="358">
        <v>265</v>
      </c>
      <c r="DO50" s="358">
        <v>276</v>
      </c>
      <c r="DP50" s="358">
        <v>285</v>
      </c>
      <c r="DQ50" s="358">
        <v>120</v>
      </c>
      <c r="DR50" s="358">
        <v>125</v>
      </c>
      <c r="DS50" s="358">
        <v>129</v>
      </c>
      <c r="DT50" s="358">
        <v>131</v>
      </c>
      <c r="DU50" s="358">
        <v>134</v>
      </c>
      <c r="DV50" s="358">
        <v>135</v>
      </c>
      <c r="DW50" s="358">
        <v>141</v>
      </c>
      <c r="DX50" s="358">
        <v>144</v>
      </c>
      <c r="DY50" s="358">
        <v>150</v>
      </c>
      <c r="DZ50" s="358">
        <v>155</v>
      </c>
      <c r="EA50" s="358">
        <v>159</v>
      </c>
      <c r="EB50" s="358">
        <v>163</v>
      </c>
      <c r="EC50" s="358">
        <v>168</v>
      </c>
      <c r="ED50" s="358">
        <v>174</v>
      </c>
      <c r="EE50" s="358">
        <v>180</v>
      </c>
      <c r="EF50" s="358">
        <v>183</v>
      </c>
      <c r="EG50" s="358">
        <v>187</v>
      </c>
      <c r="EH50" s="358">
        <v>192</v>
      </c>
      <c r="EI50" s="358">
        <v>197</v>
      </c>
      <c r="EJ50" s="358">
        <v>201</v>
      </c>
      <c r="EK50" s="358">
        <v>206</v>
      </c>
      <c r="EL50" s="358">
        <v>210</v>
      </c>
      <c r="EM50" s="358">
        <v>25</v>
      </c>
      <c r="EN50" s="358">
        <v>37</v>
      </c>
      <c r="EO50" s="358">
        <v>48</v>
      </c>
      <c r="EP50" s="358">
        <v>58</v>
      </c>
      <c r="EQ50" s="358">
        <v>65</v>
      </c>
      <c r="ES50" s="358">
        <v>77</v>
      </c>
      <c r="ET50" s="358">
        <v>82</v>
      </c>
      <c r="EU50" s="358">
        <v>91</v>
      </c>
      <c r="EV50" s="358">
        <v>97</v>
      </c>
      <c r="EW50" s="358">
        <v>21</v>
      </c>
      <c r="EX50" s="358">
        <v>32</v>
      </c>
      <c r="EY50" s="358">
        <v>43</v>
      </c>
      <c r="EZ50" s="358">
        <v>59</v>
      </c>
      <c r="FA50" s="358">
        <v>67</v>
      </c>
      <c r="FB50" s="358">
        <v>77</v>
      </c>
      <c r="FC50" s="358">
        <v>91</v>
      </c>
      <c r="FD50" s="358">
        <v>103</v>
      </c>
      <c r="FE50" s="358">
        <v>110</v>
      </c>
      <c r="FF50" s="358">
        <v>115</v>
      </c>
      <c r="FG50" s="358">
        <v>127</v>
      </c>
      <c r="FH50" s="358">
        <v>136</v>
      </c>
      <c r="FI50" s="358">
        <v>147</v>
      </c>
      <c r="FJ50" s="358">
        <v>153</v>
      </c>
      <c r="FK50" s="358">
        <v>158</v>
      </c>
      <c r="FL50" s="358">
        <v>18</v>
      </c>
      <c r="FM50" s="358">
        <v>28</v>
      </c>
      <c r="FN50" s="358">
        <v>34</v>
      </c>
      <c r="FO50" s="358">
        <v>41</v>
      </c>
      <c r="FP50" s="358">
        <v>54</v>
      </c>
      <c r="FQ50" s="358">
        <v>69</v>
      </c>
      <c r="FR50" s="358">
        <v>77</v>
      </c>
      <c r="FS50" s="358">
        <v>84</v>
      </c>
      <c r="FT50" s="358">
        <v>91</v>
      </c>
      <c r="FU50" s="358">
        <v>98</v>
      </c>
      <c r="FV50" s="358">
        <v>108</v>
      </c>
      <c r="FW50" s="358">
        <v>193</v>
      </c>
      <c r="FX50" s="358">
        <v>240</v>
      </c>
      <c r="FY50" s="358">
        <v>247</v>
      </c>
      <c r="FZ50" s="358">
        <v>275</v>
      </c>
      <c r="GA50" s="358">
        <v>344</v>
      </c>
      <c r="GB50" s="358">
        <v>138</v>
      </c>
      <c r="GC50" s="358">
        <v>232</v>
      </c>
      <c r="GD50" s="358">
        <v>268</v>
      </c>
      <c r="GE50" s="358">
        <v>297</v>
      </c>
      <c r="GF50" s="358">
        <v>289</v>
      </c>
      <c r="GG50" s="358">
        <v>213</v>
      </c>
      <c r="GH50" s="358">
        <v>225</v>
      </c>
      <c r="GI50" s="361">
        <v>251</v>
      </c>
    </row>
    <row r="51" spans="1:191">
      <c r="A51" s="336" t="s">
        <v>448</v>
      </c>
      <c r="B51" s="358">
        <v>129</v>
      </c>
      <c r="C51" s="358">
        <v>133</v>
      </c>
      <c r="D51" s="358">
        <v>135</v>
      </c>
      <c r="E51" s="358">
        <v>136</v>
      </c>
      <c r="F51" s="358">
        <v>139</v>
      </c>
      <c r="G51" s="358">
        <v>142</v>
      </c>
      <c r="H51" s="358">
        <v>145</v>
      </c>
      <c r="I51" s="358">
        <v>147</v>
      </c>
      <c r="J51" s="358">
        <v>150</v>
      </c>
      <c r="K51" s="358">
        <v>154</v>
      </c>
      <c r="L51" s="358">
        <v>156</v>
      </c>
      <c r="M51" s="358">
        <v>159</v>
      </c>
      <c r="N51" s="358">
        <v>161</v>
      </c>
      <c r="O51" s="358">
        <v>166</v>
      </c>
      <c r="P51" s="358">
        <v>172</v>
      </c>
      <c r="Q51" s="358">
        <v>174</v>
      </c>
      <c r="R51" s="358">
        <v>177</v>
      </c>
      <c r="S51" s="358">
        <v>179</v>
      </c>
      <c r="T51" s="358">
        <v>182</v>
      </c>
      <c r="U51" s="358">
        <v>185</v>
      </c>
      <c r="V51" s="358">
        <v>127</v>
      </c>
      <c r="W51" s="358">
        <v>125</v>
      </c>
      <c r="X51" s="358">
        <v>123</v>
      </c>
      <c r="Y51" s="358">
        <v>121</v>
      </c>
      <c r="Z51" s="358">
        <v>119</v>
      </c>
      <c r="AA51" s="358">
        <v>118</v>
      </c>
      <c r="AB51" s="358">
        <v>116</v>
      </c>
      <c r="AC51" s="358">
        <v>113</v>
      </c>
      <c r="AD51" s="358">
        <v>111</v>
      </c>
      <c r="AE51" s="358">
        <v>106</v>
      </c>
      <c r="AF51" s="358">
        <v>101</v>
      </c>
      <c r="AG51" s="358">
        <v>96</v>
      </c>
      <c r="AH51" s="358">
        <v>95</v>
      </c>
      <c r="AI51" s="358">
        <v>94</v>
      </c>
      <c r="AJ51" s="358">
        <v>90</v>
      </c>
      <c r="AK51" s="358">
        <v>84</v>
      </c>
      <c r="AL51" s="358">
        <v>78</v>
      </c>
      <c r="AM51" s="358">
        <v>73</v>
      </c>
      <c r="AN51" s="358">
        <v>67</v>
      </c>
      <c r="AO51" s="358">
        <v>63</v>
      </c>
      <c r="AP51" s="358">
        <v>57</v>
      </c>
      <c r="AQ51" s="358">
        <v>51</v>
      </c>
      <c r="AR51" s="358">
        <v>47</v>
      </c>
      <c r="AS51" s="358">
        <v>35</v>
      </c>
      <c r="AT51" s="358">
        <v>27</v>
      </c>
      <c r="AU51" s="358">
        <v>17</v>
      </c>
      <c r="AV51" s="358">
        <v>8</v>
      </c>
      <c r="AX51" s="358">
        <v>132</v>
      </c>
      <c r="AY51" s="358">
        <v>136</v>
      </c>
      <c r="AZ51" s="358">
        <v>137</v>
      </c>
      <c r="BA51" s="358">
        <v>138</v>
      </c>
      <c r="BB51" s="358">
        <v>139</v>
      </c>
      <c r="BC51" s="358">
        <v>142</v>
      </c>
      <c r="BD51" s="358">
        <v>146</v>
      </c>
      <c r="BE51" s="358">
        <v>148</v>
      </c>
      <c r="BF51" s="358">
        <v>149</v>
      </c>
      <c r="BG51" s="358">
        <v>152</v>
      </c>
      <c r="BH51" s="358">
        <v>153</v>
      </c>
      <c r="BI51" s="358">
        <v>154</v>
      </c>
      <c r="BJ51" s="358">
        <v>156</v>
      </c>
      <c r="BK51" s="358">
        <v>157</v>
      </c>
      <c r="BL51" s="358">
        <v>158</v>
      </c>
      <c r="BM51" s="358">
        <v>160</v>
      </c>
      <c r="BN51" s="358">
        <v>161</v>
      </c>
      <c r="BO51" s="358">
        <v>164</v>
      </c>
      <c r="BP51" s="358">
        <v>169</v>
      </c>
      <c r="BQ51" s="358">
        <v>173</v>
      </c>
      <c r="BR51" s="358">
        <v>183</v>
      </c>
      <c r="BS51" s="358">
        <v>190</v>
      </c>
      <c r="BT51" s="358">
        <v>194</v>
      </c>
      <c r="BU51" s="358">
        <v>197</v>
      </c>
      <c r="BV51" s="358">
        <v>134</v>
      </c>
      <c r="BW51" s="358">
        <v>135</v>
      </c>
      <c r="BX51" s="358">
        <v>138</v>
      </c>
      <c r="BY51" s="358">
        <v>142</v>
      </c>
      <c r="BZ51" s="358">
        <v>147</v>
      </c>
      <c r="CA51" s="358">
        <v>151</v>
      </c>
      <c r="CB51" s="358">
        <v>158</v>
      </c>
      <c r="CC51" s="358">
        <v>163</v>
      </c>
      <c r="CD51" s="358">
        <v>166</v>
      </c>
      <c r="CE51" s="358">
        <v>170</v>
      </c>
      <c r="CF51" s="358">
        <v>172</v>
      </c>
      <c r="CG51" s="358">
        <v>179</v>
      </c>
      <c r="CH51" s="358">
        <v>181</v>
      </c>
      <c r="CI51" s="358">
        <v>185</v>
      </c>
      <c r="CJ51" s="358">
        <v>188</v>
      </c>
      <c r="CK51" s="358">
        <v>195</v>
      </c>
      <c r="CL51" s="358">
        <v>201</v>
      </c>
      <c r="CM51" s="358">
        <v>205</v>
      </c>
      <c r="CN51" s="358">
        <v>210</v>
      </c>
      <c r="CO51" s="358">
        <v>217</v>
      </c>
      <c r="CP51" s="358">
        <v>228</v>
      </c>
      <c r="CQ51" s="358">
        <v>241</v>
      </c>
      <c r="CR51" s="358">
        <v>246</v>
      </c>
      <c r="CS51" s="358">
        <v>135</v>
      </c>
      <c r="CT51" s="358">
        <v>140</v>
      </c>
      <c r="CU51" s="358">
        <v>146</v>
      </c>
      <c r="CV51" s="358">
        <v>152</v>
      </c>
      <c r="CW51" s="358">
        <v>158</v>
      </c>
      <c r="CX51" s="358">
        <v>163</v>
      </c>
      <c r="CY51" s="358">
        <v>170</v>
      </c>
      <c r="CZ51" s="358">
        <v>173</v>
      </c>
      <c r="DA51" s="358">
        <v>177</v>
      </c>
      <c r="DB51" s="358">
        <v>182</v>
      </c>
      <c r="DC51" s="358">
        <v>193</v>
      </c>
      <c r="DD51" s="358">
        <v>203</v>
      </c>
      <c r="DE51" s="358">
        <v>207</v>
      </c>
      <c r="DF51" s="358">
        <v>213</v>
      </c>
      <c r="DG51" s="358">
        <v>222</v>
      </c>
      <c r="DH51" s="358">
        <v>227</v>
      </c>
      <c r="DI51" s="358">
        <v>234</v>
      </c>
      <c r="DJ51" s="358">
        <v>243</v>
      </c>
      <c r="DK51" s="358">
        <v>250</v>
      </c>
      <c r="DL51" s="358">
        <v>258</v>
      </c>
      <c r="DM51" s="358">
        <v>270</v>
      </c>
      <c r="DN51" s="358">
        <v>273</v>
      </c>
      <c r="DO51" s="358">
        <v>284</v>
      </c>
      <c r="DP51" s="358">
        <v>293</v>
      </c>
      <c r="DQ51" s="358">
        <v>128</v>
      </c>
      <c r="DR51" s="358">
        <v>133</v>
      </c>
      <c r="DS51" s="358">
        <v>137</v>
      </c>
      <c r="DT51" s="358">
        <v>139</v>
      </c>
      <c r="DU51" s="358">
        <v>142</v>
      </c>
      <c r="DV51" s="358">
        <v>143</v>
      </c>
      <c r="DW51" s="358">
        <v>149</v>
      </c>
      <c r="DX51" s="358">
        <v>152</v>
      </c>
      <c r="DY51" s="358">
        <v>158</v>
      </c>
      <c r="DZ51" s="358">
        <v>163</v>
      </c>
      <c r="EA51" s="358">
        <v>167</v>
      </c>
      <c r="EB51" s="358">
        <v>171</v>
      </c>
      <c r="EC51" s="358">
        <v>176</v>
      </c>
      <c r="ED51" s="358">
        <v>182</v>
      </c>
      <c r="EE51" s="358">
        <v>188</v>
      </c>
      <c r="EF51" s="358">
        <v>191</v>
      </c>
      <c r="EG51" s="358">
        <v>195</v>
      </c>
      <c r="EH51" s="358">
        <v>200</v>
      </c>
      <c r="EI51" s="358">
        <v>205</v>
      </c>
      <c r="EJ51" s="358">
        <v>209</v>
      </c>
      <c r="EK51" s="358">
        <v>214</v>
      </c>
      <c r="EL51" s="358">
        <v>218</v>
      </c>
      <c r="EM51" s="358">
        <v>17</v>
      </c>
      <c r="EN51" s="358">
        <v>29</v>
      </c>
      <c r="EO51" s="358">
        <v>40</v>
      </c>
      <c r="EP51" s="358">
        <v>50</v>
      </c>
      <c r="EQ51" s="358">
        <v>57</v>
      </c>
      <c r="ES51" s="358">
        <v>69</v>
      </c>
      <c r="ET51" s="358">
        <v>74</v>
      </c>
      <c r="EU51" s="358">
        <v>83</v>
      </c>
      <c r="EV51" s="358">
        <v>89</v>
      </c>
      <c r="EW51" s="358">
        <v>13</v>
      </c>
      <c r="EX51" s="358">
        <v>24</v>
      </c>
      <c r="EY51" s="358">
        <v>35</v>
      </c>
      <c r="EZ51" s="358">
        <v>51</v>
      </c>
      <c r="FA51" s="358">
        <v>59</v>
      </c>
      <c r="FB51" s="358">
        <v>69</v>
      </c>
      <c r="FC51" s="358">
        <v>83</v>
      </c>
      <c r="FD51" s="358">
        <v>95</v>
      </c>
      <c r="FE51" s="358">
        <v>102</v>
      </c>
      <c r="FF51" s="358">
        <v>107</v>
      </c>
      <c r="FG51" s="358">
        <v>119</v>
      </c>
      <c r="FH51" s="358">
        <v>128</v>
      </c>
      <c r="FI51" s="358">
        <v>139</v>
      </c>
      <c r="FJ51" s="358">
        <v>145</v>
      </c>
      <c r="FK51" s="358">
        <v>150</v>
      </c>
      <c r="FL51" s="358">
        <v>26</v>
      </c>
      <c r="FM51" s="358">
        <v>36</v>
      </c>
      <c r="FN51" s="358">
        <v>42</v>
      </c>
      <c r="FO51" s="358">
        <v>49</v>
      </c>
      <c r="FP51" s="358">
        <v>62</v>
      </c>
      <c r="FQ51" s="358">
        <v>77</v>
      </c>
      <c r="FR51" s="358">
        <v>85</v>
      </c>
      <c r="FS51" s="358">
        <v>92</v>
      </c>
      <c r="FT51" s="358">
        <v>99</v>
      </c>
      <c r="FU51" s="358">
        <v>106</v>
      </c>
      <c r="FV51" s="358">
        <v>116</v>
      </c>
      <c r="FW51" s="358">
        <v>201</v>
      </c>
      <c r="FX51" s="358">
        <v>248</v>
      </c>
      <c r="FY51" s="358">
        <v>255</v>
      </c>
      <c r="FZ51" s="358">
        <v>283</v>
      </c>
      <c r="GA51" s="358">
        <v>352</v>
      </c>
      <c r="GB51" s="358">
        <v>130</v>
      </c>
      <c r="GC51" s="358">
        <v>240</v>
      </c>
      <c r="GD51" s="358">
        <v>276</v>
      </c>
      <c r="GE51" s="358">
        <v>305</v>
      </c>
      <c r="GF51" s="358">
        <v>297</v>
      </c>
      <c r="GG51" s="358">
        <v>221</v>
      </c>
      <c r="GH51" s="358">
        <v>233</v>
      </c>
      <c r="GI51" s="361">
        <v>259</v>
      </c>
    </row>
    <row r="52" spans="1:191">
      <c r="A52" s="336" t="s">
        <v>447</v>
      </c>
      <c r="B52" s="358">
        <v>3</v>
      </c>
      <c r="C52" s="358">
        <v>7</v>
      </c>
      <c r="D52" s="358">
        <v>9</v>
      </c>
      <c r="E52" s="358">
        <v>10</v>
      </c>
      <c r="F52" s="358">
        <v>13</v>
      </c>
      <c r="G52" s="358">
        <v>16</v>
      </c>
      <c r="H52" s="358">
        <v>19</v>
      </c>
      <c r="I52" s="358">
        <v>21</v>
      </c>
      <c r="J52" s="358">
        <v>24</v>
      </c>
      <c r="K52" s="358">
        <v>28</v>
      </c>
      <c r="L52" s="358">
        <v>30</v>
      </c>
      <c r="M52" s="358">
        <v>33</v>
      </c>
      <c r="N52" s="358">
        <v>35</v>
      </c>
      <c r="O52" s="358">
        <v>40</v>
      </c>
      <c r="P52" s="358">
        <v>46</v>
      </c>
      <c r="Q52" s="358">
        <v>48</v>
      </c>
      <c r="R52" s="358">
        <v>51</v>
      </c>
      <c r="S52" s="358">
        <v>53</v>
      </c>
      <c r="T52" s="358">
        <v>56</v>
      </c>
      <c r="U52" s="358">
        <v>59</v>
      </c>
      <c r="V52" s="358">
        <v>5</v>
      </c>
      <c r="W52" s="358">
        <v>7</v>
      </c>
      <c r="X52" s="358">
        <v>9</v>
      </c>
      <c r="Y52" s="358">
        <v>11</v>
      </c>
      <c r="Z52" s="358">
        <v>13</v>
      </c>
      <c r="AA52" s="358">
        <v>14</v>
      </c>
      <c r="AB52" s="358">
        <v>16</v>
      </c>
      <c r="AC52" s="358">
        <v>19</v>
      </c>
      <c r="AD52" s="358">
        <v>21</v>
      </c>
      <c r="AE52" s="358">
        <v>26</v>
      </c>
      <c r="AF52" s="358">
        <v>31</v>
      </c>
      <c r="AG52" s="358">
        <v>36</v>
      </c>
      <c r="AH52" s="358">
        <v>37</v>
      </c>
      <c r="AI52" s="358">
        <v>38</v>
      </c>
      <c r="AJ52" s="358">
        <v>42</v>
      </c>
      <c r="AK52" s="358">
        <v>48</v>
      </c>
      <c r="AL52" s="358">
        <v>54</v>
      </c>
      <c r="AM52" s="358">
        <v>59</v>
      </c>
      <c r="AN52" s="358">
        <v>65</v>
      </c>
      <c r="AO52" s="358">
        <v>69</v>
      </c>
      <c r="AP52" s="358">
        <v>75</v>
      </c>
      <c r="AQ52" s="358">
        <v>81</v>
      </c>
      <c r="AR52" s="358">
        <v>85</v>
      </c>
      <c r="AS52" s="358">
        <v>97</v>
      </c>
      <c r="AT52" s="358">
        <v>105</v>
      </c>
      <c r="AU52" s="358">
        <v>115</v>
      </c>
      <c r="AV52" s="358">
        <v>124</v>
      </c>
      <c r="AW52" s="358">
        <v>132</v>
      </c>
      <c r="AY52" s="358">
        <v>4</v>
      </c>
      <c r="AZ52" s="358">
        <v>5</v>
      </c>
      <c r="BA52" s="358">
        <v>6</v>
      </c>
      <c r="BB52" s="358">
        <v>7</v>
      </c>
      <c r="BC52" s="358">
        <v>10</v>
      </c>
      <c r="BD52" s="358">
        <v>14</v>
      </c>
      <c r="BE52" s="358">
        <v>16</v>
      </c>
      <c r="BF52" s="358">
        <v>17</v>
      </c>
      <c r="BG52" s="358">
        <v>20</v>
      </c>
      <c r="BH52" s="358">
        <v>21</v>
      </c>
      <c r="BI52" s="358">
        <v>22</v>
      </c>
      <c r="BJ52" s="358">
        <v>24</v>
      </c>
      <c r="BK52" s="358">
        <v>25</v>
      </c>
      <c r="BL52" s="358">
        <v>26</v>
      </c>
      <c r="BM52" s="358">
        <v>28</v>
      </c>
      <c r="BN52" s="358">
        <v>29</v>
      </c>
      <c r="BO52" s="358">
        <v>32</v>
      </c>
      <c r="BP52" s="358">
        <v>37</v>
      </c>
      <c r="BQ52" s="358">
        <v>41</v>
      </c>
      <c r="BR52" s="358">
        <v>51</v>
      </c>
      <c r="BS52" s="358">
        <v>58</v>
      </c>
      <c r="BT52" s="358">
        <v>62</v>
      </c>
      <c r="BU52" s="358">
        <v>65</v>
      </c>
      <c r="BV52" s="358">
        <v>2</v>
      </c>
      <c r="BW52" s="358">
        <v>3</v>
      </c>
      <c r="BX52" s="358">
        <v>6</v>
      </c>
      <c r="BY52" s="358">
        <v>10</v>
      </c>
      <c r="BZ52" s="358">
        <v>15</v>
      </c>
      <c r="CA52" s="358">
        <v>19</v>
      </c>
      <c r="CB52" s="358">
        <v>26</v>
      </c>
      <c r="CC52" s="358">
        <v>31</v>
      </c>
      <c r="CD52" s="358">
        <v>34</v>
      </c>
      <c r="CE52" s="358">
        <v>38</v>
      </c>
      <c r="CF52" s="358">
        <v>40</v>
      </c>
      <c r="CG52" s="358">
        <v>47</v>
      </c>
      <c r="CH52" s="358">
        <v>49</v>
      </c>
      <c r="CI52" s="358">
        <v>53</v>
      </c>
      <c r="CJ52" s="358">
        <v>56</v>
      </c>
      <c r="CK52" s="358">
        <v>63</v>
      </c>
      <c r="CL52" s="358">
        <v>69</v>
      </c>
      <c r="CM52" s="358">
        <v>73</v>
      </c>
      <c r="CN52" s="358">
        <v>78</v>
      </c>
      <c r="CO52" s="358">
        <v>85</v>
      </c>
      <c r="CP52" s="358">
        <v>96</v>
      </c>
      <c r="CQ52" s="358">
        <v>109</v>
      </c>
      <c r="CR52" s="358">
        <v>114</v>
      </c>
      <c r="CS52" s="358">
        <v>9</v>
      </c>
      <c r="CT52" s="358">
        <v>14</v>
      </c>
      <c r="CU52" s="358">
        <v>20</v>
      </c>
      <c r="CV52" s="358">
        <v>26</v>
      </c>
      <c r="CW52" s="358">
        <v>32</v>
      </c>
      <c r="CX52" s="358">
        <v>37</v>
      </c>
      <c r="CY52" s="358">
        <v>44</v>
      </c>
      <c r="CZ52" s="358">
        <v>47</v>
      </c>
      <c r="DA52" s="358">
        <v>51</v>
      </c>
      <c r="DB52" s="358">
        <v>56</v>
      </c>
      <c r="DC52" s="358">
        <v>67</v>
      </c>
      <c r="DD52" s="358">
        <v>77</v>
      </c>
      <c r="DE52" s="358">
        <v>81</v>
      </c>
      <c r="DF52" s="358">
        <v>87</v>
      </c>
      <c r="DG52" s="358">
        <v>96</v>
      </c>
      <c r="DH52" s="358">
        <v>101</v>
      </c>
      <c r="DI52" s="358">
        <v>108</v>
      </c>
      <c r="DJ52" s="358">
        <v>117</v>
      </c>
      <c r="DK52" s="358">
        <v>124</v>
      </c>
      <c r="DL52" s="358">
        <v>132</v>
      </c>
      <c r="DM52" s="358">
        <v>144</v>
      </c>
      <c r="DN52" s="358">
        <v>147</v>
      </c>
      <c r="DO52" s="358">
        <v>158</v>
      </c>
      <c r="DP52" s="358">
        <v>167</v>
      </c>
      <c r="DQ52" s="358">
        <v>10</v>
      </c>
      <c r="DR52" s="358">
        <v>15</v>
      </c>
      <c r="DS52" s="358">
        <v>19</v>
      </c>
      <c r="DT52" s="358">
        <v>21</v>
      </c>
      <c r="DU52" s="358">
        <v>24</v>
      </c>
      <c r="DV52" s="358">
        <v>25</v>
      </c>
      <c r="DW52" s="358">
        <v>31</v>
      </c>
      <c r="DX52" s="358">
        <v>34</v>
      </c>
      <c r="DY52" s="358">
        <v>40</v>
      </c>
      <c r="DZ52" s="358">
        <v>45</v>
      </c>
      <c r="EA52" s="358">
        <v>49</v>
      </c>
      <c r="EB52" s="358">
        <v>53</v>
      </c>
      <c r="EC52" s="358">
        <v>58</v>
      </c>
      <c r="ED52" s="358">
        <v>64</v>
      </c>
      <c r="EE52" s="358">
        <v>70</v>
      </c>
      <c r="EF52" s="358">
        <v>73</v>
      </c>
      <c r="EG52" s="358">
        <v>77</v>
      </c>
      <c r="EH52" s="358">
        <v>82</v>
      </c>
      <c r="EI52" s="358">
        <v>87</v>
      </c>
      <c r="EJ52" s="358">
        <v>91</v>
      </c>
      <c r="EK52" s="358">
        <v>96</v>
      </c>
      <c r="EL52" s="358">
        <v>100</v>
      </c>
      <c r="EM52" s="358">
        <v>149</v>
      </c>
      <c r="EN52" s="358">
        <v>161</v>
      </c>
      <c r="EO52" s="358">
        <v>172</v>
      </c>
      <c r="EP52" s="358">
        <v>182</v>
      </c>
      <c r="EQ52" s="358">
        <v>189</v>
      </c>
      <c r="ES52" s="358">
        <v>201</v>
      </c>
      <c r="ET52" s="358">
        <v>206</v>
      </c>
      <c r="EU52" s="358">
        <v>215</v>
      </c>
      <c r="EV52" s="358">
        <v>221</v>
      </c>
      <c r="EW52" s="358">
        <v>145</v>
      </c>
      <c r="EX52" s="358">
        <v>156</v>
      </c>
      <c r="EY52" s="358">
        <v>167</v>
      </c>
      <c r="EZ52" s="358">
        <v>183</v>
      </c>
      <c r="FA52" s="358">
        <v>191</v>
      </c>
      <c r="FB52" s="358">
        <v>201</v>
      </c>
      <c r="FC52" s="358">
        <v>215</v>
      </c>
      <c r="FD52" s="358">
        <v>227</v>
      </c>
      <c r="FE52" s="358">
        <v>234</v>
      </c>
      <c r="FF52" s="358">
        <v>239</v>
      </c>
      <c r="FG52" s="358">
        <v>251</v>
      </c>
      <c r="FH52" s="358">
        <v>260</v>
      </c>
      <c r="FI52" s="358">
        <v>271</v>
      </c>
      <c r="FJ52" s="358">
        <v>277</v>
      </c>
      <c r="FK52" s="358">
        <v>282</v>
      </c>
      <c r="FL52" s="358">
        <v>124</v>
      </c>
      <c r="FM52" s="358">
        <v>134</v>
      </c>
      <c r="FN52" s="358">
        <v>140</v>
      </c>
      <c r="FO52" s="358">
        <v>147</v>
      </c>
      <c r="FP52" s="358">
        <v>160</v>
      </c>
      <c r="FQ52" s="358">
        <v>175</v>
      </c>
      <c r="FR52" s="358">
        <v>183</v>
      </c>
      <c r="FS52" s="358">
        <v>190</v>
      </c>
      <c r="FT52" s="358">
        <v>197</v>
      </c>
      <c r="FU52" s="358">
        <v>204</v>
      </c>
      <c r="FV52" s="358">
        <v>214</v>
      </c>
      <c r="FW52" s="358">
        <v>69</v>
      </c>
      <c r="FX52" s="358">
        <v>116</v>
      </c>
      <c r="FY52" s="358">
        <v>123</v>
      </c>
      <c r="FZ52" s="358">
        <v>151</v>
      </c>
      <c r="GA52" s="358">
        <v>220</v>
      </c>
      <c r="GB52" s="358">
        <v>262</v>
      </c>
      <c r="GC52" s="358">
        <v>108</v>
      </c>
      <c r="GD52" s="358">
        <v>144</v>
      </c>
      <c r="GE52" s="358">
        <v>173</v>
      </c>
      <c r="GF52" s="358">
        <v>171</v>
      </c>
      <c r="GG52" s="358">
        <v>89</v>
      </c>
      <c r="GH52" s="358">
        <v>101</v>
      </c>
      <c r="GI52" s="361">
        <v>127</v>
      </c>
    </row>
    <row r="53" spans="1:191">
      <c r="A53" s="336" t="s">
        <v>446</v>
      </c>
      <c r="B53" s="358">
        <v>7</v>
      </c>
      <c r="C53" s="358">
        <v>11</v>
      </c>
      <c r="D53" s="358">
        <v>13</v>
      </c>
      <c r="E53" s="358">
        <v>14</v>
      </c>
      <c r="F53" s="358">
        <v>17</v>
      </c>
      <c r="G53" s="358">
        <v>20</v>
      </c>
      <c r="H53" s="358">
        <v>23</v>
      </c>
      <c r="I53" s="358">
        <v>25</v>
      </c>
      <c r="J53" s="358">
        <v>28</v>
      </c>
      <c r="K53" s="358">
        <v>32</v>
      </c>
      <c r="L53" s="358">
        <v>34</v>
      </c>
      <c r="M53" s="358">
        <v>37</v>
      </c>
      <c r="N53" s="358">
        <v>39</v>
      </c>
      <c r="O53" s="358">
        <v>44</v>
      </c>
      <c r="P53" s="358">
        <v>50</v>
      </c>
      <c r="Q53" s="358">
        <v>52</v>
      </c>
      <c r="R53" s="358">
        <v>55</v>
      </c>
      <c r="S53" s="358">
        <v>57</v>
      </c>
      <c r="T53" s="358">
        <v>60</v>
      </c>
      <c r="U53" s="358">
        <v>63</v>
      </c>
      <c r="V53" s="358">
        <v>9</v>
      </c>
      <c r="W53" s="358">
        <v>11</v>
      </c>
      <c r="X53" s="358">
        <v>13</v>
      </c>
      <c r="Y53" s="358">
        <v>15</v>
      </c>
      <c r="Z53" s="358">
        <v>17</v>
      </c>
      <c r="AA53" s="358">
        <v>18</v>
      </c>
      <c r="AB53" s="358">
        <v>20</v>
      </c>
      <c r="AC53" s="358">
        <v>23</v>
      </c>
      <c r="AD53" s="358">
        <v>25</v>
      </c>
      <c r="AE53" s="358">
        <v>30</v>
      </c>
      <c r="AF53" s="358">
        <v>35</v>
      </c>
      <c r="AG53" s="358">
        <v>40</v>
      </c>
      <c r="AH53" s="358">
        <v>41</v>
      </c>
      <c r="AI53" s="358">
        <v>42</v>
      </c>
      <c r="AJ53" s="358">
        <v>46</v>
      </c>
      <c r="AK53" s="358">
        <v>52</v>
      </c>
      <c r="AL53" s="358">
        <v>58</v>
      </c>
      <c r="AM53" s="358">
        <v>63</v>
      </c>
      <c r="AN53" s="358">
        <v>69</v>
      </c>
      <c r="AO53" s="358">
        <v>73</v>
      </c>
      <c r="AP53" s="358">
        <v>79</v>
      </c>
      <c r="AQ53" s="358">
        <v>85</v>
      </c>
      <c r="AR53" s="358">
        <v>89</v>
      </c>
      <c r="AS53" s="358">
        <v>101</v>
      </c>
      <c r="AT53" s="358">
        <v>109</v>
      </c>
      <c r="AU53" s="358">
        <v>119</v>
      </c>
      <c r="AV53" s="358">
        <v>128</v>
      </c>
      <c r="AW53" s="358">
        <v>136</v>
      </c>
      <c r="AX53" s="358">
        <v>4</v>
      </c>
      <c r="AZ53" s="358">
        <v>1</v>
      </c>
      <c r="BA53" s="358">
        <v>2</v>
      </c>
      <c r="BB53" s="358">
        <v>3</v>
      </c>
      <c r="BC53" s="358">
        <v>6</v>
      </c>
      <c r="BD53" s="358">
        <v>10</v>
      </c>
      <c r="BE53" s="358">
        <v>12</v>
      </c>
      <c r="BF53" s="358">
        <v>13</v>
      </c>
      <c r="BG53" s="358">
        <v>16</v>
      </c>
      <c r="BH53" s="358">
        <v>17</v>
      </c>
      <c r="BI53" s="358">
        <v>18</v>
      </c>
      <c r="BJ53" s="358">
        <v>20</v>
      </c>
      <c r="BK53" s="358">
        <v>21</v>
      </c>
      <c r="BL53" s="358">
        <v>22</v>
      </c>
      <c r="BM53" s="358">
        <v>24</v>
      </c>
      <c r="BN53" s="358">
        <v>25</v>
      </c>
      <c r="BO53" s="358">
        <v>28</v>
      </c>
      <c r="BP53" s="358">
        <v>33</v>
      </c>
      <c r="BQ53" s="358">
        <v>37</v>
      </c>
      <c r="BR53" s="358">
        <v>47</v>
      </c>
      <c r="BS53" s="358">
        <v>54</v>
      </c>
      <c r="BT53" s="358">
        <v>58</v>
      </c>
      <c r="BU53" s="358">
        <v>61</v>
      </c>
      <c r="BV53" s="358">
        <v>6</v>
      </c>
      <c r="BW53" s="358">
        <v>7</v>
      </c>
      <c r="BX53" s="358">
        <v>10</v>
      </c>
      <c r="BY53" s="358">
        <v>14</v>
      </c>
      <c r="BZ53" s="358">
        <v>19</v>
      </c>
      <c r="CA53" s="358">
        <v>23</v>
      </c>
      <c r="CB53" s="358">
        <v>30</v>
      </c>
      <c r="CC53" s="358">
        <v>35</v>
      </c>
      <c r="CD53" s="358">
        <v>38</v>
      </c>
      <c r="CE53" s="358">
        <v>42</v>
      </c>
      <c r="CF53" s="358">
        <v>44</v>
      </c>
      <c r="CG53" s="358">
        <v>51</v>
      </c>
      <c r="CH53" s="358">
        <v>53</v>
      </c>
      <c r="CI53" s="358">
        <v>57</v>
      </c>
      <c r="CJ53" s="358">
        <v>60</v>
      </c>
      <c r="CK53" s="358">
        <v>67</v>
      </c>
      <c r="CL53" s="358">
        <v>73</v>
      </c>
      <c r="CM53" s="358">
        <v>77</v>
      </c>
      <c r="CN53" s="358">
        <v>82</v>
      </c>
      <c r="CO53" s="358">
        <v>89</v>
      </c>
      <c r="CP53" s="358">
        <v>100</v>
      </c>
      <c r="CQ53" s="358">
        <v>113</v>
      </c>
      <c r="CR53" s="358">
        <v>118</v>
      </c>
      <c r="CS53" s="358">
        <v>13</v>
      </c>
      <c r="CT53" s="358">
        <v>18</v>
      </c>
      <c r="CU53" s="358">
        <v>24</v>
      </c>
      <c r="CV53" s="358">
        <v>30</v>
      </c>
      <c r="CW53" s="358">
        <v>36</v>
      </c>
      <c r="CX53" s="358">
        <v>41</v>
      </c>
      <c r="CY53" s="358">
        <v>48</v>
      </c>
      <c r="CZ53" s="358">
        <v>51</v>
      </c>
      <c r="DA53" s="358">
        <v>55</v>
      </c>
      <c r="DB53" s="358">
        <v>60</v>
      </c>
      <c r="DC53" s="358">
        <v>71</v>
      </c>
      <c r="DD53" s="358">
        <v>81</v>
      </c>
      <c r="DE53" s="358">
        <v>85</v>
      </c>
      <c r="DF53" s="358">
        <v>91</v>
      </c>
      <c r="DG53" s="358">
        <v>100</v>
      </c>
      <c r="DH53" s="358">
        <v>105</v>
      </c>
      <c r="DI53" s="358">
        <v>112</v>
      </c>
      <c r="DJ53" s="358">
        <v>121</v>
      </c>
      <c r="DK53" s="358">
        <v>128</v>
      </c>
      <c r="DL53" s="358">
        <v>136</v>
      </c>
      <c r="DM53" s="358">
        <v>148</v>
      </c>
      <c r="DN53" s="358">
        <v>151</v>
      </c>
      <c r="DO53" s="358">
        <v>162</v>
      </c>
      <c r="DP53" s="358">
        <v>171</v>
      </c>
      <c r="DQ53" s="358">
        <v>14</v>
      </c>
      <c r="DR53" s="358">
        <v>19</v>
      </c>
      <c r="DS53" s="358">
        <v>23</v>
      </c>
      <c r="DT53" s="358">
        <v>25</v>
      </c>
      <c r="DU53" s="358">
        <v>28</v>
      </c>
      <c r="DV53" s="358">
        <v>29</v>
      </c>
      <c r="DW53" s="358">
        <v>35</v>
      </c>
      <c r="DX53" s="358">
        <v>38</v>
      </c>
      <c r="DY53" s="358">
        <v>44</v>
      </c>
      <c r="DZ53" s="358">
        <v>49</v>
      </c>
      <c r="EA53" s="358">
        <v>53</v>
      </c>
      <c r="EB53" s="358">
        <v>57</v>
      </c>
      <c r="EC53" s="358">
        <v>62</v>
      </c>
      <c r="ED53" s="358">
        <v>68</v>
      </c>
      <c r="EE53" s="358">
        <v>74</v>
      </c>
      <c r="EF53" s="358">
        <v>77</v>
      </c>
      <c r="EG53" s="358">
        <v>81</v>
      </c>
      <c r="EH53" s="358">
        <v>86</v>
      </c>
      <c r="EI53" s="358">
        <v>91</v>
      </c>
      <c r="EJ53" s="358">
        <v>95</v>
      </c>
      <c r="EK53" s="358">
        <v>100</v>
      </c>
      <c r="EL53" s="358">
        <v>104</v>
      </c>
      <c r="EM53" s="358">
        <v>153</v>
      </c>
      <c r="EN53" s="358">
        <v>165</v>
      </c>
      <c r="EO53" s="358">
        <v>176</v>
      </c>
      <c r="EP53" s="358">
        <v>186</v>
      </c>
      <c r="EQ53" s="358">
        <v>193</v>
      </c>
      <c r="ES53" s="358">
        <v>205</v>
      </c>
      <c r="ET53" s="358">
        <v>210</v>
      </c>
      <c r="EU53" s="358">
        <v>219</v>
      </c>
      <c r="EV53" s="358">
        <v>225</v>
      </c>
      <c r="EW53" s="358">
        <v>149</v>
      </c>
      <c r="EX53" s="358">
        <v>160</v>
      </c>
      <c r="EY53" s="358">
        <v>171</v>
      </c>
      <c r="EZ53" s="358">
        <v>187</v>
      </c>
      <c r="FA53" s="358">
        <v>195</v>
      </c>
      <c r="FB53" s="358">
        <v>205</v>
      </c>
      <c r="FC53" s="358">
        <v>219</v>
      </c>
      <c r="FD53" s="358">
        <v>231</v>
      </c>
      <c r="FE53" s="358">
        <v>238</v>
      </c>
      <c r="FF53" s="358">
        <v>243</v>
      </c>
      <c r="FG53" s="358">
        <v>255</v>
      </c>
      <c r="FH53" s="358">
        <v>264</v>
      </c>
      <c r="FI53" s="358">
        <v>275</v>
      </c>
      <c r="FJ53" s="358">
        <v>281</v>
      </c>
      <c r="FK53" s="358">
        <v>286</v>
      </c>
      <c r="FL53" s="358">
        <v>128</v>
      </c>
      <c r="FM53" s="358">
        <v>138</v>
      </c>
      <c r="FN53" s="358">
        <v>144</v>
      </c>
      <c r="FO53" s="358">
        <v>151</v>
      </c>
      <c r="FP53" s="358">
        <v>164</v>
      </c>
      <c r="FQ53" s="358">
        <v>179</v>
      </c>
      <c r="FR53" s="358">
        <v>187</v>
      </c>
      <c r="FS53" s="358">
        <v>194</v>
      </c>
      <c r="FT53" s="358">
        <v>201</v>
      </c>
      <c r="FU53" s="358">
        <v>208</v>
      </c>
      <c r="FV53" s="358">
        <v>218</v>
      </c>
      <c r="FW53" s="358">
        <v>79</v>
      </c>
      <c r="FX53" s="358">
        <v>126</v>
      </c>
      <c r="FY53" s="358">
        <v>133</v>
      </c>
      <c r="FZ53" s="358">
        <v>161</v>
      </c>
      <c r="GA53" s="358">
        <v>230</v>
      </c>
      <c r="GB53" s="358">
        <v>266</v>
      </c>
      <c r="GC53" s="358">
        <v>104</v>
      </c>
      <c r="GD53" s="358">
        <v>140</v>
      </c>
      <c r="GE53" s="358">
        <v>169</v>
      </c>
      <c r="GF53" s="358">
        <v>175</v>
      </c>
      <c r="GG53" s="358">
        <v>85</v>
      </c>
      <c r="GH53" s="358">
        <v>97</v>
      </c>
      <c r="GI53" s="361">
        <v>123</v>
      </c>
    </row>
    <row r="54" spans="1:191">
      <c r="A54" s="336" t="s">
        <v>445</v>
      </c>
      <c r="B54" s="358">
        <v>8</v>
      </c>
      <c r="C54" s="358">
        <v>12</v>
      </c>
      <c r="D54" s="358">
        <v>14</v>
      </c>
      <c r="E54" s="358">
        <v>15</v>
      </c>
      <c r="F54" s="358">
        <v>18</v>
      </c>
      <c r="G54" s="358">
        <v>21</v>
      </c>
      <c r="H54" s="358">
        <v>24</v>
      </c>
      <c r="I54" s="358">
        <v>26</v>
      </c>
      <c r="J54" s="358">
        <v>29</v>
      </c>
      <c r="K54" s="358">
        <v>33</v>
      </c>
      <c r="L54" s="358">
        <v>35</v>
      </c>
      <c r="M54" s="358">
        <v>38</v>
      </c>
      <c r="N54" s="358">
        <v>40</v>
      </c>
      <c r="O54" s="358">
        <v>45</v>
      </c>
      <c r="P54" s="358">
        <v>51</v>
      </c>
      <c r="Q54" s="358">
        <v>53</v>
      </c>
      <c r="R54" s="358">
        <v>56</v>
      </c>
      <c r="S54" s="358">
        <v>58</v>
      </c>
      <c r="T54" s="358">
        <v>61</v>
      </c>
      <c r="U54" s="358">
        <v>64</v>
      </c>
      <c r="V54" s="358">
        <v>10</v>
      </c>
      <c r="W54" s="358">
        <v>12</v>
      </c>
      <c r="X54" s="358">
        <v>14</v>
      </c>
      <c r="Y54" s="358">
        <v>16</v>
      </c>
      <c r="Z54" s="358">
        <v>18</v>
      </c>
      <c r="AA54" s="358">
        <v>19</v>
      </c>
      <c r="AB54" s="358">
        <v>21</v>
      </c>
      <c r="AC54" s="358">
        <v>24</v>
      </c>
      <c r="AD54" s="358">
        <v>26</v>
      </c>
      <c r="AE54" s="358">
        <v>31</v>
      </c>
      <c r="AF54" s="358">
        <v>36</v>
      </c>
      <c r="AG54" s="358">
        <v>41</v>
      </c>
      <c r="AH54" s="358">
        <v>42</v>
      </c>
      <c r="AI54" s="358">
        <v>43</v>
      </c>
      <c r="AJ54" s="358">
        <v>47</v>
      </c>
      <c r="AK54" s="358">
        <v>53</v>
      </c>
      <c r="AL54" s="358">
        <v>59</v>
      </c>
      <c r="AM54" s="358">
        <v>64</v>
      </c>
      <c r="AN54" s="358">
        <v>70</v>
      </c>
      <c r="AO54" s="358">
        <v>74</v>
      </c>
      <c r="AP54" s="358">
        <v>80</v>
      </c>
      <c r="AQ54" s="358">
        <v>86</v>
      </c>
      <c r="AR54" s="358">
        <v>90</v>
      </c>
      <c r="AS54" s="358">
        <v>102</v>
      </c>
      <c r="AT54" s="358">
        <v>110</v>
      </c>
      <c r="AU54" s="358">
        <v>120</v>
      </c>
      <c r="AV54" s="358">
        <v>129</v>
      </c>
      <c r="AW54" s="358">
        <v>137</v>
      </c>
      <c r="AX54" s="358">
        <v>5</v>
      </c>
      <c r="AY54" s="358">
        <v>1</v>
      </c>
      <c r="BA54" s="358">
        <v>1</v>
      </c>
      <c r="BB54" s="358">
        <v>2</v>
      </c>
      <c r="BC54" s="358">
        <v>5</v>
      </c>
      <c r="BD54" s="358">
        <v>9</v>
      </c>
      <c r="BE54" s="358">
        <v>11</v>
      </c>
      <c r="BF54" s="358">
        <v>12</v>
      </c>
      <c r="BG54" s="358">
        <v>15</v>
      </c>
      <c r="BH54" s="358">
        <v>16</v>
      </c>
      <c r="BI54" s="358">
        <v>17</v>
      </c>
      <c r="BJ54" s="358">
        <v>19</v>
      </c>
      <c r="BK54" s="358">
        <v>20</v>
      </c>
      <c r="BL54" s="358">
        <v>21</v>
      </c>
      <c r="BM54" s="358">
        <v>23</v>
      </c>
      <c r="BN54" s="358">
        <v>24</v>
      </c>
      <c r="BO54" s="358">
        <v>27</v>
      </c>
      <c r="BP54" s="358">
        <v>32</v>
      </c>
      <c r="BQ54" s="358">
        <v>36</v>
      </c>
      <c r="BR54" s="358">
        <v>46</v>
      </c>
      <c r="BS54" s="358">
        <v>53</v>
      </c>
      <c r="BT54" s="358">
        <v>57</v>
      </c>
      <c r="BU54" s="358">
        <v>60</v>
      </c>
      <c r="BV54" s="358">
        <v>7</v>
      </c>
      <c r="BW54" s="358">
        <v>8</v>
      </c>
      <c r="BX54" s="358">
        <v>11</v>
      </c>
      <c r="BY54" s="358">
        <v>15</v>
      </c>
      <c r="BZ54" s="358">
        <v>20</v>
      </c>
      <c r="CA54" s="358">
        <v>24</v>
      </c>
      <c r="CB54" s="358">
        <v>31</v>
      </c>
      <c r="CC54" s="358">
        <v>36</v>
      </c>
      <c r="CD54" s="358">
        <v>39</v>
      </c>
      <c r="CE54" s="358">
        <v>43</v>
      </c>
      <c r="CF54" s="358">
        <v>45</v>
      </c>
      <c r="CG54" s="358">
        <v>52</v>
      </c>
      <c r="CH54" s="358">
        <v>54</v>
      </c>
      <c r="CI54" s="358">
        <v>58</v>
      </c>
      <c r="CJ54" s="358">
        <v>61</v>
      </c>
      <c r="CK54" s="358">
        <v>68</v>
      </c>
      <c r="CL54" s="358">
        <v>74</v>
      </c>
      <c r="CM54" s="358">
        <v>78</v>
      </c>
      <c r="CN54" s="358">
        <v>83</v>
      </c>
      <c r="CO54" s="358">
        <v>90</v>
      </c>
      <c r="CP54" s="358">
        <v>101</v>
      </c>
      <c r="CQ54" s="358">
        <v>114</v>
      </c>
      <c r="CR54" s="358">
        <v>119</v>
      </c>
      <c r="CS54" s="358">
        <v>14</v>
      </c>
      <c r="CT54" s="358">
        <v>19</v>
      </c>
      <c r="CU54" s="358">
        <v>25</v>
      </c>
      <c r="CV54" s="358">
        <v>31</v>
      </c>
      <c r="CW54" s="358">
        <v>37</v>
      </c>
      <c r="CX54" s="358">
        <v>42</v>
      </c>
      <c r="CY54" s="358">
        <v>49</v>
      </c>
      <c r="CZ54" s="358">
        <v>52</v>
      </c>
      <c r="DA54" s="358">
        <v>56</v>
      </c>
      <c r="DB54" s="358">
        <v>61</v>
      </c>
      <c r="DC54" s="358">
        <v>72</v>
      </c>
      <c r="DD54" s="358">
        <v>82</v>
      </c>
      <c r="DE54" s="358">
        <v>86</v>
      </c>
      <c r="DF54" s="358">
        <v>92</v>
      </c>
      <c r="DG54" s="358">
        <v>101</v>
      </c>
      <c r="DH54" s="358">
        <v>106</v>
      </c>
      <c r="DI54" s="358">
        <v>113</v>
      </c>
      <c r="DJ54" s="358">
        <v>122</v>
      </c>
      <c r="DK54" s="358">
        <v>129</v>
      </c>
      <c r="DL54" s="358">
        <v>137</v>
      </c>
      <c r="DM54" s="358">
        <v>149</v>
      </c>
      <c r="DN54" s="358">
        <v>152</v>
      </c>
      <c r="DO54" s="358">
        <v>163</v>
      </c>
      <c r="DP54" s="358">
        <v>172</v>
      </c>
      <c r="DQ54" s="358">
        <v>15</v>
      </c>
      <c r="DR54" s="358">
        <v>20</v>
      </c>
      <c r="DS54" s="358">
        <v>24</v>
      </c>
      <c r="DT54" s="358">
        <v>26</v>
      </c>
      <c r="DU54" s="358">
        <v>29</v>
      </c>
      <c r="DV54" s="358">
        <v>30</v>
      </c>
      <c r="DW54" s="358">
        <v>36</v>
      </c>
      <c r="DX54" s="358">
        <v>39</v>
      </c>
      <c r="DY54" s="358">
        <v>45</v>
      </c>
      <c r="DZ54" s="358">
        <v>50</v>
      </c>
      <c r="EA54" s="358">
        <v>54</v>
      </c>
      <c r="EB54" s="358">
        <v>58</v>
      </c>
      <c r="EC54" s="358">
        <v>63</v>
      </c>
      <c r="ED54" s="358">
        <v>69</v>
      </c>
      <c r="EE54" s="358">
        <v>75</v>
      </c>
      <c r="EF54" s="358">
        <v>78</v>
      </c>
      <c r="EG54" s="358">
        <v>82</v>
      </c>
      <c r="EH54" s="358">
        <v>87</v>
      </c>
      <c r="EI54" s="358">
        <v>92</v>
      </c>
      <c r="EJ54" s="358">
        <v>96</v>
      </c>
      <c r="EK54" s="358">
        <v>101</v>
      </c>
      <c r="EL54" s="358">
        <v>105</v>
      </c>
      <c r="EM54" s="358">
        <v>154</v>
      </c>
      <c r="EN54" s="358">
        <v>166</v>
      </c>
      <c r="EO54" s="358">
        <v>177</v>
      </c>
      <c r="EP54" s="358">
        <v>187</v>
      </c>
      <c r="EQ54" s="358">
        <v>194</v>
      </c>
      <c r="ES54" s="358">
        <v>206</v>
      </c>
      <c r="ET54" s="358">
        <v>211</v>
      </c>
      <c r="EU54" s="358">
        <v>220</v>
      </c>
      <c r="EV54" s="358">
        <v>226</v>
      </c>
      <c r="EW54" s="358">
        <v>150</v>
      </c>
      <c r="EX54" s="358">
        <v>161</v>
      </c>
      <c r="EY54" s="358">
        <v>172</v>
      </c>
      <c r="EZ54" s="358">
        <v>188</v>
      </c>
      <c r="FA54" s="358">
        <v>196</v>
      </c>
      <c r="FB54" s="358">
        <v>206</v>
      </c>
      <c r="FC54" s="358">
        <v>220</v>
      </c>
      <c r="FD54" s="358">
        <v>232</v>
      </c>
      <c r="FE54" s="358">
        <v>239</v>
      </c>
      <c r="FF54" s="358">
        <v>244</v>
      </c>
      <c r="FG54" s="358">
        <v>256</v>
      </c>
      <c r="FH54" s="358">
        <v>265</v>
      </c>
      <c r="FI54" s="358">
        <v>276</v>
      </c>
      <c r="FJ54" s="358">
        <v>282</v>
      </c>
      <c r="FK54" s="358">
        <v>287</v>
      </c>
      <c r="FL54" s="358">
        <v>129</v>
      </c>
      <c r="FM54" s="358">
        <v>139</v>
      </c>
      <c r="FN54" s="358">
        <v>145</v>
      </c>
      <c r="FO54" s="358">
        <v>152</v>
      </c>
      <c r="FP54" s="358">
        <v>165</v>
      </c>
      <c r="FQ54" s="358">
        <v>180</v>
      </c>
      <c r="FR54" s="358">
        <v>188</v>
      </c>
      <c r="FS54" s="358">
        <v>195</v>
      </c>
      <c r="FT54" s="358">
        <v>202</v>
      </c>
      <c r="FU54" s="358">
        <v>209</v>
      </c>
      <c r="FV54" s="358">
        <v>219</v>
      </c>
      <c r="FW54" s="358">
        <v>80</v>
      </c>
      <c r="FX54" s="358">
        <v>127</v>
      </c>
      <c r="FY54" s="358">
        <v>134</v>
      </c>
      <c r="FZ54" s="358">
        <v>162</v>
      </c>
      <c r="GA54" s="358">
        <v>231</v>
      </c>
      <c r="GB54" s="358">
        <v>267</v>
      </c>
      <c r="GC54" s="358">
        <v>103</v>
      </c>
      <c r="GD54" s="358">
        <v>139</v>
      </c>
      <c r="GE54" s="358">
        <v>168</v>
      </c>
      <c r="GF54" s="358">
        <v>176</v>
      </c>
      <c r="GG54" s="358">
        <v>84</v>
      </c>
      <c r="GH54" s="358">
        <v>96</v>
      </c>
      <c r="GI54" s="361">
        <v>122</v>
      </c>
    </row>
    <row r="55" spans="1:191">
      <c r="A55" s="336" t="s">
        <v>444</v>
      </c>
      <c r="B55" s="358">
        <v>9</v>
      </c>
      <c r="C55" s="358">
        <v>13</v>
      </c>
      <c r="D55" s="358">
        <v>15</v>
      </c>
      <c r="E55" s="358">
        <v>16</v>
      </c>
      <c r="F55" s="358">
        <v>19</v>
      </c>
      <c r="G55" s="358">
        <v>22</v>
      </c>
      <c r="H55" s="358">
        <v>25</v>
      </c>
      <c r="I55" s="358">
        <v>27</v>
      </c>
      <c r="J55" s="358">
        <v>30</v>
      </c>
      <c r="K55" s="358">
        <v>34</v>
      </c>
      <c r="L55" s="358">
        <v>36</v>
      </c>
      <c r="M55" s="358">
        <v>39</v>
      </c>
      <c r="N55" s="358">
        <v>41</v>
      </c>
      <c r="O55" s="358">
        <v>46</v>
      </c>
      <c r="P55" s="358">
        <v>52</v>
      </c>
      <c r="Q55" s="358">
        <v>54</v>
      </c>
      <c r="R55" s="358">
        <v>57</v>
      </c>
      <c r="S55" s="358">
        <v>59</v>
      </c>
      <c r="T55" s="358">
        <v>62</v>
      </c>
      <c r="U55" s="358">
        <v>65</v>
      </c>
      <c r="V55" s="358">
        <v>11</v>
      </c>
      <c r="W55" s="358">
        <v>13</v>
      </c>
      <c r="X55" s="358">
        <v>15</v>
      </c>
      <c r="Y55" s="358">
        <v>17</v>
      </c>
      <c r="Z55" s="358">
        <v>19</v>
      </c>
      <c r="AA55" s="358">
        <v>20</v>
      </c>
      <c r="AB55" s="358">
        <v>22</v>
      </c>
      <c r="AC55" s="358">
        <v>25</v>
      </c>
      <c r="AD55" s="358">
        <v>27</v>
      </c>
      <c r="AE55" s="358">
        <v>32</v>
      </c>
      <c r="AF55" s="358">
        <v>37</v>
      </c>
      <c r="AG55" s="358">
        <v>42</v>
      </c>
      <c r="AH55" s="358">
        <v>43</v>
      </c>
      <c r="AI55" s="358">
        <v>44</v>
      </c>
      <c r="AJ55" s="358">
        <v>48</v>
      </c>
      <c r="AK55" s="358">
        <v>54</v>
      </c>
      <c r="AL55" s="358">
        <v>60</v>
      </c>
      <c r="AM55" s="358">
        <v>65</v>
      </c>
      <c r="AN55" s="358">
        <v>71</v>
      </c>
      <c r="AO55" s="358">
        <v>75</v>
      </c>
      <c r="AP55" s="358">
        <v>81</v>
      </c>
      <c r="AQ55" s="358">
        <v>87</v>
      </c>
      <c r="AR55" s="358">
        <v>91</v>
      </c>
      <c r="AS55" s="358">
        <v>103</v>
      </c>
      <c r="AT55" s="358">
        <v>111</v>
      </c>
      <c r="AU55" s="358">
        <v>121</v>
      </c>
      <c r="AV55" s="358">
        <v>130</v>
      </c>
      <c r="AW55" s="358">
        <v>138</v>
      </c>
      <c r="AX55" s="358">
        <v>6</v>
      </c>
      <c r="AY55" s="358">
        <v>2</v>
      </c>
      <c r="AZ55" s="358">
        <v>1</v>
      </c>
      <c r="BB55" s="358">
        <v>1</v>
      </c>
      <c r="BC55" s="358">
        <v>4</v>
      </c>
      <c r="BD55" s="358">
        <v>8</v>
      </c>
      <c r="BE55" s="358">
        <v>10</v>
      </c>
      <c r="BF55" s="358">
        <v>11</v>
      </c>
      <c r="BG55" s="358">
        <v>14</v>
      </c>
      <c r="BH55" s="358">
        <v>15</v>
      </c>
      <c r="BI55" s="358">
        <v>16</v>
      </c>
      <c r="BJ55" s="358">
        <v>18</v>
      </c>
      <c r="BK55" s="358">
        <v>19</v>
      </c>
      <c r="BL55" s="358">
        <v>20</v>
      </c>
      <c r="BM55" s="358">
        <v>22</v>
      </c>
      <c r="BN55" s="358">
        <v>23</v>
      </c>
      <c r="BO55" s="358">
        <v>26</v>
      </c>
      <c r="BP55" s="358">
        <v>31</v>
      </c>
      <c r="BQ55" s="358">
        <v>35</v>
      </c>
      <c r="BR55" s="358">
        <v>45</v>
      </c>
      <c r="BS55" s="358">
        <v>52</v>
      </c>
      <c r="BT55" s="358">
        <v>56</v>
      </c>
      <c r="BU55" s="358">
        <v>59</v>
      </c>
      <c r="BV55" s="358">
        <v>8</v>
      </c>
      <c r="BW55" s="358">
        <v>9</v>
      </c>
      <c r="BX55" s="358">
        <v>12</v>
      </c>
      <c r="BY55" s="358">
        <v>16</v>
      </c>
      <c r="BZ55" s="358">
        <v>21</v>
      </c>
      <c r="CA55" s="358">
        <v>25</v>
      </c>
      <c r="CB55" s="358">
        <v>32</v>
      </c>
      <c r="CC55" s="358">
        <v>37</v>
      </c>
      <c r="CD55" s="358">
        <v>40</v>
      </c>
      <c r="CE55" s="358">
        <v>44</v>
      </c>
      <c r="CF55" s="358">
        <v>46</v>
      </c>
      <c r="CG55" s="358">
        <v>53</v>
      </c>
      <c r="CH55" s="358">
        <v>55</v>
      </c>
      <c r="CI55" s="358">
        <v>59</v>
      </c>
      <c r="CJ55" s="358">
        <v>62</v>
      </c>
      <c r="CK55" s="358">
        <v>69</v>
      </c>
      <c r="CL55" s="358">
        <v>75</v>
      </c>
      <c r="CM55" s="358">
        <v>79</v>
      </c>
      <c r="CN55" s="358">
        <v>84</v>
      </c>
      <c r="CO55" s="358">
        <v>91</v>
      </c>
      <c r="CP55" s="358">
        <v>102</v>
      </c>
      <c r="CQ55" s="358">
        <v>115</v>
      </c>
      <c r="CR55" s="358">
        <v>120</v>
      </c>
      <c r="CS55" s="358">
        <v>15</v>
      </c>
      <c r="CT55" s="358">
        <v>20</v>
      </c>
      <c r="CU55" s="358">
        <v>26</v>
      </c>
      <c r="CV55" s="358">
        <v>32</v>
      </c>
      <c r="CW55" s="358">
        <v>38</v>
      </c>
      <c r="CX55" s="358">
        <v>43</v>
      </c>
      <c r="CY55" s="358">
        <v>50</v>
      </c>
      <c r="CZ55" s="358">
        <v>53</v>
      </c>
      <c r="DA55" s="358">
        <v>57</v>
      </c>
      <c r="DB55" s="358">
        <v>62</v>
      </c>
      <c r="DC55" s="358">
        <v>73</v>
      </c>
      <c r="DD55" s="358">
        <v>83</v>
      </c>
      <c r="DE55" s="358">
        <v>87</v>
      </c>
      <c r="DF55" s="358">
        <v>93</v>
      </c>
      <c r="DG55" s="358">
        <v>102</v>
      </c>
      <c r="DH55" s="358">
        <v>107</v>
      </c>
      <c r="DI55" s="358">
        <v>114</v>
      </c>
      <c r="DJ55" s="358">
        <v>123</v>
      </c>
      <c r="DK55" s="358">
        <v>130</v>
      </c>
      <c r="DL55" s="358">
        <v>138</v>
      </c>
      <c r="DM55" s="358">
        <v>150</v>
      </c>
      <c r="DN55" s="358">
        <v>153</v>
      </c>
      <c r="DO55" s="358">
        <v>164</v>
      </c>
      <c r="DP55" s="358">
        <v>173</v>
      </c>
      <c r="DQ55" s="358">
        <v>16</v>
      </c>
      <c r="DR55" s="358">
        <v>21</v>
      </c>
      <c r="DS55" s="358">
        <v>25</v>
      </c>
      <c r="DT55" s="358">
        <v>27</v>
      </c>
      <c r="DU55" s="358">
        <v>30</v>
      </c>
      <c r="DV55" s="358">
        <v>31</v>
      </c>
      <c r="DW55" s="358">
        <v>37</v>
      </c>
      <c r="DX55" s="358">
        <v>40</v>
      </c>
      <c r="DY55" s="358">
        <v>46</v>
      </c>
      <c r="DZ55" s="358">
        <v>51</v>
      </c>
      <c r="EA55" s="358">
        <v>55</v>
      </c>
      <c r="EB55" s="358">
        <v>59</v>
      </c>
      <c r="EC55" s="358">
        <v>64</v>
      </c>
      <c r="ED55" s="358">
        <v>70</v>
      </c>
      <c r="EE55" s="358">
        <v>76</v>
      </c>
      <c r="EF55" s="358">
        <v>79</v>
      </c>
      <c r="EG55" s="358">
        <v>83</v>
      </c>
      <c r="EH55" s="358">
        <v>88</v>
      </c>
      <c r="EI55" s="358">
        <v>93</v>
      </c>
      <c r="EJ55" s="358">
        <v>97</v>
      </c>
      <c r="EK55" s="358">
        <v>102</v>
      </c>
      <c r="EL55" s="358">
        <v>106</v>
      </c>
      <c r="EM55" s="358">
        <v>155</v>
      </c>
      <c r="EN55" s="358">
        <v>167</v>
      </c>
      <c r="EO55" s="358">
        <v>178</v>
      </c>
      <c r="EP55" s="358">
        <v>188</v>
      </c>
      <c r="EQ55" s="358">
        <v>195</v>
      </c>
      <c r="ES55" s="358">
        <v>207</v>
      </c>
      <c r="ET55" s="358">
        <v>212</v>
      </c>
      <c r="EU55" s="358">
        <v>221</v>
      </c>
      <c r="EV55" s="358">
        <v>227</v>
      </c>
      <c r="EW55" s="358">
        <v>151</v>
      </c>
      <c r="EX55" s="358">
        <v>162</v>
      </c>
      <c r="EY55" s="358">
        <v>173</v>
      </c>
      <c r="EZ55" s="358">
        <v>189</v>
      </c>
      <c r="FA55" s="358">
        <v>197</v>
      </c>
      <c r="FB55" s="358">
        <v>207</v>
      </c>
      <c r="FC55" s="358">
        <v>221</v>
      </c>
      <c r="FD55" s="358">
        <v>233</v>
      </c>
      <c r="FE55" s="358">
        <v>240</v>
      </c>
      <c r="FF55" s="358">
        <v>245</v>
      </c>
      <c r="FG55" s="358">
        <v>257</v>
      </c>
      <c r="FH55" s="358">
        <v>266</v>
      </c>
      <c r="FI55" s="358">
        <v>277</v>
      </c>
      <c r="FJ55" s="358">
        <v>283</v>
      </c>
      <c r="FK55" s="358">
        <v>288</v>
      </c>
      <c r="FL55" s="358">
        <v>130</v>
      </c>
      <c r="FM55" s="358">
        <v>140</v>
      </c>
      <c r="FN55" s="358">
        <v>146</v>
      </c>
      <c r="FO55" s="358">
        <v>153</v>
      </c>
      <c r="FP55" s="358">
        <v>166</v>
      </c>
      <c r="FQ55" s="358">
        <v>181</v>
      </c>
      <c r="FR55" s="358">
        <v>189</v>
      </c>
      <c r="FS55" s="358">
        <v>196</v>
      </c>
      <c r="FT55" s="358">
        <v>203</v>
      </c>
      <c r="FU55" s="358">
        <v>210</v>
      </c>
      <c r="FV55" s="358">
        <v>220</v>
      </c>
      <c r="FW55" s="358">
        <v>81</v>
      </c>
      <c r="FX55" s="358">
        <v>128</v>
      </c>
      <c r="FY55" s="358">
        <v>135</v>
      </c>
      <c r="FZ55" s="358">
        <v>163</v>
      </c>
      <c r="GA55" s="358">
        <v>232</v>
      </c>
      <c r="GB55" s="358">
        <v>268</v>
      </c>
      <c r="GC55" s="358">
        <v>102</v>
      </c>
      <c r="GD55" s="358">
        <v>138</v>
      </c>
      <c r="GE55" s="358">
        <v>167</v>
      </c>
      <c r="GF55" s="358">
        <v>177</v>
      </c>
      <c r="GG55" s="358">
        <v>83</v>
      </c>
      <c r="GH55" s="358">
        <v>95</v>
      </c>
      <c r="GI55" s="361">
        <v>121</v>
      </c>
    </row>
    <row r="56" spans="1:191">
      <c r="A56" s="336" t="s">
        <v>443</v>
      </c>
      <c r="B56" s="358">
        <v>10</v>
      </c>
      <c r="C56" s="358">
        <v>14</v>
      </c>
      <c r="D56" s="358">
        <v>16</v>
      </c>
      <c r="E56" s="358">
        <v>17</v>
      </c>
      <c r="F56" s="358">
        <v>20</v>
      </c>
      <c r="G56" s="358">
        <v>23</v>
      </c>
      <c r="H56" s="358">
        <v>26</v>
      </c>
      <c r="I56" s="358">
        <v>28</v>
      </c>
      <c r="J56" s="358">
        <v>31</v>
      </c>
      <c r="K56" s="358">
        <v>35</v>
      </c>
      <c r="L56" s="358">
        <v>37</v>
      </c>
      <c r="M56" s="358">
        <v>40</v>
      </c>
      <c r="N56" s="358">
        <v>42</v>
      </c>
      <c r="O56" s="358">
        <v>47</v>
      </c>
      <c r="P56" s="358">
        <v>53</v>
      </c>
      <c r="Q56" s="358">
        <v>55</v>
      </c>
      <c r="R56" s="358">
        <v>58</v>
      </c>
      <c r="S56" s="358">
        <v>60</v>
      </c>
      <c r="T56" s="358">
        <v>63</v>
      </c>
      <c r="U56" s="358">
        <v>66</v>
      </c>
      <c r="V56" s="358">
        <v>12</v>
      </c>
      <c r="W56" s="358">
        <v>14</v>
      </c>
      <c r="X56" s="358">
        <v>16</v>
      </c>
      <c r="Y56" s="358">
        <v>18</v>
      </c>
      <c r="Z56" s="358">
        <v>20</v>
      </c>
      <c r="AA56" s="358">
        <v>21</v>
      </c>
      <c r="AB56" s="358">
        <v>23</v>
      </c>
      <c r="AC56" s="358">
        <v>26</v>
      </c>
      <c r="AD56" s="358">
        <v>28</v>
      </c>
      <c r="AE56" s="358">
        <v>33</v>
      </c>
      <c r="AF56" s="358">
        <v>38</v>
      </c>
      <c r="AG56" s="358">
        <v>43</v>
      </c>
      <c r="AH56" s="358">
        <v>44</v>
      </c>
      <c r="AI56" s="358">
        <v>45</v>
      </c>
      <c r="AJ56" s="358">
        <v>49</v>
      </c>
      <c r="AK56" s="358">
        <v>55</v>
      </c>
      <c r="AL56" s="358">
        <v>61</v>
      </c>
      <c r="AM56" s="358">
        <v>66</v>
      </c>
      <c r="AN56" s="358">
        <v>72</v>
      </c>
      <c r="AO56" s="358">
        <v>76</v>
      </c>
      <c r="AP56" s="358">
        <v>82</v>
      </c>
      <c r="AQ56" s="358">
        <v>88</v>
      </c>
      <c r="AR56" s="358">
        <v>92</v>
      </c>
      <c r="AS56" s="358">
        <v>104</v>
      </c>
      <c r="AT56" s="358">
        <v>112</v>
      </c>
      <c r="AU56" s="358">
        <v>122</v>
      </c>
      <c r="AV56" s="358">
        <v>131</v>
      </c>
      <c r="AW56" s="358">
        <v>139</v>
      </c>
      <c r="AX56" s="358">
        <v>7</v>
      </c>
      <c r="AY56" s="358">
        <v>3</v>
      </c>
      <c r="AZ56" s="358">
        <v>2</v>
      </c>
      <c r="BA56" s="358">
        <v>1</v>
      </c>
      <c r="BC56" s="358">
        <v>3</v>
      </c>
      <c r="BD56" s="358">
        <v>7</v>
      </c>
      <c r="BE56" s="358">
        <v>9</v>
      </c>
      <c r="BF56" s="358">
        <v>10</v>
      </c>
      <c r="BG56" s="358">
        <v>13</v>
      </c>
      <c r="BH56" s="358">
        <v>14</v>
      </c>
      <c r="BI56" s="358">
        <v>15</v>
      </c>
      <c r="BJ56" s="358">
        <v>17</v>
      </c>
      <c r="BK56" s="358">
        <v>18</v>
      </c>
      <c r="BL56" s="358">
        <v>19</v>
      </c>
      <c r="BM56" s="358">
        <v>21</v>
      </c>
      <c r="BN56" s="358">
        <v>22</v>
      </c>
      <c r="BO56" s="358">
        <v>25</v>
      </c>
      <c r="BP56" s="358">
        <v>30</v>
      </c>
      <c r="BQ56" s="358">
        <v>34</v>
      </c>
      <c r="BR56" s="358">
        <v>44</v>
      </c>
      <c r="BS56" s="358">
        <v>51</v>
      </c>
      <c r="BT56" s="358">
        <v>55</v>
      </c>
      <c r="BU56" s="358">
        <v>58</v>
      </c>
      <c r="BV56" s="358">
        <v>9</v>
      </c>
      <c r="BW56" s="358">
        <v>10</v>
      </c>
      <c r="BX56" s="358">
        <v>13</v>
      </c>
      <c r="BY56" s="358">
        <v>17</v>
      </c>
      <c r="BZ56" s="358">
        <v>22</v>
      </c>
      <c r="CA56" s="358">
        <v>26</v>
      </c>
      <c r="CB56" s="358">
        <v>33</v>
      </c>
      <c r="CC56" s="358">
        <v>38</v>
      </c>
      <c r="CD56" s="358">
        <v>41</v>
      </c>
      <c r="CE56" s="358">
        <v>45</v>
      </c>
      <c r="CF56" s="358">
        <v>47</v>
      </c>
      <c r="CG56" s="358">
        <v>54</v>
      </c>
      <c r="CH56" s="358">
        <v>56</v>
      </c>
      <c r="CI56" s="358">
        <v>60</v>
      </c>
      <c r="CJ56" s="358">
        <v>63</v>
      </c>
      <c r="CK56" s="358">
        <v>70</v>
      </c>
      <c r="CL56" s="358">
        <v>76</v>
      </c>
      <c r="CM56" s="358">
        <v>80</v>
      </c>
      <c r="CN56" s="358">
        <v>85</v>
      </c>
      <c r="CO56" s="358">
        <v>92</v>
      </c>
      <c r="CP56" s="358">
        <v>103</v>
      </c>
      <c r="CQ56" s="358">
        <v>116</v>
      </c>
      <c r="CR56" s="358">
        <v>121</v>
      </c>
      <c r="CS56" s="358">
        <v>16</v>
      </c>
      <c r="CT56" s="358">
        <v>21</v>
      </c>
      <c r="CU56" s="358">
        <v>27</v>
      </c>
      <c r="CV56" s="358">
        <v>33</v>
      </c>
      <c r="CW56" s="358">
        <v>39</v>
      </c>
      <c r="CX56" s="358">
        <v>44</v>
      </c>
      <c r="CY56" s="358">
        <v>51</v>
      </c>
      <c r="CZ56" s="358">
        <v>54</v>
      </c>
      <c r="DA56" s="358">
        <v>58</v>
      </c>
      <c r="DB56" s="358">
        <v>63</v>
      </c>
      <c r="DC56" s="358">
        <v>74</v>
      </c>
      <c r="DD56" s="358">
        <v>84</v>
      </c>
      <c r="DE56" s="358">
        <v>88</v>
      </c>
      <c r="DF56" s="358">
        <v>94</v>
      </c>
      <c r="DG56" s="358">
        <v>103</v>
      </c>
      <c r="DH56" s="358">
        <v>108</v>
      </c>
      <c r="DI56" s="358">
        <v>115</v>
      </c>
      <c r="DJ56" s="358">
        <v>124</v>
      </c>
      <c r="DK56" s="358">
        <v>131</v>
      </c>
      <c r="DL56" s="358">
        <v>139</v>
      </c>
      <c r="DM56" s="358">
        <v>151</v>
      </c>
      <c r="DN56" s="358">
        <v>154</v>
      </c>
      <c r="DO56" s="358">
        <v>165</v>
      </c>
      <c r="DP56" s="358">
        <v>174</v>
      </c>
      <c r="DQ56" s="358">
        <v>17</v>
      </c>
      <c r="DR56" s="358">
        <v>22</v>
      </c>
      <c r="DS56" s="358">
        <v>26</v>
      </c>
      <c r="DT56" s="358">
        <v>28</v>
      </c>
      <c r="DU56" s="358">
        <v>31</v>
      </c>
      <c r="DV56" s="358">
        <v>32</v>
      </c>
      <c r="DW56" s="358">
        <v>38</v>
      </c>
      <c r="DX56" s="358">
        <v>41</v>
      </c>
      <c r="DY56" s="358">
        <v>47</v>
      </c>
      <c r="DZ56" s="358">
        <v>52</v>
      </c>
      <c r="EA56" s="358">
        <v>56</v>
      </c>
      <c r="EB56" s="358">
        <v>60</v>
      </c>
      <c r="EC56" s="358">
        <v>65</v>
      </c>
      <c r="ED56" s="358">
        <v>71</v>
      </c>
      <c r="EE56" s="358">
        <v>77</v>
      </c>
      <c r="EF56" s="358">
        <v>80</v>
      </c>
      <c r="EG56" s="358">
        <v>84</v>
      </c>
      <c r="EH56" s="358">
        <v>89</v>
      </c>
      <c r="EI56" s="358">
        <v>94</v>
      </c>
      <c r="EJ56" s="358">
        <v>98</v>
      </c>
      <c r="EK56" s="358">
        <v>103</v>
      </c>
      <c r="EL56" s="358">
        <v>107</v>
      </c>
      <c r="EM56" s="358">
        <v>156</v>
      </c>
      <c r="EN56" s="358">
        <v>168</v>
      </c>
      <c r="EO56" s="358">
        <v>179</v>
      </c>
      <c r="EP56" s="358">
        <v>189</v>
      </c>
      <c r="EQ56" s="358">
        <v>196</v>
      </c>
      <c r="ES56" s="358">
        <v>208</v>
      </c>
      <c r="ET56" s="358">
        <v>213</v>
      </c>
      <c r="EU56" s="358">
        <v>222</v>
      </c>
      <c r="EV56" s="358">
        <v>228</v>
      </c>
      <c r="EW56" s="358">
        <v>152</v>
      </c>
      <c r="EX56" s="358">
        <v>163</v>
      </c>
      <c r="EY56" s="358">
        <v>174</v>
      </c>
      <c r="EZ56" s="358">
        <v>190</v>
      </c>
      <c r="FA56" s="358">
        <v>198</v>
      </c>
      <c r="FB56" s="358">
        <v>208</v>
      </c>
      <c r="FC56" s="358">
        <v>222</v>
      </c>
      <c r="FD56" s="358">
        <v>234</v>
      </c>
      <c r="FE56" s="358">
        <v>241</v>
      </c>
      <c r="FF56" s="358">
        <v>246</v>
      </c>
      <c r="FG56" s="358">
        <v>258</v>
      </c>
      <c r="FH56" s="358">
        <v>267</v>
      </c>
      <c r="FI56" s="358">
        <v>278</v>
      </c>
      <c r="FJ56" s="358">
        <v>284</v>
      </c>
      <c r="FK56" s="358">
        <v>289</v>
      </c>
      <c r="FL56" s="358">
        <v>131</v>
      </c>
      <c r="FM56" s="358">
        <v>141</v>
      </c>
      <c r="FN56" s="358">
        <v>147</v>
      </c>
      <c r="FO56" s="358">
        <v>154</v>
      </c>
      <c r="FP56" s="358">
        <v>167</v>
      </c>
      <c r="FQ56" s="358">
        <v>182</v>
      </c>
      <c r="FR56" s="358">
        <v>190</v>
      </c>
      <c r="FS56" s="358">
        <v>197</v>
      </c>
      <c r="FT56" s="358">
        <v>204</v>
      </c>
      <c r="FU56" s="358">
        <v>211</v>
      </c>
      <c r="FV56" s="358">
        <v>221</v>
      </c>
      <c r="FW56" s="358">
        <v>82</v>
      </c>
      <c r="FX56" s="358">
        <v>129</v>
      </c>
      <c r="FY56" s="358">
        <v>136</v>
      </c>
      <c r="FZ56" s="358">
        <v>164</v>
      </c>
      <c r="GA56" s="358">
        <v>233</v>
      </c>
      <c r="GB56" s="358">
        <v>269</v>
      </c>
      <c r="GC56" s="358">
        <v>101</v>
      </c>
      <c r="GD56" s="358">
        <v>137</v>
      </c>
      <c r="GE56" s="358">
        <v>166</v>
      </c>
      <c r="GF56" s="358">
        <v>178</v>
      </c>
      <c r="GG56" s="358">
        <v>82</v>
      </c>
      <c r="GH56" s="358">
        <v>94</v>
      </c>
      <c r="GI56" s="361">
        <v>120</v>
      </c>
    </row>
    <row r="57" spans="1:191">
      <c r="A57" s="336" t="s">
        <v>442</v>
      </c>
      <c r="B57" s="358">
        <v>13</v>
      </c>
      <c r="C57" s="358">
        <v>17</v>
      </c>
      <c r="D57" s="358">
        <v>19</v>
      </c>
      <c r="E57" s="358">
        <v>20</v>
      </c>
      <c r="F57" s="358">
        <v>23</v>
      </c>
      <c r="G57" s="358">
        <v>26</v>
      </c>
      <c r="H57" s="358">
        <v>29</v>
      </c>
      <c r="I57" s="358">
        <v>31</v>
      </c>
      <c r="J57" s="358">
        <v>34</v>
      </c>
      <c r="K57" s="358">
        <v>38</v>
      </c>
      <c r="L57" s="358">
        <v>40</v>
      </c>
      <c r="M57" s="358">
        <v>43</v>
      </c>
      <c r="N57" s="358">
        <v>45</v>
      </c>
      <c r="O57" s="358">
        <v>50</v>
      </c>
      <c r="P57" s="358">
        <v>56</v>
      </c>
      <c r="Q57" s="358">
        <v>58</v>
      </c>
      <c r="R57" s="358">
        <v>61</v>
      </c>
      <c r="S57" s="358">
        <v>63</v>
      </c>
      <c r="T57" s="358">
        <v>66</v>
      </c>
      <c r="U57" s="358">
        <v>69</v>
      </c>
      <c r="V57" s="358">
        <v>15</v>
      </c>
      <c r="W57" s="358">
        <v>17</v>
      </c>
      <c r="X57" s="358">
        <v>19</v>
      </c>
      <c r="Y57" s="358">
        <v>21</v>
      </c>
      <c r="Z57" s="358">
        <v>23</v>
      </c>
      <c r="AA57" s="358">
        <v>24</v>
      </c>
      <c r="AB57" s="358">
        <v>26</v>
      </c>
      <c r="AC57" s="358">
        <v>29</v>
      </c>
      <c r="AD57" s="358">
        <v>31</v>
      </c>
      <c r="AE57" s="358">
        <v>36</v>
      </c>
      <c r="AF57" s="358">
        <v>41</v>
      </c>
      <c r="AG57" s="358">
        <v>46</v>
      </c>
      <c r="AH57" s="358">
        <v>47</v>
      </c>
      <c r="AI57" s="358">
        <v>48</v>
      </c>
      <c r="AJ57" s="358">
        <v>52</v>
      </c>
      <c r="AK57" s="358">
        <v>58</v>
      </c>
      <c r="AL57" s="358">
        <v>64</v>
      </c>
      <c r="AM57" s="358">
        <v>69</v>
      </c>
      <c r="AN57" s="358">
        <v>75</v>
      </c>
      <c r="AO57" s="358">
        <v>79</v>
      </c>
      <c r="AP57" s="358">
        <v>85</v>
      </c>
      <c r="AQ57" s="358">
        <v>91</v>
      </c>
      <c r="AR57" s="358">
        <v>95</v>
      </c>
      <c r="AS57" s="358">
        <v>107</v>
      </c>
      <c r="AT57" s="358">
        <v>115</v>
      </c>
      <c r="AU57" s="358">
        <v>125</v>
      </c>
      <c r="AV57" s="358">
        <v>134</v>
      </c>
      <c r="AW57" s="358">
        <v>142</v>
      </c>
      <c r="AX57" s="358">
        <v>10</v>
      </c>
      <c r="AY57" s="358">
        <v>6</v>
      </c>
      <c r="AZ57" s="358">
        <v>5</v>
      </c>
      <c r="BA57" s="358">
        <v>4</v>
      </c>
      <c r="BB57" s="358">
        <v>3</v>
      </c>
      <c r="BD57" s="358">
        <v>4</v>
      </c>
      <c r="BE57" s="358">
        <v>6</v>
      </c>
      <c r="BF57" s="358">
        <v>7</v>
      </c>
      <c r="BG57" s="358">
        <v>10</v>
      </c>
      <c r="BH57" s="358">
        <v>11</v>
      </c>
      <c r="BI57" s="358">
        <v>12</v>
      </c>
      <c r="BJ57" s="358">
        <v>14</v>
      </c>
      <c r="BK57" s="358">
        <v>15</v>
      </c>
      <c r="BL57" s="358">
        <v>16</v>
      </c>
      <c r="BM57" s="358">
        <v>18</v>
      </c>
      <c r="BN57" s="358">
        <v>19</v>
      </c>
      <c r="BO57" s="358">
        <v>22</v>
      </c>
      <c r="BP57" s="358">
        <v>27</v>
      </c>
      <c r="BQ57" s="358">
        <v>31</v>
      </c>
      <c r="BR57" s="358">
        <v>41</v>
      </c>
      <c r="BS57" s="358">
        <v>48</v>
      </c>
      <c r="BT57" s="358">
        <v>52</v>
      </c>
      <c r="BU57" s="358">
        <v>55</v>
      </c>
      <c r="BV57" s="358">
        <v>12</v>
      </c>
      <c r="BW57" s="358">
        <v>13</v>
      </c>
      <c r="BX57" s="358">
        <v>16</v>
      </c>
      <c r="BY57" s="358">
        <v>20</v>
      </c>
      <c r="BZ57" s="358">
        <v>25</v>
      </c>
      <c r="CA57" s="358">
        <v>29</v>
      </c>
      <c r="CB57" s="358">
        <v>36</v>
      </c>
      <c r="CC57" s="358">
        <v>41</v>
      </c>
      <c r="CD57" s="358">
        <v>44</v>
      </c>
      <c r="CE57" s="358">
        <v>48</v>
      </c>
      <c r="CF57" s="358">
        <v>50</v>
      </c>
      <c r="CG57" s="358">
        <v>57</v>
      </c>
      <c r="CH57" s="358">
        <v>59</v>
      </c>
      <c r="CI57" s="358">
        <v>63</v>
      </c>
      <c r="CJ57" s="358">
        <v>66</v>
      </c>
      <c r="CK57" s="358">
        <v>73</v>
      </c>
      <c r="CL57" s="358">
        <v>79</v>
      </c>
      <c r="CM57" s="358">
        <v>83</v>
      </c>
      <c r="CN57" s="358">
        <v>88</v>
      </c>
      <c r="CO57" s="358">
        <v>95</v>
      </c>
      <c r="CP57" s="358">
        <v>106</v>
      </c>
      <c r="CQ57" s="358">
        <v>119</v>
      </c>
      <c r="CR57" s="358">
        <v>124</v>
      </c>
      <c r="CS57" s="358">
        <v>19</v>
      </c>
      <c r="CT57" s="358">
        <v>24</v>
      </c>
      <c r="CU57" s="358">
        <v>30</v>
      </c>
      <c r="CV57" s="358">
        <v>36</v>
      </c>
      <c r="CW57" s="358">
        <v>42</v>
      </c>
      <c r="CX57" s="358">
        <v>47</v>
      </c>
      <c r="CY57" s="358">
        <v>54</v>
      </c>
      <c r="CZ57" s="358">
        <v>57</v>
      </c>
      <c r="DA57" s="358">
        <v>61</v>
      </c>
      <c r="DB57" s="358">
        <v>66</v>
      </c>
      <c r="DC57" s="358">
        <v>77</v>
      </c>
      <c r="DD57" s="358">
        <v>87</v>
      </c>
      <c r="DE57" s="358">
        <v>91</v>
      </c>
      <c r="DF57" s="358">
        <v>97</v>
      </c>
      <c r="DG57" s="358">
        <v>106</v>
      </c>
      <c r="DH57" s="358">
        <v>111</v>
      </c>
      <c r="DI57" s="358">
        <v>118</v>
      </c>
      <c r="DJ57" s="358">
        <v>127</v>
      </c>
      <c r="DK57" s="358">
        <v>134</v>
      </c>
      <c r="DL57" s="358">
        <v>142</v>
      </c>
      <c r="DM57" s="358">
        <v>154</v>
      </c>
      <c r="DN57" s="358">
        <v>157</v>
      </c>
      <c r="DO57" s="358">
        <v>168</v>
      </c>
      <c r="DP57" s="358">
        <v>177</v>
      </c>
      <c r="DQ57" s="358">
        <v>20</v>
      </c>
      <c r="DR57" s="358">
        <v>25</v>
      </c>
      <c r="DS57" s="358">
        <v>29</v>
      </c>
      <c r="DT57" s="358">
        <v>31</v>
      </c>
      <c r="DU57" s="358">
        <v>34</v>
      </c>
      <c r="DV57" s="358">
        <v>35</v>
      </c>
      <c r="DW57" s="358">
        <v>41</v>
      </c>
      <c r="DX57" s="358">
        <v>44</v>
      </c>
      <c r="DY57" s="358">
        <v>50</v>
      </c>
      <c r="DZ57" s="358">
        <v>55</v>
      </c>
      <c r="EA57" s="358">
        <v>59</v>
      </c>
      <c r="EB57" s="358">
        <v>63</v>
      </c>
      <c r="EC57" s="358">
        <v>68</v>
      </c>
      <c r="ED57" s="358">
        <v>74</v>
      </c>
      <c r="EE57" s="358">
        <v>80</v>
      </c>
      <c r="EF57" s="358">
        <v>83</v>
      </c>
      <c r="EG57" s="358">
        <v>87</v>
      </c>
      <c r="EH57" s="358">
        <v>92</v>
      </c>
      <c r="EI57" s="358">
        <v>97</v>
      </c>
      <c r="EJ57" s="358">
        <v>101</v>
      </c>
      <c r="EK57" s="358">
        <v>106</v>
      </c>
      <c r="EL57" s="358">
        <v>110</v>
      </c>
      <c r="EM57" s="358">
        <v>159</v>
      </c>
      <c r="EN57" s="358">
        <v>171</v>
      </c>
      <c r="EO57" s="358">
        <v>182</v>
      </c>
      <c r="EP57" s="358">
        <v>192</v>
      </c>
      <c r="EQ57" s="358">
        <v>199</v>
      </c>
      <c r="ES57" s="358">
        <v>211</v>
      </c>
      <c r="ET57" s="358">
        <v>216</v>
      </c>
      <c r="EU57" s="358">
        <v>225</v>
      </c>
      <c r="EV57" s="358">
        <v>231</v>
      </c>
      <c r="EW57" s="358">
        <v>155</v>
      </c>
      <c r="EX57" s="358">
        <v>166</v>
      </c>
      <c r="EY57" s="358">
        <v>177</v>
      </c>
      <c r="EZ57" s="358">
        <v>193</v>
      </c>
      <c r="FA57" s="358">
        <v>201</v>
      </c>
      <c r="FB57" s="358">
        <v>211</v>
      </c>
      <c r="FC57" s="358">
        <v>225</v>
      </c>
      <c r="FD57" s="358">
        <v>237</v>
      </c>
      <c r="FE57" s="358">
        <v>244</v>
      </c>
      <c r="FF57" s="358">
        <v>249</v>
      </c>
      <c r="FG57" s="358">
        <v>261</v>
      </c>
      <c r="FH57" s="358">
        <v>270</v>
      </c>
      <c r="FI57" s="358">
        <v>281</v>
      </c>
      <c r="FJ57" s="358">
        <v>287</v>
      </c>
      <c r="FK57" s="358">
        <v>292</v>
      </c>
      <c r="FL57" s="358">
        <v>134</v>
      </c>
      <c r="FM57" s="358">
        <v>144</v>
      </c>
      <c r="FN57" s="358">
        <v>150</v>
      </c>
      <c r="FO57" s="358">
        <v>157</v>
      </c>
      <c r="FP57" s="358">
        <v>170</v>
      </c>
      <c r="FQ57" s="358">
        <v>185</v>
      </c>
      <c r="FR57" s="358">
        <v>193</v>
      </c>
      <c r="FS57" s="358">
        <v>200</v>
      </c>
      <c r="FT57" s="358">
        <v>207</v>
      </c>
      <c r="FU57" s="358">
        <v>214</v>
      </c>
      <c r="FV57" s="358">
        <v>224</v>
      </c>
      <c r="FW57" s="358">
        <v>85</v>
      </c>
      <c r="FX57" s="358">
        <v>132</v>
      </c>
      <c r="FY57" s="358">
        <v>139</v>
      </c>
      <c r="FZ57" s="358">
        <v>167</v>
      </c>
      <c r="GA57" s="358">
        <v>236</v>
      </c>
      <c r="GB57" s="358">
        <v>272</v>
      </c>
      <c r="GC57" s="358">
        <v>98</v>
      </c>
      <c r="GD57" s="358">
        <v>134</v>
      </c>
      <c r="GE57" s="358">
        <v>163</v>
      </c>
      <c r="GF57" s="358">
        <v>181</v>
      </c>
      <c r="GG57" s="358">
        <v>79</v>
      </c>
      <c r="GH57" s="358">
        <v>91</v>
      </c>
      <c r="GI57" s="361">
        <v>117</v>
      </c>
    </row>
    <row r="58" spans="1:191">
      <c r="A58" s="336" t="s">
        <v>441</v>
      </c>
      <c r="B58" s="358">
        <v>17</v>
      </c>
      <c r="C58" s="358">
        <v>21</v>
      </c>
      <c r="D58" s="358">
        <v>23</v>
      </c>
      <c r="E58" s="358">
        <v>24</v>
      </c>
      <c r="F58" s="358">
        <v>27</v>
      </c>
      <c r="G58" s="358">
        <v>30</v>
      </c>
      <c r="H58" s="358">
        <v>33</v>
      </c>
      <c r="I58" s="358">
        <v>35</v>
      </c>
      <c r="J58" s="358">
        <v>38</v>
      </c>
      <c r="K58" s="358">
        <v>42</v>
      </c>
      <c r="L58" s="358">
        <v>44</v>
      </c>
      <c r="M58" s="358">
        <v>47</v>
      </c>
      <c r="N58" s="358">
        <v>49</v>
      </c>
      <c r="O58" s="358">
        <v>54</v>
      </c>
      <c r="P58" s="358">
        <v>60</v>
      </c>
      <c r="Q58" s="358">
        <v>62</v>
      </c>
      <c r="R58" s="358">
        <v>65</v>
      </c>
      <c r="S58" s="358">
        <v>67</v>
      </c>
      <c r="T58" s="358">
        <v>70</v>
      </c>
      <c r="U58" s="358">
        <v>73</v>
      </c>
      <c r="V58" s="358">
        <v>19</v>
      </c>
      <c r="W58" s="358">
        <v>21</v>
      </c>
      <c r="X58" s="358">
        <v>23</v>
      </c>
      <c r="Y58" s="358">
        <v>25</v>
      </c>
      <c r="Z58" s="358">
        <v>27</v>
      </c>
      <c r="AA58" s="358">
        <v>28</v>
      </c>
      <c r="AB58" s="358">
        <v>30</v>
      </c>
      <c r="AC58" s="358">
        <v>33</v>
      </c>
      <c r="AD58" s="358">
        <v>35</v>
      </c>
      <c r="AE58" s="358">
        <v>40</v>
      </c>
      <c r="AF58" s="358">
        <v>45</v>
      </c>
      <c r="AG58" s="358">
        <v>50</v>
      </c>
      <c r="AH58" s="358">
        <v>51</v>
      </c>
      <c r="AI58" s="358">
        <v>52</v>
      </c>
      <c r="AJ58" s="358">
        <v>56</v>
      </c>
      <c r="AK58" s="358">
        <v>62</v>
      </c>
      <c r="AL58" s="358">
        <v>68</v>
      </c>
      <c r="AM58" s="358">
        <v>73</v>
      </c>
      <c r="AN58" s="358">
        <v>79</v>
      </c>
      <c r="AO58" s="358">
        <v>83</v>
      </c>
      <c r="AP58" s="358">
        <v>89</v>
      </c>
      <c r="AQ58" s="358">
        <v>95</v>
      </c>
      <c r="AR58" s="358">
        <v>99</v>
      </c>
      <c r="AS58" s="358">
        <v>111</v>
      </c>
      <c r="AT58" s="358">
        <v>119</v>
      </c>
      <c r="AU58" s="358">
        <v>129</v>
      </c>
      <c r="AV58" s="358">
        <v>138</v>
      </c>
      <c r="AW58" s="358">
        <v>146</v>
      </c>
      <c r="AX58" s="358">
        <v>14</v>
      </c>
      <c r="AY58" s="358">
        <v>10</v>
      </c>
      <c r="AZ58" s="358">
        <v>9</v>
      </c>
      <c r="BA58" s="358">
        <v>8</v>
      </c>
      <c r="BB58" s="358">
        <v>7</v>
      </c>
      <c r="BC58" s="358">
        <v>4</v>
      </c>
      <c r="BE58" s="358">
        <v>2</v>
      </c>
      <c r="BF58" s="358">
        <v>3</v>
      </c>
      <c r="BG58" s="358">
        <v>6</v>
      </c>
      <c r="BH58" s="358">
        <v>7</v>
      </c>
      <c r="BI58" s="358">
        <v>8</v>
      </c>
      <c r="BJ58" s="358">
        <v>10</v>
      </c>
      <c r="BK58" s="358">
        <v>11</v>
      </c>
      <c r="BL58" s="358">
        <v>12</v>
      </c>
      <c r="BM58" s="358">
        <v>14</v>
      </c>
      <c r="BN58" s="358">
        <v>15</v>
      </c>
      <c r="BO58" s="358">
        <v>18</v>
      </c>
      <c r="BP58" s="358">
        <v>23</v>
      </c>
      <c r="BQ58" s="358">
        <v>27</v>
      </c>
      <c r="BR58" s="358">
        <v>37</v>
      </c>
      <c r="BS58" s="358">
        <v>44</v>
      </c>
      <c r="BT58" s="358">
        <v>48</v>
      </c>
      <c r="BU58" s="358">
        <v>51</v>
      </c>
      <c r="BV58" s="358">
        <v>16</v>
      </c>
      <c r="BW58" s="358">
        <v>17</v>
      </c>
      <c r="BX58" s="358">
        <v>20</v>
      </c>
      <c r="BY58" s="358">
        <v>24</v>
      </c>
      <c r="BZ58" s="358">
        <v>29</v>
      </c>
      <c r="CA58" s="358">
        <v>33</v>
      </c>
      <c r="CB58" s="358">
        <v>40</v>
      </c>
      <c r="CC58" s="358">
        <v>45</v>
      </c>
      <c r="CD58" s="358">
        <v>48</v>
      </c>
      <c r="CE58" s="358">
        <v>52</v>
      </c>
      <c r="CF58" s="358">
        <v>54</v>
      </c>
      <c r="CG58" s="358">
        <v>61</v>
      </c>
      <c r="CH58" s="358">
        <v>63</v>
      </c>
      <c r="CI58" s="358">
        <v>67</v>
      </c>
      <c r="CJ58" s="358">
        <v>70</v>
      </c>
      <c r="CK58" s="358">
        <v>77</v>
      </c>
      <c r="CL58" s="358">
        <v>83</v>
      </c>
      <c r="CM58" s="358">
        <v>87</v>
      </c>
      <c r="CN58" s="358">
        <v>92</v>
      </c>
      <c r="CO58" s="358">
        <v>99</v>
      </c>
      <c r="CP58" s="358">
        <v>110</v>
      </c>
      <c r="CQ58" s="358">
        <v>123</v>
      </c>
      <c r="CR58" s="358">
        <v>128</v>
      </c>
      <c r="CS58" s="358">
        <v>23</v>
      </c>
      <c r="CT58" s="358">
        <v>28</v>
      </c>
      <c r="CU58" s="358">
        <v>34</v>
      </c>
      <c r="CV58" s="358">
        <v>40</v>
      </c>
      <c r="CW58" s="358">
        <v>46</v>
      </c>
      <c r="CX58" s="358">
        <v>51</v>
      </c>
      <c r="CY58" s="358">
        <v>58</v>
      </c>
      <c r="CZ58" s="358">
        <v>61</v>
      </c>
      <c r="DA58" s="358">
        <v>65</v>
      </c>
      <c r="DB58" s="358">
        <v>70</v>
      </c>
      <c r="DC58" s="358">
        <v>81</v>
      </c>
      <c r="DD58" s="358">
        <v>91</v>
      </c>
      <c r="DE58" s="358">
        <v>95</v>
      </c>
      <c r="DF58" s="358">
        <v>101</v>
      </c>
      <c r="DG58" s="358">
        <v>110</v>
      </c>
      <c r="DH58" s="358">
        <v>115</v>
      </c>
      <c r="DI58" s="358">
        <v>122</v>
      </c>
      <c r="DJ58" s="358">
        <v>131</v>
      </c>
      <c r="DK58" s="358">
        <v>138</v>
      </c>
      <c r="DL58" s="358">
        <v>146</v>
      </c>
      <c r="DM58" s="358">
        <v>158</v>
      </c>
      <c r="DN58" s="358">
        <v>161</v>
      </c>
      <c r="DO58" s="358">
        <v>172</v>
      </c>
      <c r="DP58" s="358">
        <v>181</v>
      </c>
      <c r="DQ58" s="358">
        <v>24</v>
      </c>
      <c r="DR58" s="358">
        <v>29</v>
      </c>
      <c r="DS58" s="358">
        <v>33</v>
      </c>
      <c r="DT58" s="358">
        <v>35</v>
      </c>
      <c r="DU58" s="358">
        <v>38</v>
      </c>
      <c r="DV58" s="358">
        <v>39</v>
      </c>
      <c r="DW58" s="358">
        <v>45</v>
      </c>
      <c r="DX58" s="358">
        <v>48</v>
      </c>
      <c r="DY58" s="358">
        <v>54</v>
      </c>
      <c r="DZ58" s="358">
        <v>59</v>
      </c>
      <c r="EA58" s="358">
        <v>63</v>
      </c>
      <c r="EB58" s="358">
        <v>67</v>
      </c>
      <c r="EC58" s="358">
        <v>72</v>
      </c>
      <c r="ED58" s="358">
        <v>78</v>
      </c>
      <c r="EE58" s="358">
        <v>84</v>
      </c>
      <c r="EF58" s="358">
        <v>87</v>
      </c>
      <c r="EG58" s="358">
        <v>91</v>
      </c>
      <c r="EH58" s="358">
        <v>96</v>
      </c>
      <c r="EI58" s="358">
        <v>101</v>
      </c>
      <c r="EJ58" s="358">
        <v>105</v>
      </c>
      <c r="EK58" s="358">
        <v>110</v>
      </c>
      <c r="EL58" s="358">
        <v>114</v>
      </c>
      <c r="EM58" s="358">
        <v>163</v>
      </c>
      <c r="EN58" s="358">
        <v>175</v>
      </c>
      <c r="EO58" s="358">
        <v>186</v>
      </c>
      <c r="EP58" s="358">
        <v>196</v>
      </c>
      <c r="EQ58" s="358">
        <v>203</v>
      </c>
      <c r="ES58" s="358">
        <v>215</v>
      </c>
      <c r="ET58" s="358">
        <v>220</v>
      </c>
      <c r="EU58" s="358">
        <v>229</v>
      </c>
      <c r="EV58" s="358">
        <v>235</v>
      </c>
      <c r="EW58" s="358">
        <v>159</v>
      </c>
      <c r="EX58" s="358">
        <v>170</v>
      </c>
      <c r="EY58" s="358">
        <v>181</v>
      </c>
      <c r="EZ58" s="358">
        <v>197</v>
      </c>
      <c r="FA58" s="358">
        <v>205</v>
      </c>
      <c r="FB58" s="358">
        <v>215</v>
      </c>
      <c r="FC58" s="358">
        <v>229</v>
      </c>
      <c r="FD58" s="358">
        <v>241</v>
      </c>
      <c r="FE58" s="358">
        <v>248</v>
      </c>
      <c r="FF58" s="358">
        <v>253</v>
      </c>
      <c r="FG58" s="358">
        <v>265</v>
      </c>
      <c r="FH58" s="358">
        <v>274</v>
      </c>
      <c r="FI58" s="358">
        <v>285</v>
      </c>
      <c r="FJ58" s="358">
        <v>291</v>
      </c>
      <c r="FK58" s="358">
        <v>296</v>
      </c>
      <c r="FL58" s="358">
        <v>138</v>
      </c>
      <c r="FM58" s="358">
        <v>148</v>
      </c>
      <c r="FN58" s="358">
        <v>154</v>
      </c>
      <c r="FO58" s="358">
        <v>161</v>
      </c>
      <c r="FP58" s="358">
        <v>174</v>
      </c>
      <c r="FQ58" s="358">
        <v>189</v>
      </c>
      <c r="FR58" s="358">
        <v>197</v>
      </c>
      <c r="FS58" s="358">
        <v>204</v>
      </c>
      <c r="FT58" s="358">
        <v>211</v>
      </c>
      <c r="FU58" s="358">
        <v>218</v>
      </c>
      <c r="FV58" s="358">
        <v>228</v>
      </c>
      <c r="FW58" s="358">
        <v>89</v>
      </c>
      <c r="FX58" s="358">
        <v>136</v>
      </c>
      <c r="FY58" s="358">
        <v>143</v>
      </c>
      <c r="FZ58" s="358">
        <v>171</v>
      </c>
      <c r="GA58" s="358">
        <v>240</v>
      </c>
      <c r="GB58" s="358">
        <v>276</v>
      </c>
      <c r="GC58" s="358">
        <v>94</v>
      </c>
      <c r="GD58" s="358">
        <v>130</v>
      </c>
      <c r="GE58" s="358">
        <v>159</v>
      </c>
      <c r="GF58" s="358">
        <v>185</v>
      </c>
      <c r="GG58" s="358">
        <v>75</v>
      </c>
      <c r="GH58" s="358">
        <v>87</v>
      </c>
      <c r="GI58" s="361">
        <v>113</v>
      </c>
    </row>
    <row r="59" spans="1:191">
      <c r="A59" s="336" t="s">
        <v>440</v>
      </c>
      <c r="B59" s="358">
        <v>19</v>
      </c>
      <c r="C59" s="358">
        <v>23</v>
      </c>
      <c r="D59" s="358">
        <v>25</v>
      </c>
      <c r="E59" s="358">
        <v>26</v>
      </c>
      <c r="F59" s="358">
        <v>29</v>
      </c>
      <c r="G59" s="358">
        <v>32</v>
      </c>
      <c r="H59" s="358">
        <v>35</v>
      </c>
      <c r="I59" s="358">
        <v>37</v>
      </c>
      <c r="J59" s="358">
        <v>40</v>
      </c>
      <c r="K59" s="358">
        <v>44</v>
      </c>
      <c r="L59" s="358">
        <v>46</v>
      </c>
      <c r="M59" s="358">
        <v>49</v>
      </c>
      <c r="N59" s="358">
        <v>51</v>
      </c>
      <c r="O59" s="358">
        <v>56</v>
      </c>
      <c r="P59" s="358">
        <v>62</v>
      </c>
      <c r="Q59" s="358">
        <v>64</v>
      </c>
      <c r="R59" s="358">
        <v>67</v>
      </c>
      <c r="S59" s="358">
        <v>69</v>
      </c>
      <c r="T59" s="358">
        <v>72</v>
      </c>
      <c r="U59" s="358">
        <v>75</v>
      </c>
      <c r="V59" s="358">
        <v>21</v>
      </c>
      <c r="W59" s="358">
        <v>23</v>
      </c>
      <c r="X59" s="358">
        <v>25</v>
      </c>
      <c r="Y59" s="358">
        <v>27</v>
      </c>
      <c r="Z59" s="358">
        <v>29</v>
      </c>
      <c r="AA59" s="358">
        <v>30</v>
      </c>
      <c r="AB59" s="358">
        <v>32</v>
      </c>
      <c r="AC59" s="358">
        <v>35</v>
      </c>
      <c r="AD59" s="358">
        <v>37</v>
      </c>
      <c r="AE59" s="358">
        <v>42</v>
      </c>
      <c r="AF59" s="358">
        <v>47</v>
      </c>
      <c r="AG59" s="358">
        <v>52</v>
      </c>
      <c r="AH59" s="358">
        <v>53</v>
      </c>
      <c r="AI59" s="358">
        <v>54</v>
      </c>
      <c r="AJ59" s="358">
        <v>58</v>
      </c>
      <c r="AK59" s="358">
        <v>64</v>
      </c>
      <c r="AL59" s="358">
        <v>70</v>
      </c>
      <c r="AM59" s="358">
        <v>75</v>
      </c>
      <c r="AN59" s="358">
        <v>81</v>
      </c>
      <c r="AO59" s="358">
        <v>85</v>
      </c>
      <c r="AP59" s="358">
        <v>91</v>
      </c>
      <c r="AQ59" s="358">
        <v>97</v>
      </c>
      <c r="AR59" s="358">
        <v>101</v>
      </c>
      <c r="AS59" s="358">
        <v>113</v>
      </c>
      <c r="AT59" s="358">
        <v>121</v>
      </c>
      <c r="AU59" s="358">
        <v>131</v>
      </c>
      <c r="AV59" s="358">
        <v>140</v>
      </c>
      <c r="AW59" s="358">
        <v>148</v>
      </c>
      <c r="AX59" s="358">
        <v>16</v>
      </c>
      <c r="AY59" s="358">
        <v>12</v>
      </c>
      <c r="AZ59" s="358">
        <v>11</v>
      </c>
      <c r="BA59" s="358">
        <v>10</v>
      </c>
      <c r="BB59" s="358">
        <v>9</v>
      </c>
      <c r="BC59" s="358">
        <v>6</v>
      </c>
      <c r="BD59" s="358">
        <v>2</v>
      </c>
      <c r="BF59" s="358">
        <v>1</v>
      </c>
      <c r="BG59" s="358">
        <v>4</v>
      </c>
      <c r="BH59" s="358">
        <v>5</v>
      </c>
      <c r="BI59" s="358">
        <v>6</v>
      </c>
      <c r="BJ59" s="358">
        <v>8</v>
      </c>
      <c r="BK59" s="358">
        <v>9</v>
      </c>
      <c r="BL59" s="358">
        <v>10</v>
      </c>
      <c r="BM59" s="358">
        <v>12</v>
      </c>
      <c r="BN59" s="358">
        <v>13</v>
      </c>
      <c r="BO59" s="358">
        <v>16</v>
      </c>
      <c r="BP59" s="358">
        <v>21</v>
      </c>
      <c r="BQ59" s="358">
        <v>25</v>
      </c>
      <c r="BR59" s="358">
        <v>35</v>
      </c>
      <c r="BS59" s="358">
        <v>42</v>
      </c>
      <c r="BT59" s="358">
        <v>46</v>
      </c>
      <c r="BU59" s="358">
        <v>49</v>
      </c>
      <c r="BV59" s="358">
        <v>18</v>
      </c>
      <c r="BW59" s="358">
        <v>19</v>
      </c>
      <c r="BX59" s="358">
        <v>22</v>
      </c>
      <c r="BY59" s="358">
        <v>26</v>
      </c>
      <c r="BZ59" s="358">
        <v>31</v>
      </c>
      <c r="CA59" s="358">
        <v>35</v>
      </c>
      <c r="CB59" s="358">
        <v>42</v>
      </c>
      <c r="CC59" s="358">
        <v>47</v>
      </c>
      <c r="CD59" s="358">
        <v>50</v>
      </c>
      <c r="CE59" s="358">
        <v>54</v>
      </c>
      <c r="CF59" s="358">
        <v>56</v>
      </c>
      <c r="CG59" s="358">
        <v>63</v>
      </c>
      <c r="CH59" s="358">
        <v>65</v>
      </c>
      <c r="CI59" s="358">
        <v>69</v>
      </c>
      <c r="CJ59" s="358">
        <v>72</v>
      </c>
      <c r="CK59" s="358">
        <v>79</v>
      </c>
      <c r="CL59" s="358">
        <v>85</v>
      </c>
      <c r="CM59" s="358">
        <v>89</v>
      </c>
      <c r="CN59" s="358">
        <v>94</v>
      </c>
      <c r="CO59" s="358">
        <v>101</v>
      </c>
      <c r="CP59" s="358">
        <v>112</v>
      </c>
      <c r="CQ59" s="358">
        <v>125</v>
      </c>
      <c r="CR59" s="358">
        <v>130</v>
      </c>
      <c r="CS59" s="358">
        <v>25</v>
      </c>
      <c r="CT59" s="358">
        <v>30</v>
      </c>
      <c r="CU59" s="358">
        <v>36</v>
      </c>
      <c r="CV59" s="358">
        <v>42</v>
      </c>
      <c r="CW59" s="358">
        <v>48</v>
      </c>
      <c r="CX59" s="358">
        <v>53</v>
      </c>
      <c r="CY59" s="358">
        <v>60</v>
      </c>
      <c r="CZ59" s="358">
        <v>63</v>
      </c>
      <c r="DA59" s="358">
        <v>67</v>
      </c>
      <c r="DB59" s="358">
        <v>72</v>
      </c>
      <c r="DC59" s="358">
        <v>83</v>
      </c>
      <c r="DD59" s="358">
        <v>93</v>
      </c>
      <c r="DE59" s="358">
        <v>97</v>
      </c>
      <c r="DF59" s="358">
        <v>103</v>
      </c>
      <c r="DG59" s="358">
        <v>112</v>
      </c>
      <c r="DH59" s="358">
        <v>117</v>
      </c>
      <c r="DI59" s="358">
        <v>124</v>
      </c>
      <c r="DJ59" s="358">
        <v>133</v>
      </c>
      <c r="DK59" s="358">
        <v>140</v>
      </c>
      <c r="DL59" s="358">
        <v>148</v>
      </c>
      <c r="DM59" s="358">
        <v>160</v>
      </c>
      <c r="DN59" s="358">
        <v>163</v>
      </c>
      <c r="DO59" s="358">
        <v>174</v>
      </c>
      <c r="DP59" s="358">
        <v>183</v>
      </c>
      <c r="DQ59" s="358">
        <v>26</v>
      </c>
      <c r="DR59" s="358">
        <v>31</v>
      </c>
      <c r="DS59" s="358">
        <v>35</v>
      </c>
      <c r="DT59" s="358">
        <v>37</v>
      </c>
      <c r="DU59" s="358">
        <v>40</v>
      </c>
      <c r="DV59" s="358">
        <v>41</v>
      </c>
      <c r="DW59" s="358">
        <v>47</v>
      </c>
      <c r="DX59" s="358">
        <v>50</v>
      </c>
      <c r="DY59" s="358">
        <v>56</v>
      </c>
      <c r="DZ59" s="358">
        <v>61</v>
      </c>
      <c r="EA59" s="358">
        <v>65</v>
      </c>
      <c r="EB59" s="358">
        <v>69</v>
      </c>
      <c r="EC59" s="358">
        <v>74</v>
      </c>
      <c r="ED59" s="358">
        <v>80</v>
      </c>
      <c r="EE59" s="358">
        <v>86</v>
      </c>
      <c r="EF59" s="358">
        <v>89</v>
      </c>
      <c r="EG59" s="358">
        <v>93</v>
      </c>
      <c r="EH59" s="358">
        <v>98</v>
      </c>
      <c r="EI59" s="358">
        <v>103</v>
      </c>
      <c r="EJ59" s="358">
        <v>107</v>
      </c>
      <c r="EK59" s="358">
        <v>112</v>
      </c>
      <c r="EL59" s="358">
        <v>116</v>
      </c>
      <c r="EM59" s="358">
        <v>165</v>
      </c>
      <c r="EN59" s="358">
        <v>177</v>
      </c>
      <c r="EO59" s="358">
        <v>188</v>
      </c>
      <c r="EP59" s="358">
        <v>198</v>
      </c>
      <c r="EQ59" s="358">
        <v>205</v>
      </c>
      <c r="ES59" s="358">
        <v>217</v>
      </c>
      <c r="ET59" s="358">
        <v>222</v>
      </c>
      <c r="EU59" s="358">
        <v>231</v>
      </c>
      <c r="EV59" s="358">
        <v>237</v>
      </c>
      <c r="EW59" s="358">
        <v>161</v>
      </c>
      <c r="EX59" s="358">
        <v>172</v>
      </c>
      <c r="EY59" s="358">
        <v>183</v>
      </c>
      <c r="EZ59" s="358">
        <v>199</v>
      </c>
      <c r="FA59" s="358">
        <v>207</v>
      </c>
      <c r="FB59" s="358">
        <v>217</v>
      </c>
      <c r="FC59" s="358">
        <v>231</v>
      </c>
      <c r="FD59" s="358">
        <v>243</v>
      </c>
      <c r="FE59" s="358">
        <v>250</v>
      </c>
      <c r="FF59" s="358">
        <v>255</v>
      </c>
      <c r="FG59" s="358">
        <v>267</v>
      </c>
      <c r="FH59" s="358">
        <v>276</v>
      </c>
      <c r="FI59" s="358">
        <v>287</v>
      </c>
      <c r="FJ59" s="358">
        <v>293</v>
      </c>
      <c r="FK59" s="358">
        <v>298</v>
      </c>
      <c r="FL59" s="358">
        <v>140</v>
      </c>
      <c r="FM59" s="358">
        <v>150</v>
      </c>
      <c r="FN59" s="358">
        <v>156</v>
      </c>
      <c r="FO59" s="358">
        <v>163</v>
      </c>
      <c r="FP59" s="358">
        <v>176</v>
      </c>
      <c r="FQ59" s="358">
        <v>191</v>
      </c>
      <c r="FR59" s="358">
        <v>199</v>
      </c>
      <c r="FS59" s="358">
        <v>206</v>
      </c>
      <c r="FT59" s="358">
        <v>213</v>
      </c>
      <c r="FU59" s="358">
        <v>220</v>
      </c>
      <c r="FV59" s="358">
        <v>230</v>
      </c>
      <c r="FW59" s="358">
        <v>91</v>
      </c>
      <c r="FX59" s="358">
        <v>138</v>
      </c>
      <c r="FY59" s="358">
        <v>145</v>
      </c>
      <c r="FZ59" s="358">
        <v>173</v>
      </c>
      <c r="GA59" s="358">
        <v>242</v>
      </c>
      <c r="GB59" s="358">
        <v>278</v>
      </c>
      <c r="GC59" s="358">
        <v>92</v>
      </c>
      <c r="GD59" s="358">
        <v>128</v>
      </c>
      <c r="GE59" s="358">
        <v>157</v>
      </c>
      <c r="GF59" s="358">
        <v>187</v>
      </c>
      <c r="GG59" s="358">
        <v>73</v>
      </c>
      <c r="GH59" s="358">
        <v>85</v>
      </c>
      <c r="GI59" s="361">
        <v>111</v>
      </c>
    </row>
    <row r="60" spans="1:191">
      <c r="A60" s="336" t="s">
        <v>439</v>
      </c>
      <c r="B60" s="358">
        <v>20</v>
      </c>
      <c r="C60" s="358">
        <v>24</v>
      </c>
      <c r="D60" s="358">
        <v>26</v>
      </c>
      <c r="E60" s="358">
        <v>27</v>
      </c>
      <c r="F60" s="358">
        <v>30</v>
      </c>
      <c r="G60" s="358">
        <v>33</v>
      </c>
      <c r="H60" s="358">
        <v>36</v>
      </c>
      <c r="I60" s="358">
        <v>38</v>
      </c>
      <c r="J60" s="358">
        <v>41</v>
      </c>
      <c r="K60" s="358">
        <v>45</v>
      </c>
      <c r="L60" s="358">
        <v>47</v>
      </c>
      <c r="M60" s="358">
        <v>50</v>
      </c>
      <c r="N60" s="358">
        <v>52</v>
      </c>
      <c r="O60" s="358">
        <v>57</v>
      </c>
      <c r="P60" s="358">
        <v>63</v>
      </c>
      <c r="Q60" s="358">
        <v>65</v>
      </c>
      <c r="R60" s="358">
        <v>68</v>
      </c>
      <c r="S60" s="358">
        <v>70</v>
      </c>
      <c r="T60" s="358">
        <v>73</v>
      </c>
      <c r="U60" s="358">
        <v>76</v>
      </c>
      <c r="V60" s="358">
        <v>22</v>
      </c>
      <c r="W60" s="358">
        <v>24</v>
      </c>
      <c r="X60" s="358">
        <v>26</v>
      </c>
      <c r="Y60" s="358">
        <v>28</v>
      </c>
      <c r="Z60" s="358">
        <v>30</v>
      </c>
      <c r="AA60" s="358">
        <v>31</v>
      </c>
      <c r="AB60" s="358">
        <v>33</v>
      </c>
      <c r="AC60" s="358">
        <v>36</v>
      </c>
      <c r="AD60" s="358">
        <v>38</v>
      </c>
      <c r="AE60" s="358">
        <v>43</v>
      </c>
      <c r="AF60" s="358">
        <v>48</v>
      </c>
      <c r="AG60" s="358">
        <v>53</v>
      </c>
      <c r="AH60" s="358">
        <v>54</v>
      </c>
      <c r="AI60" s="358">
        <v>55</v>
      </c>
      <c r="AJ60" s="358">
        <v>59</v>
      </c>
      <c r="AK60" s="358">
        <v>65</v>
      </c>
      <c r="AL60" s="358">
        <v>71</v>
      </c>
      <c r="AM60" s="358">
        <v>76</v>
      </c>
      <c r="AN60" s="358">
        <v>82</v>
      </c>
      <c r="AO60" s="358">
        <v>86</v>
      </c>
      <c r="AP60" s="358">
        <v>92</v>
      </c>
      <c r="AQ60" s="358">
        <v>98</v>
      </c>
      <c r="AR60" s="358">
        <v>102</v>
      </c>
      <c r="AS60" s="358">
        <v>114</v>
      </c>
      <c r="AT60" s="358">
        <v>122</v>
      </c>
      <c r="AU60" s="358">
        <v>132</v>
      </c>
      <c r="AV60" s="358">
        <v>141</v>
      </c>
      <c r="AW60" s="358">
        <v>149</v>
      </c>
      <c r="AX60" s="358">
        <v>17</v>
      </c>
      <c r="AY60" s="358">
        <v>13</v>
      </c>
      <c r="AZ60" s="358">
        <v>12</v>
      </c>
      <c r="BA60" s="358">
        <v>11</v>
      </c>
      <c r="BB60" s="358">
        <v>10</v>
      </c>
      <c r="BC60" s="358">
        <v>7</v>
      </c>
      <c r="BD60" s="358">
        <v>3</v>
      </c>
      <c r="BE60" s="358">
        <v>1</v>
      </c>
      <c r="BG60" s="358">
        <v>3</v>
      </c>
      <c r="BH60" s="358">
        <v>4</v>
      </c>
      <c r="BI60" s="358">
        <v>5</v>
      </c>
      <c r="BJ60" s="358">
        <v>7</v>
      </c>
      <c r="BK60" s="358">
        <v>8</v>
      </c>
      <c r="BL60" s="358">
        <v>9</v>
      </c>
      <c r="BM60" s="358">
        <v>11</v>
      </c>
      <c r="BN60" s="358">
        <v>12</v>
      </c>
      <c r="BO60" s="358">
        <v>15</v>
      </c>
      <c r="BP60" s="358">
        <v>20</v>
      </c>
      <c r="BQ60" s="358">
        <v>24</v>
      </c>
      <c r="BR60" s="358">
        <v>34</v>
      </c>
      <c r="BS60" s="358">
        <v>41</v>
      </c>
      <c r="BT60" s="358">
        <v>45</v>
      </c>
      <c r="BU60" s="358">
        <v>48</v>
      </c>
      <c r="BV60" s="358">
        <v>19</v>
      </c>
      <c r="BW60" s="358">
        <v>20</v>
      </c>
      <c r="BX60" s="358">
        <v>23</v>
      </c>
      <c r="BY60" s="358">
        <v>27</v>
      </c>
      <c r="BZ60" s="358">
        <v>32</v>
      </c>
      <c r="CA60" s="358">
        <v>36</v>
      </c>
      <c r="CB60" s="358">
        <v>43</v>
      </c>
      <c r="CC60" s="358">
        <v>48</v>
      </c>
      <c r="CD60" s="358">
        <v>51</v>
      </c>
      <c r="CE60" s="358">
        <v>55</v>
      </c>
      <c r="CF60" s="358">
        <v>57</v>
      </c>
      <c r="CG60" s="358">
        <v>64</v>
      </c>
      <c r="CH60" s="358">
        <v>66</v>
      </c>
      <c r="CI60" s="358">
        <v>70</v>
      </c>
      <c r="CJ60" s="358">
        <v>73</v>
      </c>
      <c r="CK60" s="358">
        <v>80</v>
      </c>
      <c r="CL60" s="358">
        <v>86</v>
      </c>
      <c r="CM60" s="358">
        <v>90</v>
      </c>
      <c r="CN60" s="358">
        <v>95</v>
      </c>
      <c r="CO60" s="358">
        <v>102</v>
      </c>
      <c r="CP60" s="358">
        <v>113</v>
      </c>
      <c r="CQ60" s="358">
        <v>126</v>
      </c>
      <c r="CR60" s="358">
        <v>131</v>
      </c>
      <c r="CS60" s="358">
        <v>26</v>
      </c>
      <c r="CT60" s="358">
        <v>31</v>
      </c>
      <c r="CU60" s="358">
        <v>37</v>
      </c>
      <c r="CV60" s="358">
        <v>43</v>
      </c>
      <c r="CW60" s="358">
        <v>49</v>
      </c>
      <c r="CX60" s="358">
        <v>54</v>
      </c>
      <c r="CY60" s="358">
        <v>61</v>
      </c>
      <c r="CZ60" s="358">
        <v>64</v>
      </c>
      <c r="DA60" s="358">
        <v>68</v>
      </c>
      <c r="DB60" s="358">
        <v>73</v>
      </c>
      <c r="DC60" s="358">
        <v>84</v>
      </c>
      <c r="DD60" s="358">
        <v>94</v>
      </c>
      <c r="DE60" s="358">
        <v>98</v>
      </c>
      <c r="DF60" s="358">
        <v>104</v>
      </c>
      <c r="DG60" s="358">
        <v>113</v>
      </c>
      <c r="DH60" s="358">
        <v>118</v>
      </c>
      <c r="DI60" s="358">
        <v>125</v>
      </c>
      <c r="DJ60" s="358">
        <v>134</v>
      </c>
      <c r="DK60" s="358">
        <v>141</v>
      </c>
      <c r="DL60" s="358">
        <v>149</v>
      </c>
      <c r="DM60" s="358">
        <v>161</v>
      </c>
      <c r="DN60" s="358">
        <v>164</v>
      </c>
      <c r="DO60" s="358">
        <v>175</v>
      </c>
      <c r="DP60" s="358">
        <v>184</v>
      </c>
      <c r="DQ60" s="358">
        <v>27</v>
      </c>
      <c r="DR60" s="358">
        <v>32</v>
      </c>
      <c r="DS60" s="358">
        <v>36</v>
      </c>
      <c r="DT60" s="358">
        <v>38</v>
      </c>
      <c r="DU60" s="358">
        <v>41</v>
      </c>
      <c r="DV60" s="358">
        <v>42</v>
      </c>
      <c r="DW60" s="358">
        <v>48</v>
      </c>
      <c r="DX60" s="358">
        <v>51</v>
      </c>
      <c r="DY60" s="358">
        <v>57</v>
      </c>
      <c r="DZ60" s="358">
        <v>62</v>
      </c>
      <c r="EA60" s="358">
        <v>66</v>
      </c>
      <c r="EB60" s="358">
        <v>70</v>
      </c>
      <c r="EC60" s="358">
        <v>75</v>
      </c>
      <c r="ED60" s="358">
        <v>81</v>
      </c>
      <c r="EE60" s="358">
        <v>87</v>
      </c>
      <c r="EF60" s="358">
        <v>90</v>
      </c>
      <c r="EG60" s="358">
        <v>94</v>
      </c>
      <c r="EH60" s="358">
        <v>99</v>
      </c>
      <c r="EI60" s="358">
        <v>104</v>
      </c>
      <c r="EJ60" s="358">
        <v>108</v>
      </c>
      <c r="EK60" s="358">
        <v>113</v>
      </c>
      <c r="EL60" s="358">
        <v>117</v>
      </c>
      <c r="EM60" s="358">
        <v>166</v>
      </c>
      <c r="EN60" s="358">
        <v>178</v>
      </c>
      <c r="EO60" s="358">
        <v>189</v>
      </c>
      <c r="EP60" s="358">
        <v>199</v>
      </c>
      <c r="EQ60" s="358">
        <v>206</v>
      </c>
      <c r="ES60" s="358">
        <v>218</v>
      </c>
      <c r="ET60" s="358">
        <v>223</v>
      </c>
      <c r="EU60" s="358">
        <v>232</v>
      </c>
      <c r="EV60" s="358">
        <v>238</v>
      </c>
      <c r="EW60" s="358">
        <v>162</v>
      </c>
      <c r="EX60" s="358">
        <v>173</v>
      </c>
      <c r="EY60" s="358">
        <v>184</v>
      </c>
      <c r="EZ60" s="358">
        <v>200</v>
      </c>
      <c r="FA60" s="358">
        <v>208</v>
      </c>
      <c r="FB60" s="358">
        <v>218</v>
      </c>
      <c r="FC60" s="358">
        <v>232</v>
      </c>
      <c r="FD60" s="358">
        <v>244</v>
      </c>
      <c r="FE60" s="358">
        <v>251</v>
      </c>
      <c r="FF60" s="358">
        <v>256</v>
      </c>
      <c r="FG60" s="358">
        <v>268</v>
      </c>
      <c r="FH60" s="358">
        <v>277</v>
      </c>
      <c r="FI60" s="358">
        <v>288</v>
      </c>
      <c r="FJ60" s="358">
        <v>294</v>
      </c>
      <c r="FK60" s="358">
        <v>299</v>
      </c>
      <c r="FL60" s="358">
        <v>141</v>
      </c>
      <c r="FM60" s="358">
        <v>151</v>
      </c>
      <c r="FN60" s="358">
        <v>157</v>
      </c>
      <c r="FO60" s="358">
        <v>164</v>
      </c>
      <c r="FP60" s="358">
        <v>177</v>
      </c>
      <c r="FQ60" s="358">
        <v>192</v>
      </c>
      <c r="FR60" s="358">
        <v>200</v>
      </c>
      <c r="FS60" s="358">
        <v>207</v>
      </c>
      <c r="FT60" s="358">
        <v>214</v>
      </c>
      <c r="FU60" s="358">
        <v>221</v>
      </c>
      <c r="FV60" s="358">
        <v>231</v>
      </c>
      <c r="FW60" s="358">
        <v>92</v>
      </c>
      <c r="FX60" s="358">
        <v>139</v>
      </c>
      <c r="FY60" s="358">
        <v>146</v>
      </c>
      <c r="FZ60" s="358">
        <v>174</v>
      </c>
      <c r="GA60" s="358">
        <v>243</v>
      </c>
      <c r="GB60" s="358">
        <v>279</v>
      </c>
      <c r="GC60" s="358">
        <v>91</v>
      </c>
      <c r="GD60" s="358">
        <v>127</v>
      </c>
      <c r="GE60" s="358">
        <v>156</v>
      </c>
      <c r="GF60" s="358">
        <v>188</v>
      </c>
      <c r="GG60" s="358">
        <v>72</v>
      </c>
      <c r="GH60" s="358">
        <v>84</v>
      </c>
      <c r="GI60" s="361">
        <v>110</v>
      </c>
    </row>
    <row r="61" spans="1:191">
      <c r="A61" s="336" t="s">
        <v>438</v>
      </c>
      <c r="B61" s="358">
        <v>23</v>
      </c>
      <c r="C61" s="358">
        <v>27</v>
      </c>
      <c r="D61" s="358">
        <v>29</v>
      </c>
      <c r="E61" s="358">
        <v>30</v>
      </c>
      <c r="F61" s="358">
        <v>33</v>
      </c>
      <c r="G61" s="358">
        <v>36</v>
      </c>
      <c r="H61" s="358">
        <v>39</v>
      </c>
      <c r="I61" s="358">
        <v>41</v>
      </c>
      <c r="J61" s="358">
        <v>44</v>
      </c>
      <c r="K61" s="358">
        <v>48</v>
      </c>
      <c r="L61" s="358">
        <v>50</v>
      </c>
      <c r="M61" s="358">
        <v>53</v>
      </c>
      <c r="N61" s="358">
        <v>55</v>
      </c>
      <c r="O61" s="358">
        <v>60</v>
      </c>
      <c r="P61" s="358">
        <v>66</v>
      </c>
      <c r="Q61" s="358">
        <v>68</v>
      </c>
      <c r="R61" s="358">
        <v>71</v>
      </c>
      <c r="S61" s="358">
        <v>73</v>
      </c>
      <c r="T61" s="358">
        <v>76</v>
      </c>
      <c r="U61" s="358">
        <v>79</v>
      </c>
      <c r="V61" s="358">
        <v>25</v>
      </c>
      <c r="W61" s="358">
        <v>27</v>
      </c>
      <c r="X61" s="358">
        <v>29</v>
      </c>
      <c r="Y61" s="358">
        <v>31</v>
      </c>
      <c r="Z61" s="358">
        <v>33</v>
      </c>
      <c r="AA61" s="358">
        <v>34</v>
      </c>
      <c r="AB61" s="358">
        <v>36</v>
      </c>
      <c r="AC61" s="358">
        <v>39</v>
      </c>
      <c r="AD61" s="358">
        <v>41</v>
      </c>
      <c r="AE61" s="358">
        <v>46</v>
      </c>
      <c r="AF61" s="358">
        <v>51</v>
      </c>
      <c r="AG61" s="358">
        <v>56</v>
      </c>
      <c r="AH61" s="358">
        <v>57</v>
      </c>
      <c r="AI61" s="358">
        <v>58</v>
      </c>
      <c r="AJ61" s="358">
        <v>62</v>
      </c>
      <c r="AK61" s="358">
        <v>68</v>
      </c>
      <c r="AL61" s="358">
        <v>74</v>
      </c>
      <c r="AM61" s="358">
        <v>79</v>
      </c>
      <c r="AN61" s="358">
        <v>85</v>
      </c>
      <c r="AO61" s="358">
        <v>89</v>
      </c>
      <c r="AP61" s="358">
        <v>95</v>
      </c>
      <c r="AQ61" s="358">
        <v>101</v>
      </c>
      <c r="AR61" s="358">
        <v>105</v>
      </c>
      <c r="AS61" s="358">
        <v>117</v>
      </c>
      <c r="AT61" s="358">
        <v>125</v>
      </c>
      <c r="AU61" s="358">
        <v>135</v>
      </c>
      <c r="AV61" s="358">
        <v>144</v>
      </c>
      <c r="AW61" s="358">
        <v>152</v>
      </c>
      <c r="AX61" s="358">
        <v>20</v>
      </c>
      <c r="AY61" s="358">
        <v>16</v>
      </c>
      <c r="AZ61" s="358">
        <v>15</v>
      </c>
      <c r="BA61" s="358">
        <v>14</v>
      </c>
      <c r="BB61" s="358">
        <v>13</v>
      </c>
      <c r="BC61" s="358">
        <v>10</v>
      </c>
      <c r="BD61" s="358">
        <v>6</v>
      </c>
      <c r="BE61" s="358">
        <v>4</v>
      </c>
      <c r="BF61" s="358">
        <v>3</v>
      </c>
      <c r="BH61" s="358">
        <v>1</v>
      </c>
      <c r="BI61" s="358">
        <v>2</v>
      </c>
      <c r="BJ61" s="358">
        <v>4</v>
      </c>
      <c r="BK61" s="358">
        <v>5</v>
      </c>
      <c r="BL61" s="358">
        <v>6</v>
      </c>
      <c r="BM61" s="358">
        <v>8</v>
      </c>
      <c r="BN61" s="358">
        <v>9</v>
      </c>
      <c r="BO61" s="358">
        <v>12</v>
      </c>
      <c r="BP61" s="358">
        <v>17</v>
      </c>
      <c r="BQ61" s="358">
        <v>21</v>
      </c>
      <c r="BR61" s="358">
        <v>31</v>
      </c>
      <c r="BS61" s="358">
        <v>38</v>
      </c>
      <c r="BT61" s="358">
        <v>42</v>
      </c>
      <c r="BU61" s="358">
        <v>45</v>
      </c>
      <c r="BV61" s="358">
        <v>22</v>
      </c>
      <c r="BW61" s="358">
        <v>23</v>
      </c>
      <c r="BX61" s="358">
        <v>26</v>
      </c>
      <c r="BY61" s="358">
        <v>30</v>
      </c>
      <c r="BZ61" s="358">
        <v>35</v>
      </c>
      <c r="CA61" s="358">
        <v>39</v>
      </c>
      <c r="CB61" s="358">
        <v>46</v>
      </c>
      <c r="CC61" s="358">
        <v>51</v>
      </c>
      <c r="CD61" s="358">
        <v>54</v>
      </c>
      <c r="CE61" s="358">
        <v>58</v>
      </c>
      <c r="CF61" s="358">
        <v>60</v>
      </c>
      <c r="CG61" s="358">
        <v>67</v>
      </c>
      <c r="CH61" s="358">
        <v>69</v>
      </c>
      <c r="CI61" s="358">
        <v>73</v>
      </c>
      <c r="CJ61" s="358">
        <v>76</v>
      </c>
      <c r="CK61" s="358">
        <v>83</v>
      </c>
      <c r="CL61" s="358">
        <v>89</v>
      </c>
      <c r="CM61" s="358">
        <v>93</v>
      </c>
      <c r="CN61" s="358">
        <v>98</v>
      </c>
      <c r="CO61" s="358">
        <v>105</v>
      </c>
      <c r="CP61" s="358">
        <v>116</v>
      </c>
      <c r="CQ61" s="358">
        <v>129</v>
      </c>
      <c r="CR61" s="358">
        <v>134</v>
      </c>
      <c r="CS61" s="358">
        <v>29</v>
      </c>
      <c r="CT61" s="358">
        <v>34</v>
      </c>
      <c r="CU61" s="358">
        <v>40</v>
      </c>
      <c r="CV61" s="358">
        <v>46</v>
      </c>
      <c r="CW61" s="358">
        <v>52</v>
      </c>
      <c r="CX61" s="358">
        <v>57</v>
      </c>
      <c r="CY61" s="358">
        <v>64</v>
      </c>
      <c r="CZ61" s="358">
        <v>67</v>
      </c>
      <c r="DA61" s="358">
        <v>71</v>
      </c>
      <c r="DB61" s="358">
        <v>76</v>
      </c>
      <c r="DC61" s="358">
        <v>87</v>
      </c>
      <c r="DD61" s="358">
        <v>97</v>
      </c>
      <c r="DE61" s="358">
        <v>101</v>
      </c>
      <c r="DF61" s="358">
        <v>107</v>
      </c>
      <c r="DG61" s="358">
        <v>116</v>
      </c>
      <c r="DH61" s="358">
        <v>121</v>
      </c>
      <c r="DI61" s="358">
        <v>128</v>
      </c>
      <c r="DJ61" s="358">
        <v>137</v>
      </c>
      <c r="DK61" s="358">
        <v>144</v>
      </c>
      <c r="DL61" s="358">
        <v>152</v>
      </c>
      <c r="DM61" s="358">
        <v>164</v>
      </c>
      <c r="DN61" s="358">
        <v>167</v>
      </c>
      <c r="DO61" s="358">
        <v>178</v>
      </c>
      <c r="DP61" s="358">
        <v>187</v>
      </c>
      <c r="DQ61" s="358">
        <v>30</v>
      </c>
      <c r="DR61" s="358">
        <v>35</v>
      </c>
      <c r="DS61" s="358">
        <v>39</v>
      </c>
      <c r="DT61" s="358">
        <v>41</v>
      </c>
      <c r="DU61" s="358">
        <v>44</v>
      </c>
      <c r="DV61" s="358">
        <v>45</v>
      </c>
      <c r="DW61" s="358">
        <v>51</v>
      </c>
      <c r="DX61" s="358">
        <v>54</v>
      </c>
      <c r="DY61" s="358">
        <v>60</v>
      </c>
      <c r="DZ61" s="358">
        <v>65</v>
      </c>
      <c r="EA61" s="358">
        <v>69</v>
      </c>
      <c r="EB61" s="358">
        <v>73</v>
      </c>
      <c r="EC61" s="358">
        <v>78</v>
      </c>
      <c r="ED61" s="358">
        <v>84</v>
      </c>
      <c r="EE61" s="358">
        <v>90</v>
      </c>
      <c r="EF61" s="358">
        <v>93</v>
      </c>
      <c r="EG61" s="358">
        <v>97</v>
      </c>
      <c r="EH61" s="358">
        <v>102</v>
      </c>
      <c r="EI61" s="358">
        <v>107</v>
      </c>
      <c r="EJ61" s="358">
        <v>111</v>
      </c>
      <c r="EK61" s="358">
        <v>116</v>
      </c>
      <c r="EL61" s="358">
        <v>120</v>
      </c>
      <c r="EM61" s="358">
        <v>169</v>
      </c>
      <c r="EN61" s="358">
        <v>181</v>
      </c>
      <c r="EO61" s="358">
        <v>192</v>
      </c>
      <c r="EP61" s="358">
        <v>202</v>
      </c>
      <c r="EQ61" s="358">
        <v>209</v>
      </c>
      <c r="ES61" s="358">
        <v>221</v>
      </c>
      <c r="ET61" s="358">
        <v>226</v>
      </c>
      <c r="EU61" s="358">
        <v>235</v>
      </c>
      <c r="EV61" s="358">
        <v>241</v>
      </c>
      <c r="EW61" s="358">
        <v>165</v>
      </c>
      <c r="EX61" s="358">
        <v>176</v>
      </c>
      <c r="EY61" s="358">
        <v>187</v>
      </c>
      <c r="EZ61" s="358">
        <v>203</v>
      </c>
      <c r="FA61" s="358">
        <v>211</v>
      </c>
      <c r="FB61" s="358">
        <v>221</v>
      </c>
      <c r="FC61" s="358">
        <v>235</v>
      </c>
      <c r="FD61" s="358">
        <v>247</v>
      </c>
      <c r="FE61" s="358">
        <v>254</v>
      </c>
      <c r="FF61" s="358">
        <v>259</v>
      </c>
      <c r="FG61" s="358">
        <v>271</v>
      </c>
      <c r="FH61" s="358">
        <v>280</v>
      </c>
      <c r="FI61" s="358">
        <v>291</v>
      </c>
      <c r="FJ61" s="358">
        <v>297</v>
      </c>
      <c r="FK61" s="358">
        <v>302</v>
      </c>
      <c r="FL61" s="358">
        <v>144</v>
      </c>
      <c r="FM61" s="358">
        <v>154</v>
      </c>
      <c r="FN61" s="358">
        <v>160</v>
      </c>
      <c r="FO61" s="358">
        <v>167</v>
      </c>
      <c r="FP61" s="358">
        <v>180</v>
      </c>
      <c r="FQ61" s="358">
        <v>195</v>
      </c>
      <c r="FR61" s="358">
        <v>203</v>
      </c>
      <c r="FS61" s="358">
        <v>210</v>
      </c>
      <c r="FT61" s="358">
        <v>217</v>
      </c>
      <c r="FU61" s="358">
        <v>224</v>
      </c>
      <c r="FV61" s="358">
        <v>234</v>
      </c>
      <c r="FW61" s="358">
        <v>95</v>
      </c>
      <c r="FX61" s="358">
        <v>142</v>
      </c>
      <c r="FY61" s="358">
        <v>149</v>
      </c>
      <c r="FZ61" s="358">
        <v>177</v>
      </c>
      <c r="GA61" s="358">
        <v>246</v>
      </c>
      <c r="GB61" s="358">
        <v>282</v>
      </c>
      <c r="GC61" s="358">
        <v>88</v>
      </c>
      <c r="GD61" s="358">
        <v>124</v>
      </c>
      <c r="GE61" s="358">
        <v>153</v>
      </c>
      <c r="GF61" s="358">
        <v>191</v>
      </c>
      <c r="GG61" s="358">
        <v>69</v>
      </c>
      <c r="GH61" s="358">
        <v>81</v>
      </c>
      <c r="GI61" s="361">
        <v>107</v>
      </c>
    </row>
    <row r="62" spans="1:191">
      <c r="A62" s="336" t="s">
        <v>437</v>
      </c>
      <c r="B62" s="358">
        <v>24</v>
      </c>
      <c r="C62" s="358">
        <v>28</v>
      </c>
      <c r="D62" s="358">
        <v>30</v>
      </c>
      <c r="E62" s="358">
        <v>31</v>
      </c>
      <c r="F62" s="358">
        <v>34</v>
      </c>
      <c r="G62" s="358">
        <v>37</v>
      </c>
      <c r="H62" s="358">
        <v>40</v>
      </c>
      <c r="I62" s="358">
        <v>42</v>
      </c>
      <c r="J62" s="358">
        <v>45</v>
      </c>
      <c r="K62" s="358">
        <v>49</v>
      </c>
      <c r="L62" s="358">
        <v>51</v>
      </c>
      <c r="M62" s="358">
        <v>54</v>
      </c>
      <c r="N62" s="358">
        <v>56</v>
      </c>
      <c r="O62" s="358">
        <v>61</v>
      </c>
      <c r="P62" s="358">
        <v>67</v>
      </c>
      <c r="Q62" s="358">
        <v>69</v>
      </c>
      <c r="R62" s="358">
        <v>72</v>
      </c>
      <c r="S62" s="358">
        <v>74</v>
      </c>
      <c r="T62" s="358">
        <v>77</v>
      </c>
      <c r="U62" s="358">
        <v>80</v>
      </c>
      <c r="V62" s="358">
        <v>26</v>
      </c>
      <c r="W62" s="358">
        <v>28</v>
      </c>
      <c r="X62" s="358">
        <v>30</v>
      </c>
      <c r="Y62" s="358">
        <v>32</v>
      </c>
      <c r="Z62" s="358">
        <v>34</v>
      </c>
      <c r="AA62" s="358">
        <v>35</v>
      </c>
      <c r="AB62" s="358">
        <v>37</v>
      </c>
      <c r="AC62" s="358">
        <v>40</v>
      </c>
      <c r="AD62" s="358">
        <v>42</v>
      </c>
      <c r="AE62" s="358">
        <v>47</v>
      </c>
      <c r="AF62" s="358">
        <v>52</v>
      </c>
      <c r="AG62" s="358">
        <v>57</v>
      </c>
      <c r="AH62" s="358">
        <v>58</v>
      </c>
      <c r="AI62" s="358">
        <v>59</v>
      </c>
      <c r="AJ62" s="358">
        <v>63</v>
      </c>
      <c r="AK62" s="358">
        <v>69</v>
      </c>
      <c r="AL62" s="358">
        <v>75</v>
      </c>
      <c r="AM62" s="358">
        <v>80</v>
      </c>
      <c r="AN62" s="358">
        <v>86</v>
      </c>
      <c r="AO62" s="358">
        <v>90</v>
      </c>
      <c r="AP62" s="358">
        <v>96</v>
      </c>
      <c r="AQ62" s="358">
        <v>102</v>
      </c>
      <c r="AR62" s="358">
        <v>106</v>
      </c>
      <c r="AS62" s="358">
        <v>118</v>
      </c>
      <c r="AT62" s="358">
        <v>126</v>
      </c>
      <c r="AU62" s="358">
        <v>136</v>
      </c>
      <c r="AV62" s="358">
        <v>145</v>
      </c>
      <c r="AW62" s="358">
        <v>153</v>
      </c>
      <c r="AX62" s="358">
        <v>21</v>
      </c>
      <c r="AY62" s="358">
        <v>17</v>
      </c>
      <c r="AZ62" s="358">
        <v>16</v>
      </c>
      <c r="BA62" s="358">
        <v>15</v>
      </c>
      <c r="BB62" s="358">
        <v>14</v>
      </c>
      <c r="BC62" s="358">
        <v>11</v>
      </c>
      <c r="BD62" s="358">
        <v>7</v>
      </c>
      <c r="BE62" s="358">
        <v>5</v>
      </c>
      <c r="BF62" s="358">
        <v>4</v>
      </c>
      <c r="BG62" s="358">
        <v>1</v>
      </c>
      <c r="BI62" s="358">
        <v>1</v>
      </c>
      <c r="BJ62" s="358">
        <v>3</v>
      </c>
      <c r="BK62" s="358">
        <v>4</v>
      </c>
      <c r="BL62" s="358">
        <v>5</v>
      </c>
      <c r="BM62" s="358">
        <v>7</v>
      </c>
      <c r="BN62" s="358">
        <v>8</v>
      </c>
      <c r="BO62" s="358">
        <v>11</v>
      </c>
      <c r="BP62" s="358">
        <v>16</v>
      </c>
      <c r="BQ62" s="358">
        <v>20</v>
      </c>
      <c r="BR62" s="358">
        <v>30</v>
      </c>
      <c r="BS62" s="358">
        <v>37</v>
      </c>
      <c r="BT62" s="358">
        <v>41</v>
      </c>
      <c r="BU62" s="358">
        <v>44</v>
      </c>
      <c r="BV62" s="358">
        <v>23</v>
      </c>
      <c r="BW62" s="358">
        <v>24</v>
      </c>
      <c r="BX62" s="358">
        <v>27</v>
      </c>
      <c r="BY62" s="358">
        <v>31</v>
      </c>
      <c r="BZ62" s="358">
        <v>36</v>
      </c>
      <c r="CA62" s="358">
        <v>40</v>
      </c>
      <c r="CB62" s="358">
        <v>47</v>
      </c>
      <c r="CC62" s="358">
        <v>52</v>
      </c>
      <c r="CD62" s="358">
        <v>55</v>
      </c>
      <c r="CE62" s="358">
        <v>59</v>
      </c>
      <c r="CF62" s="358">
        <v>61</v>
      </c>
      <c r="CG62" s="358">
        <v>68</v>
      </c>
      <c r="CH62" s="358">
        <v>70</v>
      </c>
      <c r="CI62" s="358">
        <v>74</v>
      </c>
      <c r="CJ62" s="358">
        <v>77</v>
      </c>
      <c r="CK62" s="358">
        <v>84</v>
      </c>
      <c r="CL62" s="358">
        <v>90</v>
      </c>
      <c r="CM62" s="358">
        <v>94</v>
      </c>
      <c r="CN62" s="358">
        <v>99</v>
      </c>
      <c r="CO62" s="358">
        <v>106</v>
      </c>
      <c r="CP62" s="358">
        <v>117</v>
      </c>
      <c r="CQ62" s="358">
        <v>130</v>
      </c>
      <c r="CR62" s="358">
        <v>135</v>
      </c>
      <c r="CS62" s="358">
        <v>30</v>
      </c>
      <c r="CT62" s="358">
        <v>35</v>
      </c>
      <c r="CU62" s="358">
        <v>41</v>
      </c>
      <c r="CV62" s="358">
        <v>47</v>
      </c>
      <c r="CW62" s="358">
        <v>53</v>
      </c>
      <c r="CX62" s="358">
        <v>58</v>
      </c>
      <c r="CY62" s="358">
        <v>65</v>
      </c>
      <c r="CZ62" s="358">
        <v>68</v>
      </c>
      <c r="DA62" s="358">
        <v>72</v>
      </c>
      <c r="DB62" s="358">
        <v>77</v>
      </c>
      <c r="DC62" s="358">
        <v>88</v>
      </c>
      <c r="DD62" s="358">
        <v>98</v>
      </c>
      <c r="DE62" s="358">
        <v>102</v>
      </c>
      <c r="DF62" s="358">
        <v>108</v>
      </c>
      <c r="DG62" s="358">
        <v>117</v>
      </c>
      <c r="DH62" s="358">
        <v>122</v>
      </c>
      <c r="DI62" s="358">
        <v>129</v>
      </c>
      <c r="DJ62" s="358">
        <v>138</v>
      </c>
      <c r="DK62" s="358">
        <v>145</v>
      </c>
      <c r="DL62" s="358">
        <v>153</v>
      </c>
      <c r="DM62" s="358">
        <v>165</v>
      </c>
      <c r="DN62" s="358">
        <v>168</v>
      </c>
      <c r="DO62" s="358">
        <v>179</v>
      </c>
      <c r="DP62" s="358">
        <v>188</v>
      </c>
      <c r="DQ62" s="358">
        <v>31</v>
      </c>
      <c r="DR62" s="358">
        <v>36</v>
      </c>
      <c r="DS62" s="358">
        <v>40</v>
      </c>
      <c r="DT62" s="358">
        <v>42</v>
      </c>
      <c r="DU62" s="358">
        <v>45</v>
      </c>
      <c r="DV62" s="358">
        <v>46</v>
      </c>
      <c r="DW62" s="358">
        <v>52</v>
      </c>
      <c r="DX62" s="358">
        <v>55</v>
      </c>
      <c r="DY62" s="358">
        <v>61</v>
      </c>
      <c r="DZ62" s="358">
        <v>66</v>
      </c>
      <c r="EA62" s="358">
        <v>70</v>
      </c>
      <c r="EB62" s="358">
        <v>74</v>
      </c>
      <c r="EC62" s="358">
        <v>79</v>
      </c>
      <c r="ED62" s="358">
        <v>85</v>
      </c>
      <c r="EE62" s="358">
        <v>91</v>
      </c>
      <c r="EF62" s="358">
        <v>94</v>
      </c>
      <c r="EG62" s="358">
        <v>98</v>
      </c>
      <c r="EH62" s="358">
        <v>103</v>
      </c>
      <c r="EI62" s="358">
        <v>108</v>
      </c>
      <c r="EJ62" s="358">
        <v>112</v>
      </c>
      <c r="EK62" s="358">
        <v>117</v>
      </c>
      <c r="EL62" s="358">
        <v>121</v>
      </c>
      <c r="EM62" s="358">
        <v>170</v>
      </c>
      <c r="EN62" s="358">
        <v>182</v>
      </c>
      <c r="EO62" s="358">
        <v>193</v>
      </c>
      <c r="EP62" s="358">
        <v>203</v>
      </c>
      <c r="EQ62" s="358">
        <v>210</v>
      </c>
      <c r="ES62" s="358">
        <v>222</v>
      </c>
      <c r="ET62" s="358">
        <v>227</v>
      </c>
      <c r="EU62" s="358">
        <v>236</v>
      </c>
      <c r="EV62" s="358">
        <v>242</v>
      </c>
      <c r="EW62" s="358">
        <v>166</v>
      </c>
      <c r="EX62" s="358">
        <v>177</v>
      </c>
      <c r="EY62" s="358">
        <v>188</v>
      </c>
      <c r="EZ62" s="358">
        <v>204</v>
      </c>
      <c r="FA62" s="358">
        <v>212</v>
      </c>
      <c r="FB62" s="358">
        <v>222</v>
      </c>
      <c r="FC62" s="358">
        <v>236</v>
      </c>
      <c r="FD62" s="358">
        <v>248</v>
      </c>
      <c r="FE62" s="358">
        <v>255</v>
      </c>
      <c r="FF62" s="358">
        <v>260</v>
      </c>
      <c r="FG62" s="358">
        <v>272</v>
      </c>
      <c r="FH62" s="358">
        <v>281</v>
      </c>
      <c r="FI62" s="358">
        <v>292</v>
      </c>
      <c r="FJ62" s="358">
        <v>298</v>
      </c>
      <c r="FK62" s="358">
        <v>303</v>
      </c>
      <c r="FL62" s="358">
        <v>145</v>
      </c>
      <c r="FM62" s="358">
        <v>155</v>
      </c>
      <c r="FN62" s="358">
        <v>161</v>
      </c>
      <c r="FO62" s="358">
        <v>168</v>
      </c>
      <c r="FP62" s="358">
        <v>181</v>
      </c>
      <c r="FQ62" s="358">
        <v>196</v>
      </c>
      <c r="FR62" s="358">
        <v>204</v>
      </c>
      <c r="FS62" s="358">
        <v>211</v>
      </c>
      <c r="FT62" s="358">
        <v>218</v>
      </c>
      <c r="FU62" s="358">
        <v>225</v>
      </c>
      <c r="FV62" s="358">
        <v>235</v>
      </c>
      <c r="FW62" s="358">
        <v>96</v>
      </c>
      <c r="FX62" s="358">
        <v>143</v>
      </c>
      <c r="FY62" s="358">
        <v>150</v>
      </c>
      <c r="FZ62" s="358">
        <v>178</v>
      </c>
      <c r="GA62" s="358">
        <v>247</v>
      </c>
      <c r="GB62" s="358">
        <v>283</v>
      </c>
      <c r="GC62" s="358">
        <v>87</v>
      </c>
      <c r="GD62" s="358">
        <v>123</v>
      </c>
      <c r="GE62" s="358">
        <v>152</v>
      </c>
      <c r="GF62" s="358">
        <v>192</v>
      </c>
      <c r="GG62" s="358">
        <v>68</v>
      </c>
      <c r="GH62" s="358">
        <v>80</v>
      </c>
      <c r="GI62" s="361">
        <v>106</v>
      </c>
    </row>
    <row r="63" spans="1:191">
      <c r="A63" s="336" t="s">
        <v>436</v>
      </c>
      <c r="B63" s="358">
        <v>25</v>
      </c>
      <c r="C63" s="358">
        <v>29</v>
      </c>
      <c r="D63" s="358">
        <v>31</v>
      </c>
      <c r="E63" s="358">
        <v>32</v>
      </c>
      <c r="F63" s="358">
        <v>35</v>
      </c>
      <c r="G63" s="358">
        <v>38</v>
      </c>
      <c r="H63" s="358">
        <v>41</v>
      </c>
      <c r="I63" s="358">
        <v>43</v>
      </c>
      <c r="J63" s="358">
        <v>46</v>
      </c>
      <c r="K63" s="358">
        <v>50</v>
      </c>
      <c r="L63" s="358">
        <v>52</v>
      </c>
      <c r="M63" s="358">
        <v>55</v>
      </c>
      <c r="N63" s="358">
        <v>57</v>
      </c>
      <c r="O63" s="358">
        <v>62</v>
      </c>
      <c r="P63" s="358">
        <v>68</v>
      </c>
      <c r="Q63" s="358">
        <v>70</v>
      </c>
      <c r="R63" s="358">
        <v>73</v>
      </c>
      <c r="S63" s="358">
        <v>75</v>
      </c>
      <c r="T63" s="358">
        <v>78</v>
      </c>
      <c r="U63" s="358">
        <v>81</v>
      </c>
      <c r="V63" s="358">
        <v>27</v>
      </c>
      <c r="W63" s="358">
        <v>29</v>
      </c>
      <c r="X63" s="358">
        <v>31</v>
      </c>
      <c r="Y63" s="358">
        <v>33</v>
      </c>
      <c r="Z63" s="358">
        <v>35</v>
      </c>
      <c r="AA63" s="358">
        <v>36</v>
      </c>
      <c r="AB63" s="358">
        <v>38</v>
      </c>
      <c r="AC63" s="358">
        <v>41</v>
      </c>
      <c r="AD63" s="358">
        <v>43</v>
      </c>
      <c r="AE63" s="358">
        <v>48</v>
      </c>
      <c r="AF63" s="358">
        <v>53</v>
      </c>
      <c r="AG63" s="358">
        <v>58</v>
      </c>
      <c r="AH63" s="358">
        <v>59</v>
      </c>
      <c r="AI63" s="358">
        <v>60</v>
      </c>
      <c r="AJ63" s="358">
        <v>64</v>
      </c>
      <c r="AK63" s="358">
        <v>70</v>
      </c>
      <c r="AL63" s="358">
        <v>76</v>
      </c>
      <c r="AM63" s="358">
        <v>81</v>
      </c>
      <c r="AN63" s="358">
        <v>87</v>
      </c>
      <c r="AO63" s="358">
        <v>91</v>
      </c>
      <c r="AP63" s="358">
        <v>97</v>
      </c>
      <c r="AQ63" s="358">
        <v>103</v>
      </c>
      <c r="AR63" s="358">
        <v>107</v>
      </c>
      <c r="AS63" s="358">
        <v>119</v>
      </c>
      <c r="AT63" s="358">
        <v>127</v>
      </c>
      <c r="AU63" s="358">
        <v>137</v>
      </c>
      <c r="AV63" s="358">
        <v>146</v>
      </c>
      <c r="AW63" s="358">
        <v>154</v>
      </c>
      <c r="AX63" s="358">
        <v>22</v>
      </c>
      <c r="AY63" s="358">
        <v>18</v>
      </c>
      <c r="AZ63" s="358">
        <v>17</v>
      </c>
      <c r="BA63" s="358">
        <v>16</v>
      </c>
      <c r="BB63" s="358">
        <v>15</v>
      </c>
      <c r="BC63" s="358">
        <v>12</v>
      </c>
      <c r="BD63" s="358">
        <v>8</v>
      </c>
      <c r="BE63" s="358">
        <v>6</v>
      </c>
      <c r="BF63" s="358">
        <v>5</v>
      </c>
      <c r="BG63" s="358">
        <v>2</v>
      </c>
      <c r="BH63" s="358">
        <v>1</v>
      </c>
      <c r="BJ63" s="358">
        <v>2</v>
      </c>
      <c r="BK63" s="358">
        <v>3</v>
      </c>
      <c r="BL63" s="358">
        <v>4</v>
      </c>
      <c r="BM63" s="358">
        <v>6</v>
      </c>
      <c r="BN63" s="358">
        <v>7</v>
      </c>
      <c r="BO63" s="358">
        <v>10</v>
      </c>
      <c r="BP63" s="358">
        <v>15</v>
      </c>
      <c r="BQ63" s="358">
        <v>19</v>
      </c>
      <c r="BR63" s="358">
        <v>29</v>
      </c>
      <c r="BS63" s="358">
        <v>36</v>
      </c>
      <c r="BT63" s="358">
        <v>40</v>
      </c>
      <c r="BU63" s="358">
        <v>43</v>
      </c>
      <c r="BV63" s="358">
        <v>24</v>
      </c>
      <c r="BW63" s="358">
        <v>25</v>
      </c>
      <c r="BX63" s="358">
        <v>28</v>
      </c>
      <c r="BY63" s="358">
        <v>32</v>
      </c>
      <c r="BZ63" s="358">
        <v>37</v>
      </c>
      <c r="CA63" s="358">
        <v>41</v>
      </c>
      <c r="CB63" s="358">
        <v>48</v>
      </c>
      <c r="CC63" s="358">
        <v>53</v>
      </c>
      <c r="CD63" s="358">
        <v>56</v>
      </c>
      <c r="CE63" s="358">
        <v>60</v>
      </c>
      <c r="CF63" s="358">
        <v>62</v>
      </c>
      <c r="CG63" s="358">
        <v>69</v>
      </c>
      <c r="CH63" s="358">
        <v>71</v>
      </c>
      <c r="CI63" s="358">
        <v>75</v>
      </c>
      <c r="CJ63" s="358">
        <v>78</v>
      </c>
      <c r="CK63" s="358">
        <v>85</v>
      </c>
      <c r="CL63" s="358">
        <v>91</v>
      </c>
      <c r="CM63" s="358">
        <v>95</v>
      </c>
      <c r="CN63" s="358">
        <v>100</v>
      </c>
      <c r="CO63" s="358">
        <v>107</v>
      </c>
      <c r="CP63" s="358">
        <v>118</v>
      </c>
      <c r="CQ63" s="358">
        <v>131</v>
      </c>
      <c r="CR63" s="358">
        <v>136</v>
      </c>
      <c r="CS63" s="358">
        <v>31</v>
      </c>
      <c r="CT63" s="358">
        <v>36</v>
      </c>
      <c r="CU63" s="358">
        <v>42</v>
      </c>
      <c r="CV63" s="358">
        <v>48</v>
      </c>
      <c r="CW63" s="358">
        <v>54</v>
      </c>
      <c r="CX63" s="358">
        <v>59</v>
      </c>
      <c r="CY63" s="358">
        <v>66</v>
      </c>
      <c r="CZ63" s="358">
        <v>69</v>
      </c>
      <c r="DA63" s="358">
        <v>73</v>
      </c>
      <c r="DB63" s="358">
        <v>78</v>
      </c>
      <c r="DC63" s="358">
        <v>89</v>
      </c>
      <c r="DD63" s="358">
        <v>99</v>
      </c>
      <c r="DE63" s="358">
        <v>103</v>
      </c>
      <c r="DF63" s="358">
        <v>109</v>
      </c>
      <c r="DG63" s="358">
        <v>118</v>
      </c>
      <c r="DH63" s="358">
        <v>123</v>
      </c>
      <c r="DI63" s="358">
        <v>130</v>
      </c>
      <c r="DJ63" s="358">
        <v>139</v>
      </c>
      <c r="DK63" s="358">
        <v>146</v>
      </c>
      <c r="DL63" s="358">
        <v>154</v>
      </c>
      <c r="DM63" s="358">
        <v>166</v>
      </c>
      <c r="DN63" s="358">
        <v>169</v>
      </c>
      <c r="DO63" s="358">
        <v>180</v>
      </c>
      <c r="DP63" s="358">
        <v>189</v>
      </c>
      <c r="DQ63" s="358">
        <v>32</v>
      </c>
      <c r="DR63" s="358">
        <v>37</v>
      </c>
      <c r="DS63" s="358">
        <v>41</v>
      </c>
      <c r="DT63" s="358">
        <v>43</v>
      </c>
      <c r="DU63" s="358">
        <v>46</v>
      </c>
      <c r="DV63" s="358">
        <v>47</v>
      </c>
      <c r="DW63" s="358">
        <v>53</v>
      </c>
      <c r="DX63" s="358">
        <v>56</v>
      </c>
      <c r="DY63" s="358">
        <v>62</v>
      </c>
      <c r="DZ63" s="358">
        <v>67</v>
      </c>
      <c r="EA63" s="358">
        <v>71</v>
      </c>
      <c r="EB63" s="358">
        <v>75</v>
      </c>
      <c r="EC63" s="358">
        <v>80</v>
      </c>
      <c r="ED63" s="358">
        <v>86</v>
      </c>
      <c r="EE63" s="358">
        <v>92</v>
      </c>
      <c r="EF63" s="358">
        <v>95</v>
      </c>
      <c r="EG63" s="358">
        <v>99</v>
      </c>
      <c r="EH63" s="358">
        <v>104</v>
      </c>
      <c r="EI63" s="358">
        <v>109</v>
      </c>
      <c r="EJ63" s="358">
        <v>113</v>
      </c>
      <c r="EK63" s="358">
        <v>118</v>
      </c>
      <c r="EL63" s="358">
        <v>122</v>
      </c>
      <c r="EM63" s="358">
        <v>171</v>
      </c>
      <c r="EN63" s="358">
        <v>183</v>
      </c>
      <c r="EO63" s="358">
        <v>194</v>
      </c>
      <c r="EP63" s="358">
        <v>204</v>
      </c>
      <c r="EQ63" s="358">
        <v>211</v>
      </c>
      <c r="ES63" s="358">
        <v>223</v>
      </c>
      <c r="ET63" s="358">
        <v>228</v>
      </c>
      <c r="EU63" s="358">
        <v>237</v>
      </c>
      <c r="EV63" s="358">
        <v>243</v>
      </c>
      <c r="EW63" s="358">
        <v>167</v>
      </c>
      <c r="EX63" s="358">
        <v>178</v>
      </c>
      <c r="EY63" s="358">
        <v>189</v>
      </c>
      <c r="EZ63" s="358">
        <v>205</v>
      </c>
      <c r="FA63" s="358">
        <v>213</v>
      </c>
      <c r="FB63" s="358">
        <v>223</v>
      </c>
      <c r="FC63" s="358">
        <v>237</v>
      </c>
      <c r="FD63" s="358">
        <v>249</v>
      </c>
      <c r="FE63" s="358">
        <v>256</v>
      </c>
      <c r="FF63" s="358">
        <v>261</v>
      </c>
      <c r="FG63" s="358">
        <v>273</v>
      </c>
      <c r="FH63" s="358">
        <v>282</v>
      </c>
      <c r="FI63" s="358">
        <v>293</v>
      </c>
      <c r="FJ63" s="358">
        <v>299</v>
      </c>
      <c r="FK63" s="358">
        <v>304</v>
      </c>
      <c r="FL63" s="358">
        <v>146</v>
      </c>
      <c r="FM63" s="358">
        <v>156</v>
      </c>
      <c r="FN63" s="358">
        <v>162</v>
      </c>
      <c r="FO63" s="358">
        <v>169</v>
      </c>
      <c r="FP63" s="358">
        <v>182</v>
      </c>
      <c r="FQ63" s="358">
        <v>197</v>
      </c>
      <c r="FR63" s="358">
        <v>205</v>
      </c>
      <c r="FS63" s="358">
        <v>212</v>
      </c>
      <c r="FT63" s="358">
        <v>219</v>
      </c>
      <c r="FU63" s="358">
        <v>226</v>
      </c>
      <c r="FV63" s="358">
        <v>236</v>
      </c>
      <c r="FW63" s="358">
        <v>97</v>
      </c>
      <c r="FX63" s="358">
        <v>144</v>
      </c>
      <c r="FY63" s="358">
        <v>151</v>
      </c>
      <c r="FZ63" s="358">
        <v>179</v>
      </c>
      <c r="GA63" s="358">
        <v>248</v>
      </c>
      <c r="GB63" s="358">
        <v>284</v>
      </c>
      <c r="GC63" s="358">
        <v>86</v>
      </c>
      <c r="GD63" s="358">
        <v>122</v>
      </c>
      <c r="GE63" s="358">
        <v>151</v>
      </c>
      <c r="GF63" s="358">
        <v>193</v>
      </c>
      <c r="GG63" s="358">
        <v>67</v>
      </c>
      <c r="GH63" s="358">
        <v>79</v>
      </c>
      <c r="GI63" s="361">
        <v>105</v>
      </c>
    </row>
    <row r="64" spans="1:191">
      <c r="A64" s="336" t="s">
        <v>435</v>
      </c>
      <c r="B64" s="358">
        <v>27</v>
      </c>
      <c r="C64" s="358">
        <v>31</v>
      </c>
      <c r="D64" s="358">
        <v>33</v>
      </c>
      <c r="E64" s="358">
        <v>34</v>
      </c>
      <c r="F64" s="358">
        <v>37</v>
      </c>
      <c r="G64" s="358">
        <v>40</v>
      </c>
      <c r="H64" s="358">
        <v>43</v>
      </c>
      <c r="I64" s="358">
        <v>45</v>
      </c>
      <c r="J64" s="358">
        <v>48</v>
      </c>
      <c r="K64" s="358">
        <v>52</v>
      </c>
      <c r="L64" s="358">
        <v>54</v>
      </c>
      <c r="M64" s="358">
        <v>57</v>
      </c>
      <c r="N64" s="358">
        <v>59</v>
      </c>
      <c r="O64" s="358">
        <v>64</v>
      </c>
      <c r="P64" s="358">
        <v>70</v>
      </c>
      <c r="Q64" s="358">
        <v>72</v>
      </c>
      <c r="R64" s="358">
        <v>75</v>
      </c>
      <c r="S64" s="358">
        <v>77</v>
      </c>
      <c r="T64" s="358">
        <v>80</v>
      </c>
      <c r="U64" s="358">
        <v>83</v>
      </c>
      <c r="V64" s="358">
        <v>29</v>
      </c>
      <c r="W64" s="358">
        <v>31</v>
      </c>
      <c r="X64" s="358">
        <v>33</v>
      </c>
      <c r="Y64" s="358">
        <v>35</v>
      </c>
      <c r="Z64" s="358">
        <v>37</v>
      </c>
      <c r="AA64" s="358">
        <v>38</v>
      </c>
      <c r="AB64" s="358">
        <v>40</v>
      </c>
      <c r="AC64" s="358">
        <v>43</v>
      </c>
      <c r="AD64" s="358">
        <v>45</v>
      </c>
      <c r="AE64" s="358">
        <v>50</v>
      </c>
      <c r="AF64" s="358">
        <v>55</v>
      </c>
      <c r="AG64" s="358">
        <v>60</v>
      </c>
      <c r="AH64" s="358">
        <v>61</v>
      </c>
      <c r="AI64" s="358">
        <v>62</v>
      </c>
      <c r="AJ64" s="358">
        <v>66</v>
      </c>
      <c r="AK64" s="358">
        <v>72</v>
      </c>
      <c r="AL64" s="358">
        <v>78</v>
      </c>
      <c r="AM64" s="358">
        <v>83</v>
      </c>
      <c r="AN64" s="358">
        <v>89</v>
      </c>
      <c r="AO64" s="358">
        <v>93</v>
      </c>
      <c r="AP64" s="358">
        <v>99</v>
      </c>
      <c r="AQ64" s="358">
        <v>105</v>
      </c>
      <c r="AR64" s="358">
        <v>109</v>
      </c>
      <c r="AS64" s="358">
        <v>121</v>
      </c>
      <c r="AT64" s="358">
        <v>129</v>
      </c>
      <c r="AU64" s="358">
        <v>139</v>
      </c>
      <c r="AV64" s="358">
        <v>148</v>
      </c>
      <c r="AW64" s="358">
        <v>156</v>
      </c>
      <c r="AX64" s="358">
        <v>24</v>
      </c>
      <c r="AY64" s="358">
        <v>20</v>
      </c>
      <c r="AZ64" s="358">
        <v>19</v>
      </c>
      <c r="BA64" s="358">
        <v>18</v>
      </c>
      <c r="BB64" s="358">
        <v>17</v>
      </c>
      <c r="BC64" s="358">
        <v>14</v>
      </c>
      <c r="BD64" s="358">
        <v>10</v>
      </c>
      <c r="BE64" s="358">
        <v>8</v>
      </c>
      <c r="BF64" s="358">
        <v>7</v>
      </c>
      <c r="BG64" s="358">
        <v>4</v>
      </c>
      <c r="BH64" s="358">
        <v>3</v>
      </c>
      <c r="BI64" s="358">
        <v>2</v>
      </c>
      <c r="BK64" s="358">
        <v>1</v>
      </c>
      <c r="BL64" s="358">
        <v>2</v>
      </c>
      <c r="BM64" s="358">
        <v>4</v>
      </c>
      <c r="BN64" s="358">
        <v>5</v>
      </c>
      <c r="BO64" s="358">
        <v>8</v>
      </c>
      <c r="BP64" s="358">
        <v>13</v>
      </c>
      <c r="BQ64" s="358">
        <v>17</v>
      </c>
      <c r="BR64" s="358">
        <v>27</v>
      </c>
      <c r="BS64" s="358">
        <v>34</v>
      </c>
      <c r="BT64" s="358">
        <v>38</v>
      </c>
      <c r="BU64" s="358">
        <v>41</v>
      </c>
      <c r="BV64" s="358">
        <v>26</v>
      </c>
      <c r="BW64" s="358">
        <v>27</v>
      </c>
      <c r="BX64" s="358">
        <v>30</v>
      </c>
      <c r="BY64" s="358">
        <v>34</v>
      </c>
      <c r="BZ64" s="358">
        <v>39</v>
      </c>
      <c r="CA64" s="358">
        <v>43</v>
      </c>
      <c r="CB64" s="358">
        <v>50</v>
      </c>
      <c r="CC64" s="358">
        <v>55</v>
      </c>
      <c r="CD64" s="358">
        <v>58</v>
      </c>
      <c r="CE64" s="358">
        <v>62</v>
      </c>
      <c r="CF64" s="358">
        <v>64</v>
      </c>
      <c r="CG64" s="358">
        <v>71</v>
      </c>
      <c r="CH64" s="358">
        <v>73</v>
      </c>
      <c r="CI64" s="358">
        <v>77</v>
      </c>
      <c r="CJ64" s="358">
        <v>80</v>
      </c>
      <c r="CK64" s="358">
        <v>87</v>
      </c>
      <c r="CL64" s="358">
        <v>93</v>
      </c>
      <c r="CM64" s="358">
        <v>97</v>
      </c>
      <c r="CN64" s="358">
        <v>102</v>
      </c>
      <c r="CO64" s="358">
        <v>109</v>
      </c>
      <c r="CP64" s="358">
        <v>120</v>
      </c>
      <c r="CQ64" s="358">
        <v>133</v>
      </c>
      <c r="CR64" s="358">
        <v>138</v>
      </c>
      <c r="CS64" s="358">
        <v>33</v>
      </c>
      <c r="CT64" s="358">
        <v>38</v>
      </c>
      <c r="CU64" s="358">
        <v>44</v>
      </c>
      <c r="CV64" s="358">
        <v>50</v>
      </c>
      <c r="CW64" s="358">
        <v>56</v>
      </c>
      <c r="CX64" s="358">
        <v>61</v>
      </c>
      <c r="CY64" s="358">
        <v>68</v>
      </c>
      <c r="CZ64" s="358">
        <v>71</v>
      </c>
      <c r="DA64" s="358">
        <v>75</v>
      </c>
      <c r="DB64" s="358">
        <v>80</v>
      </c>
      <c r="DC64" s="358">
        <v>91</v>
      </c>
      <c r="DD64" s="358">
        <v>101</v>
      </c>
      <c r="DE64" s="358">
        <v>105</v>
      </c>
      <c r="DF64" s="358">
        <v>111</v>
      </c>
      <c r="DG64" s="358">
        <v>120</v>
      </c>
      <c r="DH64" s="358">
        <v>125</v>
      </c>
      <c r="DI64" s="358">
        <v>132</v>
      </c>
      <c r="DJ64" s="358">
        <v>141</v>
      </c>
      <c r="DK64" s="358">
        <v>148</v>
      </c>
      <c r="DL64" s="358">
        <v>156</v>
      </c>
      <c r="DM64" s="358">
        <v>168</v>
      </c>
      <c r="DN64" s="358">
        <v>171</v>
      </c>
      <c r="DO64" s="358">
        <v>182</v>
      </c>
      <c r="DP64" s="358">
        <v>191</v>
      </c>
      <c r="DQ64" s="358">
        <v>34</v>
      </c>
      <c r="DR64" s="358">
        <v>39</v>
      </c>
      <c r="DS64" s="358">
        <v>43</v>
      </c>
      <c r="DT64" s="358">
        <v>45</v>
      </c>
      <c r="DU64" s="358">
        <v>48</v>
      </c>
      <c r="DV64" s="358">
        <v>49</v>
      </c>
      <c r="DW64" s="358">
        <v>55</v>
      </c>
      <c r="DX64" s="358">
        <v>58</v>
      </c>
      <c r="DY64" s="358">
        <v>64</v>
      </c>
      <c r="DZ64" s="358">
        <v>69</v>
      </c>
      <c r="EA64" s="358">
        <v>73</v>
      </c>
      <c r="EB64" s="358">
        <v>77</v>
      </c>
      <c r="EC64" s="358">
        <v>82</v>
      </c>
      <c r="ED64" s="358">
        <v>88</v>
      </c>
      <c r="EE64" s="358">
        <v>94</v>
      </c>
      <c r="EF64" s="358">
        <v>97</v>
      </c>
      <c r="EG64" s="358">
        <v>101</v>
      </c>
      <c r="EH64" s="358">
        <v>106</v>
      </c>
      <c r="EI64" s="358">
        <v>111</v>
      </c>
      <c r="EJ64" s="358">
        <v>115</v>
      </c>
      <c r="EK64" s="358">
        <v>120</v>
      </c>
      <c r="EL64" s="358">
        <v>124</v>
      </c>
      <c r="EM64" s="358">
        <v>173</v>
      </c>
      <c r="EN64" s="358">
        <v>185</v>
      </c>
      <c r="EO64" s="358">
        <v>196</v>
      </c>
      <c r="EP64" s="358">
        <v>206</v>
      </c>
      <c r="EQ64" s="358">
        <v>213</v>
      </c>
      <c r="ES64" s="358">
        <v>225</v>
      </c>
      <c r="ET64" s="358">
        <v>230</v>
      </c>
      <c r="EU64" s="358">
        <v>239</v>
      </c>
      <c r="EV64" s="358">
        <v>245</v>
      </c>
      <c r="EW64" s="358">
        <v>169</v>
      </c>
      <c r="EX64" s="358">
        <v>180</v>
      </c>
      <c r="EY64" s="358">
        <v>191</v>
      </c>
      <c r="EZ64" s="358">
        <v>207</v>
      </c>
      <c r="FA64" s="358">
        <v>215</v>
      </c>
      <c r="FB64" s="358">
        <v>225</v>
      </c>
      <c r="FC64" s="358">
        <v>239</v>
      </c>
      <c r="FD64" s="358">
        <v>251</v>
      </c>
      <c r="FE64" s="358">
        <v>258</v>
      </c>
      <c r="FF64" s="358">
        <v>263</v>
      </c>
      <c r="FG64" s="358">
        <v>275</v>
      </c>
      <c r="FH64" s="358">
        <v>284</v>
      </c>
      <c r="FI64" s="358">
        <v>295</v>
      </c>
      <c r="FJ64" s="358">
        <v>301</v>
      </c>
      <c r="FK64" s="358">
        <v>306</v>
      </c>
      <c r="FL64" s="358">
        <v>148</v>
      </c>
      <c r="FM64" s="358">
        <v>158</v>
      </c>
      <c r="FN64" s="358">
        <v>164</v>
      </c>
      <c r="FO64" s="358">
        <v>171</v>
      </c>
      <c r="FP64" s="358">
        <v>184</v>
      </c>
      <c r="FQ64" s="358">
        <v>199</v>
      </c>
      <c r="FR64" s="358">
        <v>207</v>
      </c>
      <c r="FS64" s="358">
        <v>214</v>
      </c>
      <c r="FT64" s="358">
        <v>221</v>
      </c>
      <c r="FU64" s="358">
        <v>228</v>
      </c>
      <c r="FV64" s="358">
        <v>238</v>
      </c>
      <c r="FW64" s="358">
        <v>99</v>
      </c>
      <c r="FX64" s="358">
        <v>146</v>
      </c>
      <c r="FY64" s="358">
        <v>153</v>
      </c>
      <c r="FZ64" s="358">
        <v>181</v>
      </c>
      <c r="GA64" s="358">
        <v>250</v>
      </c>
      <c r="GB64" s="358">
        <v>286</v>
      </c>
      <c r="GC64" s="358">
        <v>84</v>
      </c>
      <c r="GD64" s="358">
        <v>120</v>
      </c>
      <c r="GE64" s="358">
        <v>149</v>
      </c>
      <c r="GF64" s="358">
        <v>195</v>
      </c>
      <c r="GG64" s="358">
        <v>65</v>
      </c>
      <c r="GH64" s="358">
        <v>77</v>
      </c>
      <c r="GI64" s="361">
        <v>103</v>
      </c>
    </row>
    <row r="65" spans="1:191">
      <c r="A65" s="336" t="s">
        <v>434</v>
      </c>
      <c r="B65" s="358">
        <v>28</v>
      </c>
      <c r="C65" s="358">
        <v>32</v>
      </c>
      <c r="D65" s="358">
        <v>34</v>
      </c>
      <c r="E65" s="358">
        <v>35</v>
      </c>
      <c r="F65" s="358">
        <v>38</v>
      </c>
      <c r="G65" s="358">
        <v>41</v>
      </c>
      <c r="H65" s="358">
        <v>44</v>
      </c>
      <c r="I65" s="358">
        <v>46</v>
      </c>
      <c r="J65" s="358">
        <v>49</v>
      </c>
      <c r="K65" s="358">
        <v>53</v>
      </c>
      <c r="L65" s="358">
        <v>55</v>
      </c>
      <c r="M65" s="358">
        <v>58</v>
      </c>
      <c r="N65" s="358">
        <v>60</v>
      </c>
      <c r="O65" s="358">
        <v>65</v>
      </c>
      <c r="P65" s="358">
        <v>71</v>
      </c>
      <c r="Q65" s="358">
        <v>73</v>
      </c>
      <c r="R65" s="358">
        <v>76</v>
      </c>
      <c r="S65" s="358">
        <v>78</v>
      </c>
      <c r="T65" s="358">
        <v>81</v>
      </c>
      <c r="U65" s="358">
        <v>84</v>
      </c>
      <c r="V65" s="358">
        <v>30</v>
      </c>
      <c r="W65" s="358">
        <v>32</v>
      </c>
      <c r="X65" s="358">
        <v>34</v>
      </c>
      <c r="Y65" s="358">
        <v>36</v>
      </c>
      <c r="Z65" s="358">
        <v>38</v>
      </c>
      <c r="AA65" s="358">
        <v>39</v>
      </c>
      <c r="AB65" s="358">
        <v>41</v>
      </c>
      <c r="AC65" s="358">
        <v>44</v>
      </c>
      <c r="AD65" s="358">
        <v>46</v>
      </c>
      <c r="AE65" s="358">
        <v>51</v>
      </c>
      <c r="AF65" s="358">
        <v>56</v>
      </c>
      <c r="AG65" s="358">
        <v>61</v>
      </c>
      <c r="AH65" s="358">
        <v>62</v>
      </c>
      <c r="AI65" s="358">
        <v>63</v>
      </c>
      <c r="AJ65" s="358">
        <v>67</v>
      </c>
      <c r="AK65" s="358">
        <v>73</v>
      </c>
      <c r="AL65" s="358">
        <v>79</v>
      </c>
      <c r="AM65" s="358">
        <v>84</v>
      </c>
      <c r="AN65" s="358">
        <v>90</v>
      </c>
      <c r="AO65" s="358">
        <v>94</v>
      </c>
      <c r="AP65" s="358">
        <v>100</v>
      </c>
      <c r="AQ65" s="358">
        <v>106</v>
      </c>
      <c r="AR65" s="358">
        <v>110</v>
      </c>
      <c r="AS65" s="358">
        <v>122</v>
      </c>
      <c r="AT65" s="358">
        <v>130</v>
      </c>
      <c r="AU65" s="358">
        <v>140</v>
      </c>
      <c r="AV65" s="358">
        <v>149</v>
      </c>
      <c r="AW65" s="358">
        <v>157</v>
      </c>
      <c r="AX65" s="358">
        <v>25</v>
      </c>
      <c r="AY65" s="358">
        <v>21</v>
      </c>
      <c r="AZ65" s="358">
        <v>20</v>
      </c>
      <c r="BA65" s="358">
        <v>19</v>
      </c>
      <c r="BB65" s="358">
        <v>18</v>
      </c>
      <c r="BC65" s="358">
        <v>15</v>
      </c>
      <c r="BD65" s="358">
        <v>11</v>
      </c>
      <c r="BE65" s="358">
        <v>9</v>
      </c>
      <c r="BF65" s="358">
        <v>8</v>
      </c>
      <c r="BG65" s="358">
        <v>5</v>
      </c>
      <c r="BH65" s="358">
        <v>4</v>
      </c>
      <c r="BI65" s="358">
        <v>3</v>
      </c>
      <c r="BJ65" s="358">
        <v>1</v>
      </c>
      <c r="BL65" s="358">
        <v>1</v>
      </c>
      <c r="BM65" s="358">
        <v>3</v>
      </c>
      <c r="BN65" s="358">
        <v>4</v>
      </c>
      <c r="BO65" s="358">
        <v>7</v>
      </c>
      <c r="BP65" s="358">
        <v>12</v>
      </c>
      <c r="BQ65" s="358">
        <v>16</v>
      </c>
      <c r="BR65" s="358">
        <v>26</v>
      </c>
      <c r="BS65" s="358">
        <v>33</v>
      </c>
      <c r="BT65" s="358">
        <v>37</v>
      </c>
      <c r="BU65" s="358">
        <v>40</v>
      </c>
      <c r="BV65" s="358">
        <v>27</v>
      </c>
      <c r="BW65" s="358">
        <v>28</v>
      </c>
      <c r="BX65" s="358">
        <v>31</v>
      </c>
      <c r="BY65" s="358">
        <v>35</v>
      </c>
      <c r="BZ65" s="358">
        <v>40</v>
      </c>
      <c r="CA65" s="358">
        <v>44</v>
      </c>
      <c r="CB65" s="358">
        <v>51</v>
      </c>
      <c r="CC65" s="358">
        <v>56</v>
      </c>
      <c r="CD65" s="358">
        <v>59</v>
      </c>
      <c r="CE65" s="358">
        <v>63</v>
      </c>
      <c r="CF65" s="358">
        <v>65</v>
      </c>
      <c r="CG65" s="358">
        <v>72</v>
      </c>
      <c r="CH65" s="358">
        <v>74</v>
      </c>
      <c r="CI65" s="358">
        <v>78</v>
      </c>
      <c r="CJ65" s="358">
        <v>81</v>
      </c>
      <c r="CK65" s="358">
        <v>88</v>
      </c>
      <c r="CL65" s="358">
        <v>94</v>
      </c>
      <c r="CM65" s="358">
        <v>98</v>
      </c>
      <c r="CN65" s="358">
        <v>103</v>
      </c>
      <c r="CO65" s="358">
        <v>110</v>
      </c>
      <c r="CP65" s="358">
        <v>121</v>
      </c>
      <c r="CQ65" s="358">
        <v>134</v>
      </c>
      <c r="CR65" s="358">
        <v>139</v>
      </c>
      <c r="CS65" s="358">
        <v>34</v>
      </c>
      <c r="CT65" s="358">
        <v>39</v>
      </c>
      <c r="CU65" s="358">
        <v>45</v>
      </c>
      <c r="CV65" s="358">
        <v>51</v>
      </c>
      <c r="CW65" s="358">
        <v>57</v>
      </c>
      <c r="CX65" s="358">
        <v>62</v>
      </c>
      <c r="CY65" s="358">
        <v>69</v>
      </c>
      <c r="CZ65" s="358">
        <v>72</v>
      </c>
      <c r="DA65" s="358">
        <v>76</v>
      </c>
      <c r="DB65" s="358">
        <v>81</v>
      </c>
      <c r="DC65" s="358">
        <v>92</v>
      </c>
      <c r="DD65" s="358">
        <v>102</v>
      </c>
      <c r="DE65" s="358">
        <v>106</v>
      </c>
      <c r="DF65" s="358">
        <v>112</v>
      </c>
      <c r="DG65" s="358">
        <v>121</v>
      </c>
      <c r="DH65" s="358">
        <v>126</v>
      </c>
      <c r="DI65" s="358">
        <v>133</v>
      </c>
      <c r="DJ65" s="358">
        <v>142</v>
      </c>
      <c r="DK65" s="358">
        <v>149</v>
      </c>
      <c r="DL65" s="358">
        <v>157</v>
      </c>
      <c r="DM65" s="358">
        <v>169</v>
      </c>
      <c r="DN65" s="358">
        <v>172</v>
      </c>
      <c r="DO65" s="358">
        <v>183</v>
      </c>
      <c r="DP65" s="358">
        <v>192</v>
      </c>
      <c r="DQ65" s="358">
        <v>35</v>
      </c>
      <c r="DR65" s="358">
        <v>40</v>
      </c>
      <c r="DS65" s="358">
        <v>44</v>
      </c>
      <c r="DT65" s="358">
        <v>46</v>
      </c>
      <c r="DU65" s="358">
        <v>49</v>
      </c>
      <c r="DV65" s="358">
        <v>50</v>
      </c>
      <c r="DW65" s="358">
        <v>56</v>
      </c>
      <c r="DX65" s="358">
        <v>59</v>
      </c>
      <c r="DY65" s="358">
        <v>65</v>
      </c>
      <c r="DZ65" s="358">
        <v>70</v>
      </c>
      <c r="EA65" s="358">
        <v>74</v>
      </c>
      <c r="EB65" s="358">
        <v>78</v>
      </c>
      <c r="EC65" s="358">
        <v>83</v>
      </c>
      <c r="ED65" s="358">
        <v>89</v>
      </c>
      <c r="EE65" s="358">
        <v>95</v>
      </c>
      <c r="EF65" s="358">
        <v>98</v>
      </c>
      <c r="EG65" s="358">
        <v>102</v>
      </c>
      <c r="EH65" s="358">
        <v>107</v>
      </c>
      <c r="EI65" s="358">
        <v>112</v>
      </c>
      <c r="EJ65" s="358">
        <v>116</v>
      </c>
      <c r="EK65" s="358">
        <v>121</v>
      </c>
      <c r="EL65" s="358">
        <v>125</v>
      </c>
      <c r="EM65" s="358">
        <v>174</v>
      </c>
      <c r="EN65" s="358">
        <v>186</v>
      </c>
      <c r="EO65" s="358">
        <v>197</v>
      </c>
      <c r="EP65" s="358">
        <v>207</v>
      </c>
      <c r="EQ65" s="358">
        <v>214</v>
      </c>
      <c r="ES65" s="358">
        <v>226</v>
      </c>
      <c r="ET65" s="358">
        <v>231</v>
      </c>
      <c r="EU65" s="358">
        <v>240</v>
      </c>
      <c r="EV65" s="358">
        <v>246</v>
      </c>
      <c r="EW65" s="358">
        <v>170</v>
      </c>
      <c r="EX65" s="358">
        <v>181</v>
      </c>
      <c r="EY65" s="358">
        <v>192</v>
      </c>
      <c r="EZ65" s="358">
        <v>208</v>
      </c>
      <c r="FA65" s="358">
        <v>216</v>
      </c>
      <c r="FB65" s="358">
        <v>226</v>
      </c>
      <c r="FC65" s="358">
        <v>240</v>
      </c>
      <c r="FD65" s="358">
        <v>252</v>
      </c>
      <c r="FE65" s="358">
        <v>259</v>
      </c>
      <c r="FF65" s="358">
        <v>264</v>
      </c>
      <c r="FG65" s="358">
        <v>276</v>
      </c>
      <c r="FH65" s="358">
        <v>285</v>
      </c>
      <c r="FI65" s="358">
        <v>296</v>
      </c>
      <c r="FJ65" s="358">
        <v>302</v>
      </c>
      <c r="FK65" s="358">
        <v>307</v>
      </c>
      <c r="FL65" s="358">
        <v>149</v>
      </c>
      <c r="FM65" s="358">
        <v>159</v>
      </c>
      <c r="FN65" s="358">
        <v>165</v>
      </c>
      <c r="FO65" s="358">
        <v>172</v>
      </c>
      <c r="FP65" s="358">
        <v>185</v>
      </c>
      <c r="FQ65" s="358">
        <v>200</v>
      </c>
      <c r="FR65" s="358">
        <v>208</v>
      </c>
      <c r="FS65" s="358">
        <v>215</v>
      </c>
      <c r="FT65" s="358">
        <v>222</v>
      </c>
      <c r="FU65" s="358">
        <v>229</v>
      </c>
      <c r="FV65" s="358">
        <v>239</v>
      </c>
      <c r="FW65" s="358">
        <v>100</v>
      </c>
      <c r="FX65" s="358">
        <v>147</v>
      </c>
      <c r="FY65" s="358">
        <v>154</v>
      </c>
      <c r="FZ65" s="358">
        <v>182</v>
      </c>
      <c r="GA65" s="358">
        <v>251</v>
      </c>
      <c r="GB65" s="358">
        <v>287</v>
      </c>
      <c r="GC65" s="358">
        <v>83</v>
      </c>
      <c r="GD65" s="358">
        <v>119</v>
      </c>
      <c r="GE65" s="358">
        <v>148</v>
      </c>
      <c r="GF65" s="358">
        <v>196</v>
      </c>
      <c r="GG65" s="358">
        <v>64</v>
      </c>
      <c r="GH65" s="358">
        <v>76</v>
      </c>
      <c r="GI65" s="361">
        <v>102</v>
      </c>
    </row>
    <row r="66" spans="1:191">
      <c r="A66" s="336" t="s">
        <v>433</v>
      </c>
      <c r="B66" s="358">
        <v>29</v>
      </c>
      <c r="C66" s="358">
        <v>33</v>
      </c>
      <c r="D66" s="358">
        <v>35</v>
      </c>
      <c r="E66" s="358">
        <v>36</v>
      </c>
      <c r="F66" s="358">
        <v>39</v>
      </c>
      <c r="G66" s="358">
        <v>42</v>
      </c>
      <c r="H66" s="358">
        <v>45</v>
      </c>
      <c r="I66" s="358">
        <v>47</v>
      </c>
      <c r="J66" s="358">
        <v>50</v>
      </c>
      <c r="K66" s="358">
        <v>54</v>
      </c>
      <c r="L66" s="358">
        <v>56</v>
      </c>
      <c r="M66" s="358">
        <v>59</v>
      </c>
      <c r="N66" s="358">
        <v>61</v>
      </c>
      <c r="O66" s="358">
        <v>66</v>
      </c>
      <c r="P66" s="358">
        <v>72</v>
      </c>
      <c r="Q66" s="358">
        <v>74</v>
      </c>
      <c r="R66" s="358">
        <v>77</v>
      </c>
      <c r="S66" s="358">
        <v>79</v>
      </c>
      <c r="T66" s="358">
        <v>82</v>
      </c>
      <c r="U66" s="358">
        <v>85</v>
      </c>
      <c r="V66" s="358">
        <v>31</v>
      </c>
      <c r="W66" s="358">
        <v>33</v>
      </c>
      <c r="X66" s="358">
        <v>35</v>
      </c>
      <c r="Y66" s="358">
        <v>37</v>
      </c>
      <c r="Z66" s="358">
        <v>39</v>
      </c>
      <c r="AA66" s="358">
        <v>40</v>
      </c>
      <c r="AB66" s="358">
        <v>42</v>
      </c>
      <c r="AC66" s="358">
        <v>45</v>
      </c>
      <c r="AD66" s="358">
        <v>47</v>
      </c>
      <c r="AE66" s="358">
        <v>52</v>
      </c>
      <c r="AF66" s="358">
        <v>57</v>
      </c>
      <c r="AG66" s="358">
        <v>62</v>
      </c>
      <c r="AH66" s="358">
        <v>63</v>
      </c>
      <c r="AI66" s="358">
        <v>64</v>
      </c>
      <c r="AJ66" s="358">
        <v>68</v>
      </c>
      <c r="AK66" s="358">
        <v>74</v>
      </c>
      <c r="AL66" s="358">
        <v>80</v>
      </c>
      <c r="AM66" s="358">
        <v>85</v>
      </c>
      <c r="AN66" s="358">
        <v>91</v>
      </c>
      <c r="AO66" s="358">
        <v>95</v>
      </c>
      <c r="AP66" s="358">
        <v>101</v>
      </c>
      <c r="AQ66" s="358">
        <v>107</v>
      </c>
      <c r="AR66" s="358">
        <v>111</v>
      </c>
      <c r="AS66" s="358">
        <v>123</v>
      </c>
      <c r="AT66" s="358">
        <v>131</v>
      </c>
      <c r="AU66" s="358">
        <v>141</v>
      </c>
      <c r="AV66" s="358">
        <v>150</v>
      </c>
      <c r="AW66" s="358">
        <v>158</v>
      </c>
      <c r="AX66" s="358">
        <v>26</v>
      </c>
      <c r="AY66" s="358">
        <v>22</v>
      </c>
      <c r="AZ66" s="358">
        <v>21</v>
      </c>
      <c r="BA66" s="358">
        <v>20</v>
      </c>
      <c r="BB66" s="358">
        <v>19</v>
      </c>
      <c r="BC66" s="358">
        <v>16</v>
      </c>
      <c r="BD66" s="358">
        <v>12</v>
      </c>
      <c r="BE66" s="358">
        <v>10</v>
      </c>
      <c r="BF66" s="358">
        <v>9</v>
      </c>
      <c r="BG66" s="358">
        <v>6</v>
      </c>
      <c r="BH66" s="358">
        <v>5</v>
      </c>
      <c r="BI66" s="358">
        <v>4</v>
      </c>
      <c r="BJ66" s="358">
        <v>2</v>
      </c>
      <c r="BK66" s="358">
        <v>1</v>
      </c>
      <c r="BM66" s="358">
        <v>2</v>
      </c>
      <c r="BN66" s="358">
        <v>3</v>
      </c>
      <c r="BO66" s="358">
        <v>6</v>
      </c>
      <c r="BP66" s="358">
        <v>11</v>
      </c>
      <c r="BQ66" s="358">
        <v>15</v>
      </c>
      <c r="BR66" s="358">
        <v>25</v>
      </c>
      <c r="BS66" s="358">
        <v>32</v>
      </c>
      <c r="BT66" s="358">
        <v>36</v>
      </c>
      <c r="BU66" s="358">
        <v>39</v>
      </c>
      <c r="BV66" s="358">
        <v>28</v>
      </c>
      <c r="BW66" s="358">
        <v>29</v>
      </c>
      <c r="BX66" s="358">
        <v>32</v>
      </c>
      <c r="BY66" s="358">
        <v>36</v>
      </c>
      <c r="BZ66" s="358">
        <v>41</v>
      </c>
      <c r="CA66" s="358">
        <v>45</v>
      </c>
      <c r="CB66" s="358">
        <v>52</v>
      </c>
      <c r="CC66" s="358">
        <v>57</v>
      </c>
      <c r="CD66" s="358">
        <v>60</v>
      </c>
      <c r="CE66" s="358">
        <v>64</v>
      </c>
      <c r="CF66" s="358">
        <v>66</v>
      </c>
      <c r="CG66" s="358">
        <v>73</v>
      </c>
      <c r="CH66" s="358">
        <v>75</v>
      </c>
      <c r="CI66" s="358">
        <v>79</v>
      </c>
      <c r="CJ66" s="358">
        <v>82</v>
      </c>
      <c r="CK66" s="358">
        <v>89</v>
      </c>
      <c r="CL66" s="358">
        <v>95</v>
      </c>
      <c r="CM66" s="358">
        <v>99</v>
      </c>
      <c r="CN66" s="358">
        <v>104</v>
      </c>
      <c r="CO66" s="358">
        <v>111</v>
      </c>
      <c r="CP66" s="358">
        <v>122</v>
      </c>
      <c r="CQ66" s="358">
        <v>135</v>
      </c>
      <c r="CR66" s="358">
        <v>140</v>
      </c>
      <c r="CS66" s="358">
        <v>35</v>
      </c>
      <c r="CT66" s="358">
        <v>40</v>
      </c>
      <c r="CU66" s="358">
        <v>46</v>
      </c>
      <c r="CV66" s="358">
        <v>52</v>
      </c>
      <c r="CW66" s="358">
        <v>58</v>
      </c>
      <c r="CX66" s="358">
        <v>63</v>
      </c>
      <c r="CY66" s="358">
        <v>70</v>
      </c>
      <c r="CZ66" s="358">
        <v>73</v>
      </c>
      <c r="DA66" s="358">
        <v>77</v>
      </c>
      <c r="DB66" s="358">
        <v>82</v>
      </c>
      <c r="DC66" s="358">
        <v>93</v>
      </c>
      <c r="DD66" s="358">
        <v>103</v>
      </c>
      <c r="DE66" s="358">
        <v>107</v>
      </c>
      <c r="DF66" s="358">
        <v>113</v>
      </c>
      <c r="DG66" s="358">
        <v>122</v>
      </c>
      <c r="DH66" s="358">
        <v>127</v>
      </c>
      <c r="DI66" s="358">
        <v>134</v>
      </c>
      <c r="DJ66" s="358">
        <v>143</v>
      </c>
      <c r="DK66" s="358">
        <v>150</v>
      </c>
      <c r="DL66" s="358">
        <v>158</v>
      </c>
      <c r="DM66" s="358">
        <v>170</v>
      </c>
      <c r="DN66" s="358">
        <v>173</v>
      </c>
      <c r="DO66" s="358">
        <v>184</v>
      </c>
      <c r="DP66" s="358">
        <v>193</v>
      </c>
      <c r="DQ66" s="358">
        <v>36</v>
      </c>
      <c r="DR66" s="358">
        <v>41</v>
      </c>
      <c r="DS66" s="358">
        <v>45</v>
      </c>
      <c r="DT66" s="358">
        <v>47</v>
      </c>
      <c r="DU66" s="358">
        <v>50</v>
      </c>
      <c r="DV66" s="358">
        <v>51</v>
      </c>
      <c r="DW66" s="358">
        <v>57</v>
      </c>
      <c r="DX66" s="358">
        <v>60</v>
      </c>
      <c r="DY66" s="358">
        <v>66</v>
      </c>
      <c r="DZ66" s="358">
        <v>71</v>
      </c>
      <c r="EA66" s="358">
        <v>75</v>
      </c>
      <c r="EB66" s="358">
        <v>79</v>
      </c>
      <c r="EC66" s="358">
        <v>84</v>
      </c>
      <c r="ED66" s="358">
        <v>90</v>
      </c>
      <c r="EE66" s="358">
        <v>96</v>
      </c>
      <c r="EF66" s="358">
        <v>99</v>
      </c>
      <c r="EG66" s="358">
        <v>103</v>
      </c>
      <c r="EH66" s="358">
        <v>108</v>
      </c>
      <c r="EI66" s="358">
        <v>113</v>
      </c>
      <c r="EJ66" s="358">
        <v>117</v>
      </c>
      <c r="EK66" s="358">
        <v>122</v>
      </c>
      <c r="EL66" s="358">
        <v>126</v>
      </c>
      <c r="EM66" s="358">
        <v>175</v>
      </c>
      <c r="EN66" s="358">
        <v>187</v>
      </c>
      <c r="EO66" s="358">
        <v>198</v>
      </c>
      <c r="EP66" s="358">
        <v>208</v>
      </c>
      <c r="EQ66" s="358">
        <v>215</v>
      </c>
      <c r="ES66" s="358">
        <v>227</v>
      </c>
      <c r="ET66" s="358">
        <v>232</v>
      </c>
      <c r="EU66" s="358">
        <v>241</v>
      </c>
      <c r="EV66" s="358">
        <v>247</v>
      </c>
      <c r="EW66" s="358">
        <v>171</v>
      </c>
      <c r="EX66" s="358">
        <v>182</v>
      </c>
      <c r="EY66" s="358">
        <v>193</v>
      </c>
      <c r="EZ66" s="358">
        <v>209</v>
      </c>
      <c r="FA66" s="358">
        <v>217</v>
      </c>
      <c r="FB66" s="358">
        <v>227</v>
      </c>
      <c r="FC66" s="358">
        <v>241</v>
      </c>
      <c r="FD66" s="358">
        <v>253</v>
      </c>
      <c r="FE66" s="358">
        <v>260</v>
      </c>
      <c r="FF66" s="358">
        <v>265</v>
      </c>
      <c r="FG66" s="358">
        <v>277</v>
      </c>
      <c r="FH66" s="358">
        <v>286</v>
      </c>
      <c r="FI66" s="358">
        <v>297</v>
      </c>
      <c r="FJ66" s="358">
        <v>303</v>
      </c>
      <c r="FK66" s="358">
        <v>308</v>
      </c>
      <c r="FL66" s="358">
        <v>150</v>
      </c>
      <c r="FM66" s="358">
        <v>160</v>
      </c>
      <c r="FN66" s="358">
        <v>166</v>
      </c>
      <c r="FO66" s="358">
        <v>173</v>
      </c>
      <c r="FP66" s="358">
        <v>186</v>
      </c>
      <c r="FQ66" s="358">
        <v>201</v>
      </c>
      <c r="FR66" s="358">
        <v>209</v>
      </c>
      <c r="FS66" s="358">
        <v>216</v>
      </c>
      <c r="FT66" s="358">
        <v>223</v>
      </c>
      <c r="FU66" s="358">
        <v>230</v>
      </c>
      <c r="FV66" s="358">
        <v>240</v>
      </c>
      <c r="FW66" s="358">
        <v>101</v>
      </c>
      <c r="FX66" s="358">
        <v>148</v>
      </c>
      <c r="FY66" s="358">
        <v>155</v>
      </c>
      <c r="FZ66" s="358">
        <v>183</v>
      </c>
      <c r="GA66" s="358">
        <v>252</v>
      </c>
      <c r="GB66" s="358">
        <v>288</v>
      </c>
      <c r="GC66" s="358">
        <v>82</v>
      </c>
      <c r="GD66" s="358">
        <v>118</v>
      </c>
      <c r="GE66" s="358">
        <v>147</v>
      </c>
      <c r="GF66" s="358">
        <v>197</v>
      </c>
      <c r="GG66" s="358">
        <v>63</v>
      </c>
      <c r="GH66" s="358">
        <v>75</v>
      </c>
      <c r="GI66" s="361">
        <v>101</v>
      </c>
    </row>
    <row r="67" spans="1:191">
      <c r="A67" s="336" t="s">
        <v>432</v>
      </c>
      <c r="B67" s="358">
        <v>31</v>
      </c>
      <c r="C67" s="358">
        <v>35</v>
      </c>
      <c r="D67" s="358">
        <v>37</v>
      </c>
      <c r="E67" s="358">
        <v>38</v>
      </c>
      <c r="F67" s="358">
        <v>41</v>
      </c>
      <c r="G67" s="358">
        <v>44</v>
      </c>
      <c r="H67" s="358">
        <v>47</v>
      </c>
      <c r="I67" s="358">
        <v>49</v>
      </c>
      <c r="J67" s="358">
        <v>52</v>
      </c>
      <c r="K67" s="358">
        <v>56</v>
      </c>
      <c r="L67" s="358">
        <v>58</v>
      </c>
      <c r="M67" s="358">
        <v>61</v>
      </c>
      <c r="N67" s="358">
        <v>63</v>
      </c>
      <c r="O67" s="358">
        <v>68</v>
      </c>
      <c r="P67" s="358">
        <v>74</v>
      </c>
      <c r="Q67" s="358">
        <v>76</v>
      </c>
      <c r="R67" s="358">
        <v>79</v>
      </c>
      <c r="S67" s="358">
        <v>81</v>
      </c>
      <c r="T67" s="358">
        <v>84</v>
      </c>
      <c r="U67" s="358">
        <v>87</v>
      </c>
      <c r="V67" s="358">
        <v>33</v>
      </c>
      <c r="W67" s="358">
        <v>35</v>
      </c>
      <c r="X67" s="358">
        <v>37</v>
      </c>
      <c r="Y67" s="358">
        <v>39</v>
      </c>
      <c r="Z67" s="358">
        <v>41</v>
      </c>
      <c r="AA67" s="358">
        <v>42</v>
      </c>
      <c r="AB67" s="358">
        <v>44</v>
      </c>
      <c r="AC67" s="358">
        <v>47</v>
      </c>
      <c r="AD67" s="358">
        <v>49</v>
      </c>
      <c r="AE67" s="358">
        <v>54</v>
      </c>
      <c r="AF67" s="358">
        <v>59</v>
      </c>
      <c r="AG67" s="358">
        <v>64</v>
      </c>
      <c r="AH67" s="358">
        <v>65</v>
      </c>
      <c r="AI67" s="358">
        <v>66</v>
      </c>
      <c r="AJ67" s="358">
        <v>70</v>
      </c>
      <c r="AK67" s="358">
        <v>76</v>
      </c>
      <c r="AL67" s="358">
        <v>82</v>
      </c>
      <c r="AM67" s="358">
        <v>87</v>
      </c>
      <c r="AN67" s="358">
        <v>93</v>
      </c>
      <c r="AO67" s="358">
        <v>97</v>
      </c>
      <c r="AP67" s="358">
        <v>103</v>
      </c>
      <c r="AQ67" s="358">
        <v>109</v>
      </c>
      <c r="AR67" s="358">
        <v>113</v>
      </c>
      <c r="AS67" s="358">
        <v>125</v>
      </c>
      <c r="AT67" s="358">
        <v>133</v>
      </c>
      <c r="AU67" s="358">
        <v>143</v>
      </c>
      <c r="AV67" s="358">
        <v>152</v>
      </c>
      <c r="AW67" s="358">
        <v>160</v>
      </c>
      <c r="AX67" s="358">
        <v>28</v>
      </c>
      <c r="AY67" s="358">
        <v>24</v>
      </c>
      <c r="AZ67" s="358">
        <v>23</v>
      </c>
      <c r="BA67" s="358">
        <v>22</v>
      </c>
      <c r="BB67" s="358">
        <v>21</v>
      </c>
      <c r="BC67" s="358">
        <v>18</v>
      </c>
      <c r="BD67" s="358">
        <v>14</v>
      </c>
      <c r="BE67" s="358">
        <v>12</v>
      </c>
      <c r="BF67" s="358">
        <v>11</v>
      </c>
      <c r="BG67" s="358">
        <v>8</v>
      </c>
      <c r="BH67" s="358">
        <v>7</v>
      </c>
      <c r="BI67" s="358">
        <v>6</v>
      </c>
      <c r="BJ67" s="358">
        <v>4</v>
      </c>
      <c r="BK67" s="358">
        <v>3</v>
      </c>
      <c r="BL67" s="358">
        <v>2</v>
      </c>
      <c r="BN67" s="358">
        <v>1</v>
      </c>
      <c r="BO67" s="358">
        <v>4</v>
      </c>
      <c r="BP67" s="358">
        <v>9</v>
      </c>
      <c r="BQ67" s="358">
        <v>13</v>
      </c>
      <c r="BR67" s="358">
        <v>23</v>
      </c>
      <c r="BS67" s="358">
        <v>30</v>
      </c>
      <c r="BT67" s="358">
        <v>34</v>
      </c>
      <c r="BU67" s="358">
        <v>37</v>
      </c>
      <c r="BV67" s="358">
        <v>30</v>
      </c>
      <c r="BW67" s="358">
        <v>31</v>
      </c>
      <c r="BX67" s="358">
        <v>34</v>
      </c>
      <c r="BY67" s="358">
        <v>38</v>
      </c>
      <c r="BZ67" s="358">
        <v>43</v>
      </c>
      <c r="CA67" s="358">
        <v>47</v>
      </c>
      <c r="CB67" s="358">
        <v>54</v>
      </c>
      <c r="CC67" s="358">
        <v>59</v>
      </c>
      <c r="CD67" s="358">
        <v>62</v>
      </c>
      <c r="CE67" s="358">
        <v>66</v>
      </c>
      <c r="CF67" s="358">
        <v>68</v>
      </c>
      <c r="CG67" s="358">
        <v>75</v>
      </c>
      <c r="CH67" s="358">
        <v>77</v>
      </c>
      <c r="CI67" s="358">
        <v>81</v>
      </c>
      <c r="CJ67" s="358">
        <v>84</v>
      </c>
      <c r="CK67" s="358">
        <v>91</v>
      </c>
      <c r="CL67" s="358">
        <v>97</v>
      </c>
      <c r="CM67" s="358">
        <v>101</v>
      </c>
      <c r="CN67" s="358">
        <v>106</v>
      </c>
      <c r="CO67" s="358">
        <v>113</v>
      </c>
      <c r="CP67" s="358">
        <v>124</v>
      </c>
      <c r="CQ67" s="358">
        <v>137</v>
      </c>
      <c r="CR67" s="358">
        <v>142</v>
      </c>
      <c r="CS67" s="358">
        <v>37</v>
      </c>
      <c r="CT67" s="358">
        <v>42</v>
      </c>
      <c r="CU67" s="358">
        <v>48</v>
      </c>
      <c r="CV67" s="358">
        <v>54</v>
      </c>
      <c r="CW67" s="358">
        <v>60</v>
      </c>
      <c r="CX67" s="358">
        <v>65</v>
      </c>
      <c r="CY67" s="358">
        <v>72</v>
      </c>
      <c r="CZ67" s="358">
        <v>75</v>
      </c>
      <c r="DA67" s="358">
        <v>79</v>
      </c>
      <c r="DB67" s="358">
        <v>84</v>
      </c>
      <c r="DC67" s="358">
        <v>95</v>
      </c>
      <c r="DD67" s="358">
        <v>105</v>
      </c>
      <c r="DE67" s="358">
        <v>109</v>
      </c>
      <c r="DF67" s="358">
        <v>115</v>
      </c>
      <c r="DG67" s="358">
        <v>124</v>
      </c>
      <c r="DH67" s="358">
        <v>129</v>
      </c>
      <c r="DI67" s="358">
        <v>136</v>
      </c>
      <c r="DJ67" s="358">
        <v>145</v>
      </c>
      <c r="DK67" s="358">
        <v>152</v>
      </c>
      <c r="DL67" s="358">
        <v>160</v>
      </c>
      <c r="DM67" s="358">
        <v>172</v>
      </c>
      <c r="DN67" s="358">
        <v>175</v>
      </c>
      <c r="DO67" s="358">
        <v>186</v>
      </c>
      <c r="DP67" s="358">
        <v>195</v>
      </c>
      <c r="DQ67" s="358">
        <v>38</v>
      </c>
      <c r="DR67" s="358">
        <v>43</v>
      </c>
      <c r="DS67" s="358">
        <v>47</v>
      </c>
      <c r="DT67" s="358">
        <v>49</v>
      </c>
      <c r="DU67" s="358">
        <v>52</v>
      </c>
      <c r="DV67" s="358">
        <v>53</v>
      </c>
      <c r="DW67" s="358">
        <v>59</v>
      </c>
      <c r="DX67" s="358">
        <v>62</v>
      </c>
      <c r="DY67" s="358">
        <v>68</v>
      </c>
      <c r="DZ67" s="358">
        <v>73</v>
      </c>
      <c r="EA67" s="358">
        <v>77</v>
      </c>
      <c r="EB67" s="358">
        <v>81</v>
      </c>
      <c r="EC67" s="358">
        <v>86</v>
      </c>
      <c r="ED67" s="358">
        <v>92</v>
      </c>
      <c r="EE67" s="358">
        <v>98</v>
      </c>
      <c r="EF67" s="358">
        <v>101</v>
      </c>
      <c r="EG67" s="358">
        <v>105</v>
      </c>
      <c r="EH67" s="358">
        <v>110</v>
      </c>
      <c r="EI67" s="358">
        <v>115</v>
      </c>
      <c r="EJ67" s="358">
        <v>119</v>
      </c>
      <c r="EK67" s="358">
        <v>124</v>
      </c>
      <c r="EL67" s="358">
        <v>128</v>
      </c>
      <c r="EM67" s="358">
        <v>177</v>
      </c>
      <c r="EN67" s="358">
        <v>189</v>
      </c>
      <c r="EO67" s="358">
        <v>200</v>
      </c>
      <c r="EP67" s="358">
        <v>210</v>
      </c>
      <c r="EQ67" s="358">
        <v>217</v>
      </c>
      <c r="ES67" s="358">
        <v>229</v>
      </c>
      <c r="ET67" s="358">
        <v>234</v>
      </c>
      <c r="EU67" s="358">
        <v>243</v>
      </c>
      <c r="EV67" s="358">
        <v>249</v>
      </c>
      <c r="EW67" s="358">
        <v>173</v>
      </c>
      <c r="EX67" s="358">
        <v>184</v>
      </c>
      <c r="EY67" s="358">
        <v>195</v>
      </c>
      <c r="EZ67" s="358">
        <v>211</v>
      </c>
      <c r="FA67" s="358">
        <v>219</v>
      </c>
      <c r="FB67" s="358">
        <v>229</v>
      </c>
      <c r="FC67" s="358">
        <v>243</v>
      </c>
      <c r="FD67" s="358">
        <v>255</v>
      </c>
      <c r="FE67" s="358">
        <v>262</v>
      </c>
      <c r="FF67" s="358">
        <v>267</v>
      </c>
      <c r="FG67" s="358">
        <v>279</v>
      </c>
      <c r="FH67" s="358">
        <v>288</v>
      </c>
      <c r="FI67" s="358">
        <v>299</v>
      </c>
      <c r="FJ67" s="358">
        <v>305</v>
      </c>
      <c r="FK67" s="358">
        <v>310</v>
      </c>
      <c r="FL67" s="358">
        <v>152</v>
      </c>
      <c r="FM67" s="358">
        <v>162</v>
      </c>
      <c r="FN67" s="358">
        <v>168</v>
      </c>
      <c r="FO67" s="358">
        <v>175</v>
      </c>
      <c r="FP67" s="358">
        <v>188</v>
      </c>
      <c r="FQ67" s="358">
        <v>203</v>
      </c>
      <c r="FR67" s="358">
        <v>211</v>
      </c>
      <c r="FS67" s="358">
        <v>218</v>
      </c>
      <c r="FT67" s="358">
        <v>225</v>
      </c>
      <c r="FU67" s="358">
        <v>232</v>
      </c>
      <c r="FV67" s="358">
        <v>242</v>
      </c>
      <c r="FW67" s="358">
        <v>103</v>
      </c>
      <c r="FX67" s="358">
        <v>150</v>
      </c>
      <c r="FY67" s="358">
        <v>157</v>
      </c>
      <c r="FZ67" s="358">
        <v>185</v>
      </c>
      <c r="GA67" s="358">
        <v>254</v>
      </c>
      <c r="GB67" s="358">
        <v>290</v>
      </c>
      <c r="GC67" s="358">
        <v>80</v>
      </c>
      <c r="GD67" s="358">
        <v>116</v>
      </c>
      <c r="GE67" s="358">
        <v>145</v>
      </c>
      <c r="GF67" s="358">
        <v>199</v>
      </c>
      <c r="GG67" s="358">
        <v>61</v>
      </c>
      <c r="GH67" s="358">
        <v>73</v>
      </c>
      <c r="GI67" s="361">
        <v>99</v>
      </c>
    </row>
    <row r="68" spans="1:191">
      <c r="A68" s="336" t="s">
        <v>431</v>
      </c>
      <c r="B68" s="358">
        <v>32</v>
      </c>
      <c r="C68" s="358">
        <v>36</v>
      </c>
      <c r="D68" s="358">
        <v>38</v>
      </c>
      <c r="E68" s="358">
        <v>39</v>
      </c>
      <c r="F68" s="358">
        <v>42</v>
      </c>
      <c r="G68" s="358">
        <v>45</v>
      </c>
      <c r="H68" s="358">
        <v>48</v>
      </c>
      <c r="I68" s="358">
        <v>50</v>
      </c>
      <c r="J68" s="358">
        <v>53</v>
      </c>
      <c r="K68" s="358">
        <v>57</v>
      </c>
      <c r="L68" s="358">
        <v>59</v>
      </c>
      <c r="M68" s="358">
        <v>62</v>
      </c>
      <c r="N68" s="358">
        <v>64</v>
      </c>
      <c r="O68" s="358">
        <v>69</v>
      </c>
      <c r="P68" s="358">
        <v>75</v>
      </c>
      <c r="Q68" s="358">
        <v>77</v>
      </c>
      <c r="R68" s="358">
        <v>80</v>
      </c>
      <c r="S68" s="358">
        <v>82</v>
      </c>
      <c r="T68" s="358">
        <v>85</v>
      </c>
      <c r="U68" s="358">
        <v>88</v>
      </c>
      <c r="V68" s="358">
        <v>34</v>
      </c>
      <c r="W68" s="358">
        <v>36</v>
      </c>
      <c r="X68" s="358">
        <v>38</v>
      </c>
      <c r="Y68" s="358">
        <v>40</v>
      </c>
      <c r="Z68" s="358">
        <v>42</v>
      </c>
      <c r="AA68" s="358">
        <v>43</v>
      </c>
      <c r="AB68" s="358">
        <v>45</v>
      </c>
      <c r="AC68" s="358">
        <v>48</v>
      </c>
      <c r="AD68" s="358">
        <v>50</v>
      </c>
      <c r="AE68" s="358">
        <v>55</v>
      </c>
      <c r="AF68" s="358">
        <v>60</v>
      </c>
      <c r="AG68" s="358">
        <v>65</v>
      </c>
      <c r="AH68" s="358">
        <v>66</v>
      </c>
      <c r="AI68" s="358">
        <v>67</v>
      </c>
      <c r="AJ68" s="358">
        <v>71</v>
      </c>
      <c r="AK68" s="358">
        <v>77</v>
      </c>
      <c r="AL68" s="358">
        <v>83</v>
      </c>
      <c r="AM68" s="358">
        <v>88</v>
      </c>
      <c r="AN68" s="358">
        <v>94</v>
      </c>
      <c r="AO68" s="358">
        <v>98</v>
      </c>
      <c r="AP68" s="358">
        <v>104</v>
      </c>
      <c r="AQ68" s="358">
        <v>110</v>
      </c>
      <c r="AR68" s="358">
        <v>114</v>
      </c>
      <c r="AS68" s="358">
        <v>126</v>
      </c>
      <c r="AT68" s="358">
        <v>134</v>
      </c>
      <c r="AU68" s="358">
        <v>144</v>
      </c>
      <c r="AV68" s="358">
        <v>153</v>
      </c>
      <c r="AW68" s="358">
        <v>161</v>
      </c>
      <c r="AX68" s="358">
        <v>29</v>
      </c>
      <c r="AY68" s="358">
        <v>25</v>
      </c>
      <c r="AZ68" s="358">
        <v>24</v>
      </c>
      <c r="BA68" s="358">
        <v>23</v>
      </c>
      <c r="BB68" s="358">
        <v>22</v>
      </c>
      <c r="BC68" s="358">
        <v>19</v>
      </c>
      <c r="BD68" s="358">
        <v>15</v>
      </c>
      <c r="BE68" s="358">
        <v>13</v>
      </c>
      <c r="BF68" s="358">
        <v>12</v>
      </c>
      <c r="BG68" s="358">
        <v>9</v>
      </c>
      <c r="BH68" s="358">
        <v>8</v>
      </c>
      <c r="BI68" s="358">
        <v>7</v>
      </c>
      <c r="BJ68" s="358">
        <v>5</v>
      </c>
      <c r="BK68" s="358">
        <v>4</v>
      </c>
      <c r="BL68" s="358">
        <v>3</v>
      </c>
      <c r="BM68" s="358">
        <v>1</v>
      </c>
      <c r="BO68" s="358">
        <v>3</v>
      </c>
      <c r="BP68" s="358">
        <v>8</v>
      </c>
      <c r="BQ68" s="358">
        <v>12</v>
      </c>
      <c r="BR68" s="358">
        <v>22</v>
      </c>
      <c r="BS68" s="358">
        <v>29</v>
      </c>
      <c r="BT68" s="358">
        <v>33</v>
      </c>
      <c r="BU68" s="358">
        <v>36</v>
      </c>
      <c r="BV68" s="358">
        <v>31</v>
      </c>
      <c r="BW68" s="358">
        <v>32</v>
      </c>
      <c r="BX68" s="358">
        <v>35</v>
      </c>
      <c r="BY68" s="358">
        <v>39</v>
      </c>
      <c r="BZ68" s="358">
        <v>44</v>
      </c>
      <c r="CA68" s="358">
        <v>48</v>
      </c>
      <c r="CB68" s="358">
        <v>55</v>
      </c>
      <c r="CC68" s="358">
        <v>60</v>
      </c>
      <c r="CD68" s="358">
        <v>63</v>
      </c>
      <c r="CE68" s="358">
        <v>67</v>
      </c>
      <c r="CF68" s="358">
        <v>69</v>
      </c>
      <c r="CG68" s="358">
        <v>76</v>
      </c>
      <c r="CH68" s="358">
        <v>78</v>
      </c>
      <c r="CI68" s="358">
        <v>82</v>
      </c>
      <c r="CJ68" s="358">
        <v>85</v>
      </c>
      <c r="CK68" s="358">
        <v>92</v>
      </c>
      <c r="CL68" s="358">
        <v>98</v>
      </c>
      <c r="CM68" s="358">
        <v>102</v>
      </c>
      <c r="CN68" s="358">
        <v>107</v>
      </c>
      <c r="CO68" s="358">
        <v>114</v>
      </c>
      <c r="CP68" s="358">
        <v>125</v>
      </c>
      <c r="CQ68" s="358">
        <v>138</v>
      </c>
      <c r="CR68" s="358">
        <v>143</v>
      </c>
      <c r="CS68" s="358">
        <v>38</v>
      </c>
      <c r="CT68" s="358">
        <v>43</v>
      </c>
      <c r="CU68" s="358">
        <v>49</v>
      </c>
      <c r="CV68" s="358">
        <v>55</v>
      </c>
      <c r="CW68" s="358">
        <v>61</v>
      </c>
      <c r="CX68" s="358">
        <v>66</v>
      </c>
      <c r="CY68" s="358">
        <v>73</v>
      </c>
      <c r="CZ68" s="358">
        <v>76</v>
      </c>
      <c r="DA68" s="358">
        <v>80</v>
      </c>
      <c r="DB68" s="358">
        <v>85</v>
      </c>
      <c r="DC68" s="358">
        <v>96</v>
      </c>
      <c r="DD68" s="358">
        <v>106</v>
      </c>
      <c r="DE68" s="358">
        <v>110</v>
      </c>
      <c r="DF68" s="358">
        <v>116</v>
      </c>
      <c r="DG68" s="358">
        <v>125</v>
      </c>
      <c r="DH68" s="358">
        <v>130</v>
      </c>
      <c r="DI68" s="358">
        <v>137</v>
      </c>
      <c r="DJ68" s="358">
        <v>146</v>
      </c>
      <c r="DK68" s="358">
        <v>153</v>
      </c>
      <c r="DL68" s="358">
        <v>161</v>
      </c>
      <c r="DM68" s="358">
        <v>173</v>
      </c>
      <c r="DN68" s="358">
        <v>176</v>
      </c>
      <c r="DO68" s="358">
        <v>187</v>
      </c>
      <c r="DP68" s="358">
        <v>196</v>
      </c>
      <c r="DQ68" s="358">
        <v>39</v>
      </c>
      <c r="DR68" s="358">
        <v>44</v>
      </c>
      <c r="DS68" s="358">
        <v>48</v>
      </c>
      <c r="DT68" s="358">
        <v>50</v>
      </c>
      <c r="DU68" s="358">
        <v>53</v>
      </c>
      <c r="DV68" s="358">
        <v>54</v>
      </c>
      <c r="DW68" s="358">
        <v>60</v>
      </c>
      <c r="DX68" s="358">
        <v>63</v>
      </c>
      <c r="DY68" s="358">
        <v>69</v>
      </c>
      <c r="DZ68" s="358">
        <v>74</v>
      </c>
      <c r="EA68" s="358">
        <v>78</v>
      </c>
      <c r="EB68" s="358">
        <v>82</v>
      </c>
      <c r="EC68" s="358">
        <v>87</v>
      </c>
      <c r="ED68" s="358">
        <v>93</v>
      </c>
      <c r="EE68" s="358">
        <v>99</v>
      </c>
      <c r="EF68" s="358">
        <v>102</v>
      </c>
      <c r="EG68" s="358">
        <v>106</v>
      </c>
      <c r="EH68" s="358">
        <v>111</v>
      </c>
      <c r="EI68" s="358">
        <v>116</v>
      </c>
      <c r="EJ68" s="358">
        <v>120</v>
      </c>
      <c r="EK68" s="358">
        <v>125</v>
      </c>
      <c r="EL68" s="358">
        <v>129</v>
      </c>
      <c r="EM68" s="358">
        <v>178</v>
      </c>
      <c r="EN68" s="358">
        <v>190</v>
      </c>
      <c r="EO68" s="358">
        <v>201</v>
      </c>
      <c r="EP68" s="358">
        <v>211</v>
      </c>
      <c r="EQ68" s="358">
        <v>218</v>
      </c>
      <c r="ES68" s="358">
        <v>230</v>
      </c>
      <c r="ET68" s="358">
        <v>235</v>
      </c>
      <c r="EU68" s="358">
        <v>244</v>
      </c>
      <c r="EV68" s="358">
        <v>250</v>
      </c>
      <c r="EW68" s="358">
        <v>174</v>
      </c>
      <c r="EX68" s="358">
        <v>185</v>
      </c>
      <c r="EY68" s="358">
        <v>196</v>
      </c>
      <c r="EZ68" s="358">
        <v>212</v>
      </c>
      <c r="FA68" s="358">
        <v>220</v>
      </c>
      <c r="FB68" s="358">
        <v>230</v>
      </c>
      <c r="FC68" s="358">
        <v>244</v>
      </c>
      <c r="FD68" s="358">
        <v>256</v>
      </c>
      <c r="FE68" s="358">
        <v>263</v>
      </c>
      <c r="FF68" s="358">
        <v>268</v>
      </c>
      <c r="FG68" s="358">
        <v>280</v>
      </c>
      <c r="FH68" s="358">
        <v>289</v>
      </c>
      <c r="FI68" s="358">
        <v>300</v>
      </c>
      <c r="FJ68" s="358">
        <v>306</v>
      </c>
      <c r="FK68" s="358">
        <v>311</v>
      </c>
      <c r="FL68" s="358">
        <v>153</v>
      </c>
      <c r="FM68" s="358">
        <v>163</v>
      </c>
      <c r="FN68" s="358">
        <v>169</v>
      </c>
      <c r="FO68" s="358">
        <v>176</v>
      </c>
      <c r="FP68" s="358">
        <v>189</v>
      </c>
      <c r="FQ68" s="358">
        <v>204</v>
      </c>
      <c r="FR68" s="358">
        <v>212</v>
      </c>
      <c r="FS68" s="358">
        <v>219</v>
      </c>
      <c r="FT68" s="358">
        <v>226</v>
      </c>
      <c r="FU68" s="358">
        <v>233</v>
      </c>
      <c r="FV68" s="358">
        <v>243</v>
      </c>
      <c r="FW68" s="358">
        <v>104</v>
      </c>
      <c r="FX68" s="358">
        <v>151</v>
      </c>
      <c r="FY68" s="358">
        <v>158</v>
      </c>
      <c r="FZ68" s="358">
        <v>186</v>
      </c>
      <c r="GA68" s="358">
        <v>255</v>
      </c>
      <c r="GB68" s="358">
        <v>291</v>
      </c>
      <c r="GC68" s="358">
        <v>79</v>
      </c>
      <c r="GD68" s="358">
        <v>115</v>
      </c>
      <c r="GE68" s="358">
        <v>144</v>
      </c>
      <c r="GF68" s="358">
        <v>200</v>
      </c>
      <c r="GG68" s="358">
        <v>60</v>
      </c>
      <c r="GH68" s="358">
        <v>72</v>
      </c>
      <c r="GI68" s="361">
        <v>98</v>
      </c>
    </row>
    <row r="69" spans="1:191">
      <c r="A69" s="336" t="s">
        <v>430</v>
      </c>
      <c r="B69" s="358">
        <v>35</v>
      </c>
      <c r="C69" s="358">
        <v>39</v>
      </c>
      <c r="D69" s="358">
        <v>41</v>
      </c>
      <c r="E69" s="358">
        <v>42</v>
      </c>
      <c r="F69" s="358">
        <v>45</v>
      </c>
      <c r="G69" s="358">
        <v>48</v>
      </c>
      <c r="H69" s="358">
        <v>51</v>
      </c>
      <c r="I69" s="358">
        <v>53</v>
      </c>
      <c r="J69" s="358">
        <v>56</v>
      </c>
      <c r="K69" s="358">
        <v>60</v>
      </c>
      <c r="L69" s="358">
        <v>62</v>
      </c>
      <c r="M69" s="358">
        <v>65</v>
      </c>
      <c r="N69" s="358">
        <v>67</v>
      </c>
      <c r="O69" s="358">
        <v>72</v>
      </c>
      <c r="P69" s="358">
        <v>78</v>
      </c>
      <c r="Q69" s="358">
        <v>80</v>
      </c>
      <c r="R69" s="358">
        <v>83</v>
      </c>
      <c r="S69" s="358">
        <v>85</v>
      </c>
      <c r="T69" s="358">
        <v>88</v>
      </c>
      <c r="U69" s="358">
        <v>91</v>
      </c>
      <c r="V69" s="358">
        <v>37</v>
      </c>
      <c r="W69" s="358">
        <v>39</v>
      </c>
      <c r="X69" s="358">
        <v>41</v>
      </c>
      <c r="Y69" s="358">
        <v>43</v>
      </c>
      <c r="Z69" s="358">
        <v>45</v>
      </c>
      <c r="AA69" s="358">
        <v>46</v>
      </c>
      <c r="AB69" s="358">
        <v>48</v>
      </c>
      <c r="AC69" s="358">
        <v>51</v>
      </c>
      <c r="AD69" s="358">
        <v>53</v>
      </c>
      <c r="AE69" s="358">
        <v>58</v>
      </c>
      <c r="AF69" s="358">
        <v>63</v>
      </c>
      <c r="AG69" s="358">
        <v>68</v>
      </c>
      <c r="AH69" s="358">
        <v>69</v>
      </c>
      <c r="AI69" s="358">
        <v>70</v>
      </c>
      <c r="AJ69" s="358">
        <v>74</v>
      </c>
      <c r="AK69" s="358">
        <v>80</v>
      </c>
      <c r="AL69" s="358">
        <v>86</v>
      </c>
      <c r="AM69" s="358">
        <v>91</v>
      </c>
      <c r="AN69" s="358">
        <v>97</v>
      </c>
      <c r="AO69" s="358">
        <v>101</v>
      </c>
      <c r="AP69" s="358">
        <v>107</v>
      </c>
      <c r="AQ69" s="358">
        <v>113</v>
      </c>
      <c r="AR69" s="358">
        <v>117</v>
      </c>
      <c r="AS69" s="358">
        <v>129</v>
      </c>
      <c r="AT69" s="358">
        <v>137</v>
      </c>
      <c r="AU69" s="358">
        <v>147</v>
      </c>
      <c r="AV69" s="358">
        <v>156</v>
      </c>
      <c r="AW69" s="358">
        <v>164</v>
      </c>
      <c r="AX69" s="358">
        <v>32</v>
      </c>
      <c r="AY69" s="358">
        <v>28</v>
      </c>
      <c r="AZ69" s="358">
        <v>27</v>
      </c>
      <c r="BA69" s="358">
        <v>26</v>
      </c>
      <c r="BB69" s="358">
        <v>25</v>
      </c>
      <c r="BC69" s="358">
        <v>22</v>
      </c>
      <c r="BD69" s="358">
        <v>18</v>
      </c>
      <c r="BE69" s="358">
        <v>16</v>
      </c>
      <c r="BF69" s="358">
        <v>15</v>
      </c>
      <c r="BG69" s="358">
        <v>12</v>
      </c>
      <c r="BH69" s="358">
        <v>11</v>
      </c>
      <c r="BI69" s="358">
        <v>10</v>
      </c>
      <c r="BJ69" s="358">
        <v>8</v>
      </c>
      <c r="BK69" s="358">
        <v>7</v>
      </c>
      <c r="BL69" s="358">
        <v>6</v>
      </c>
      <c r="BM69" s="358">
        <v>4</v>
      </c>
      <c r="BN69" s="358">
        <v>3</v>
      </c>
      <c r="BP69" s="358">
        <v>5</v>
      </c>
      <c r="BQ69" s="358">
        <v>9</v>
      </c>
      <c r="BR69" s="358">
        <v>19</v>
      </c>
      <c r="BS69" s="358">
        <v>26</v>
      </c>
      <c r="BT69" s="358">
        <v>30</v>
      </c>
      <c r="BU69" s="358">
        <v>33</v>
      </c>
      <c r="BV69" s="358">
        <v>34</v>
      </c>
      <c r="BW69" s="358">
        <v>35</v>
      </c>
      <c r="BX69" s="358">
        <v>38</v>
      </c>
      <c r="BY69" s="358">
        <v>42</v>
      </c>
      <c r="BZ69" s="358">
        <v>47</v>
      </c>
      <c r="CA69" s="358">
        <v>51</v>
      </c>
      <c r="CB69" s="358">
        <v>58</v>
      </c>
      <c r="CC69" s="358">
        <v>63</v>
      </c>
      <c r="CD69" s="358">
        <v>66</v>
      </c>
      <c r="CE69" s="358">
        <v>70</v>
      </c>
      <c r="CF69" s="358">
        <v>72</v>
      </c>
      <c r="CG69" s="358">
        <v>79</v>
      </c>
      <c r="CH69" s="358">
        <v>81</v>
      </c>
      <c r="CI69" s="358">
        <v>85</v>
      </c>
      <c r="CJ69" s="358">
        <v>88</v>
      </c>
      <c r="CK69" s="358">
        <v>95</v>
      </c>
      <c r="CL69" s="358">
        <v>101</v>
      </c>
      <c r="CM69" s="358">
        <v>105</v>
      </c>
      <c r="CN69" s="358">
        <v>110</v>
      </c>
      <c r="CO69" s="358">
        <v>117</v>
      </c>
      <c r="CP69" s="358">
        <v>128</v>
      </c>
      <c r="CQ69" s="358">
        <v>141</v>
      </c>
      <c r="CR69" s="358">
        <v>146</v>
      </c>
      <c r="CS69" s="358">
        <v>41</v>
      </c>
      <c r="CT69" s="358">
        <v>46</v>
      </c>
      <c r="CU69" s="358">
        <v>52</v>
      </c>
      <c r="CV69" s="358">
        <v>58</v>
      </c>
      <c r="CW69" s="358">
        <v>64</v>
      </c>
      <c r="CX69" s="358">
        <v>69</v>
      </c>
      <c r="CY69" s="358">
        <v>76</v>
      </c>
      <c r="CZ69" s="358">
        <v>79</v>
      </c>
      <c r="DA69" s="358">
        <v>83</v>
      </c>
      <c r="DB69" s="358">
        <v>88</v>
      </c>
      <c r="DC69" s="358">
        <v>99</v>
      </c>
      <c r="DD69" s="358">
        <v>109</v>
      </c>
      <c r="DE69" s="358">
        <v>113</v>
      </c>
      <c r="DF69" s="358">
        <v>119</v>
      </c>
      <c r="DG69" s="358">
        <v>128</v>
      </c>
      <c r="DH69" s="358">
        <v>133</v>
      </c>
      <c r="DI69" s="358">
        <v>140</v>
      </c>
      <c r="DJ69" s="358">
        <v>149</v>
      </c>
      <c r="DK69" s="358">
        <v>156</v>
      </c>
      <c r="DL69" s="358">
        <v>164</v>
      </c>
      <c r="DM69" s="358">
        <v>176</v>
      </c>
      <c r="DN69" s="358">
        <v>179</v>
      </c>
      <c r="DO69" s="358">
        <v>190</v>
      </c>
      <c r="DP69" s="358">
        <v>199</v>
      </c>
      <c r="DQ69" s="358">
        <v>42</v>
      </c>
      <c r="DR69" s="358">
        <v>47</v>
      </c>
      <c r="DS69" s="358">
        <v>51</v>
      </c>
      <c r="DT69" s="358">
        <v>53</v>
      </c>
      <c r="DU69" s="358">
        <v>56</v>
      </c>
      <c r="DV69" s="358">
        <v>57</v>
      </c>
      <c r="DW69" s="358">
        <v>63</v>
      </c>
      <c r="DX69" s="358">
        <v>66</v>
      </c>
      <c r="DY69" s="358">
        <v>72</v>
      </c>
      <c r="DZ69" s="358">
        <v>77</v>
      </c>
      <c r="EA69" s="358">
        <v>81</v>
      </c>
      <c r="EB69" s="358">
        <v>85</v>
      </c>
      <c r="EC69" s="358">
        <v>90</v>
      </c>
      <c r="ED69" s="358">
        <v>96</v>
      </c>
      <c r="EE69" s="358">
        <v>102</v>
      </c>
      <c r="EF69" s="358">
        <v>105</v>
      </c>
      <c r="EG69" s="358">
        <v>109</v>
      </c>
      <c r="EH69" s="358">
        <v>114</v>
      </c>
      <c r="EI69" s="358">
        <v>119</v>
      </c>
      <c r="EJ69" s="358">
        <v>123</v>
      </c>
      <c r="EK69" s="358">
        <v>128</v>
      </c>
      <c r="EL69" s="358">
        <v>132</v>
      </c>
      <c r="EM69" s="358">
        <v>181</v>
      </c>
      <c r="EN69" s="358">
        <v>193</v>
      </c>
      <c r="EO69" s="358">
        <v>204</v>
      </c>
      <c r="EP69" s="358">
        <v>214</v>
      </c>
      <c r="EQ69" s="358">
        <v>221</v>
      </c>
      <c r="ES69" s="358">
        <v>233</v>
      </c>
      <c r="ET69" s="358">
        <v>238</v>
      </c>
      <c r="EU69" s="358">
        <v>247</v>
      </c>
      <c r="EV69" s="358">
        <v>253</v>
      </c>
      <c r="EW69" s="358">
        <v>177</v>
      </c>
      <c r="EX69" s="358">
        <v>188</v>
      </c>
      <c r="EY69" s="358">
        <v>199</v>
      </c>
      <c r="EZ69" s="358">
        <v>215</v>
      </c>
      <c r="FA69" s="358">
        <v>223</v>
      </c>
      <c r="FB69" s="358">
        <v>233</v>
      </c>
      <c r="FC69" s="358">
        <v>247</v>
      </c>
      <c r="FD69" s="358">
        <v>259</v>
      </c>
      <c r="FE69" s="358">
        <v>266</v>
      </c>
      <c r="FF69" s="358">
        <v>271</v>
      </c>
      <c r="FG69" s="358">
        <v>283</v>
      </c>
      <c r="FH69" s="358">
        <v>292</v>
      </c>
      <c r="FI69" s="358">
        <v>303</v>
      </c>
      <c r="FJ69" s="358">
        <v>309</v>
      </c>
      <c r="FK69" s="358">
        <v>314</v>
      </c>
      <c r="FL69" s="358">
        <v>156</v>
      </c>
      <c r="FM69" s="358">
        <v>166</v>
      </c>
      <c r="FN69" s="358">
        <v>172</v>
      </c>
      <c r="FO69" s="358">
        <v>179</v>
      </c>
      <c r="FP69" s="358">
        <v>192</v>
      </c>
      <c r="FQ69" s="358">
        <v>207</v>
      </c>
      <c r="FR69" s="358">
        <v>215</v>
      </c>
      <c r="FS69" s="358">
        <v>222</v>
      </c>
      <c r="FT69" s="358">
        <v>229</v>
      </c>
      <c r="FU69" s="358">
        <v>236</v>
      </c>
      <c r="FV69" s="358">
        <v>246</v>
      </c>
      <c r="FW69" s="358">
        <v>107</v>
      </c>
      <c r="FX69" s="358">
        <v>154</v>
      </c>
      <c r="FY69" s="358">
        <v>161</v>
      </c>
      <c r="FZ69" s="358">
        <v>189</v>
      </c>
      <c r="GA69" s="358">
        <v>258</v>
      </c>
      <c r="GB69" s="358">
        <v>294</v>
      </c>
      <c r="GC69" s="358">
        <v>76</v>
      </c>
      <c r="GD69" s="358">
        <v>112</v>
      </c>
      <c r="GE69" s="358">
        <v>141</v>
      </c>
      <c r="GF69" s="358">
        <v>203</v>
      </c>
      <c r="GG69" s="358">
        <v>57</v>
      </c>
      <c r="GH69" s="358">
        <v>69</v>
      </c>
      <c r="GI69" s="361">
        <v>95</v>
      </c>
    </row>
    <row r="70" spans="1:191">
      <c r="A70" s="336" t="s">
        <v>429</v>
      </c>
      <c r="B70" s="358">
        <v>40</v>
      </c>
      <c r="C70" s="358">
        <v>44</v>
      </c>
      <c r="D70" s="358">
        <v>46</v>
      </c>
      <c r="E70" s="358">
        <v>47</v>
      </c>
      <c r="F70" s="358">
        <v>50</v>
      </c>
      <c r="G70" s="358">
        <v>53</v>
      </c>
      <c r="H70" s="358">
        <v>56</v>
      </c>
      <c r="I70" s="358">
        <v>58</v>
      </c>
      <c r="J70" s="358">
        <v>61</v>
      </c>
      <c r="K70" s="358">
        <v>65</v>
      </c>
      <c r="L70" s="358">
        <v>67</v>
      </c>
      <c r="M70" s="358">
        <v>70</v>
      </c>
      <c r="N70" s="358">
        <v>72</v>
      </c>
      <c r="O70" s="358">
        <v>77</v>
      </c>
      <c r="P70" s="358">
        <v>83</v>
      </c>
      <c r="Q70" s="358">
        <v>85</v>
      </c>
      <c r="R70" s="358">
        <v>88</v>
      </c>
      <c r="S70" s="358">
        <v>90</v>
      </c>
      <c r="T70" s="358">
        <v>93</v>
      </c>
      <c r="U70" s="358">
        <v>96</v>
      </c>
      <c r="V70" s="358">
        <v>42</v>
      </c>
      <c r="W70" s="358">
        <v>44</v>
      </c>
      <c r="X70" s="358">
        <v>46</v>
      </c>
      <c r="Y70" s="358">
        <v>48</v>
      </c>
      <c r="Z70" s="358">
        <v>50</v>
      </c>
      <c r="AA70" s="358">
        <v>51</v>
      </c>
      <c r="AB70" s="358">
        <v>53</v>
      </c>
      <c r="AC70" s="358">
        <v>56</v>
      </c>
      <c r="AD70" s="358">
        <v>58</v>
      </c>
      <c r="AE70" s="358">
        <v>63</v>
      </c>
      <c r="AF70" s="358">
        <v>68</v>
      </c>
      <c r="AG70" s="358">
        <v>73</v>
      </c>
      <c r="AH70" s="358">
        <v>74</v>
      </c>
      <c r="AI70" s="358">
        <v>75</v>
      </c>
      <c r="AJ70" s="358">
        <v>79</v>
      </c>
      <c r="AK70" s="358">
        <v>85</v>
      </c>
      <c r="AL70" s="358">
        <v>91</v>
      </c>
      <c r="AM70" s="358">
        <v>96</v>
      </c>
      <c r="AN70" s="358">
        <v>102</v>
      </c>
      <c r="AO70" s="358">
        <v>106</v>
      </c>
      <c r="AP70" s="358">
        <v>112</v>
      </c>
      <c r="AQ70" s="358">
        <v>118</v>
      </c>
      <c r="AR70" s="358">
        <v>122</v>
      </c>
      <c r="AS70" s="358">
        <v>134</v>
      </c>
      <c r="AT70" s="358">
        <v>142</v>
      </c>
      <c r="AU70" s="358">
        <v>152</v>
      </c>
      <c r="AV70" s="358">
        <v>161</v>
      </c>
      <c r="AW70" s="358">
        <v>169</v>
      </c>
      <c r="AX70" s="358">
        <v>37</v>
      </c>
      <c r="AY70" s="358">
        <v>33</v>
      </c>
      <c r="AZ70" s="358">
        <v>32</v>
      </c>
      <c r="BA70" s="358">
        <v>31</v>
      </c>
      <c r="BB70" s="358">
        <v>30</v>
      </c>
      <c r="BC70" s="358">
        <v>27</v>
      </c>
      <c r="BD70" s="358">
        <v>23</v>
      </c>
      <c r="BE70" s="358">
        <v>21</v>
      </c>
      <c r="BF70" s="358">
        <v>20</v>
      </c>
      <c r="BG70" s="358">
        <v>17</v>
      </c>
      <c r="BH70" s="358">
        <v>16</v>
      </c>
      <c r="BI70" s="358">
        <v>15</v>
      </c>
      <c r="BJ70" s="358">
        <v>13</v>
      </c>
      <c r="BK70" s="358">
        <v>12</v>
      </c>
      <c r="BL70" s="358">
        <v>11</v>
      </c>
      <c r="BM70" s="358">
        <v>9</v>
      </c>
      <c r="BN70" s="358">
        <v>8</v>
      </c>
      <c r="BO70" s="358">
        <v>5</v>
      </c>
      <c r="BQ70" s="358">
        <v>4</v>
      </c>
      <c r="BR70" s="358">
        <v>14</v>
      </c>
      <c r="BS70" s="358">
        <v>21</v>
      </c>
      <c r="BT70" s="358">
        <v>25</v>
      </c>
      <c r="BU70" s="358">
        <v>28</v>
      </c>
      <c r="BV70" s="358">
        <v>39</v>
      </c>
      <c r="BW70" s="358">
        <v>40</v>
      </c>
      <c r="BX70" s="358">
        <v>43</v>
      </c>
      <c r="BY70" s="358">
        <v>47</v>
      </c>
      <c r="BZ70" s="358">
        <v>52</v>
      </c>
      <c r="CA70" s="358">
        <v>56</v>
      </c>
      <c r="CB70" s="358">
        <v>63</v>
      </c>
      <c r="CC70" s="358">
        <v>68</v>
      </c>
      <c r="CD70" s="358">
        <v>71</v>
      </c>
      <c r="CE70" s="358">
        <v>75</v>
      </c>
      <c r="CF70" s="358">
        <v>77</v>
      </c>
      <c r="CG70" s="358">
        <v>84</v>
      </c>
      <c r="CH70" s="358">
        <v>86</v>
      </c>
      <c r="CI70" s="358">
        <v>90</v>
      </c>
      <c r="CJ70" s="358">
        <v>93</v>
      </c>
      <c r="CK70" s="358">
        <v>100</v>
      </c>
      <c r="CL70" s="358">
        <v>106</v>
      </c>
      <c r="CM70" s="358">
        <v>110</v>
      </c>
      <c r="CN70" s="358">
        <v>115</v>
      </c>
      <c r="CO70" s="358">
        <v>122</v>
      </c>
      <c r="CP70" s="358">
        <v>133</v>
      </c>
      <c r="CQ70" s="358">
        <v>146</v>
      </c>
      <c r="CR70" s="358">
        <v>151</v>
      </c>
      <c r="CS70" s="358">
        <v>46</v>
      </c>
      <c r="CT70" s="358">
        <v>51</v>
      </c>
      <c r="CU70" s="358">
        <v>57</v>
      </c>
      <c r="CV70" s="358">
        <v>63</v>
      </c>
      <c r="CW70" s="358">
        <v>69</v>
      </c>
      <c r="CX70" s="358">
        <v>74</v>
      </c>
      <c r="CY70" s="358">
        <v>81</v>
      </c>
      <c r="CZ70" s="358">
        <v>84</v>
      </c>
      <c r="DA70" s="358">
        <v>88</v>
      </c>
      <c r="DB70" s="358">
        <v>93</v>
      </c>
      <c r="DC70" s="358">
        <v>104</v>
      </c>
      <c r="DD70" s="358">
        <v>114</v>
      </c>
      <c r="DE70" s="358">
        <v>118</v>
      </c>
      <c r="DF70" s="358">
        <v>124</v>
      </c>
      <c r="DG70" s="358">
        <v>133</v>
      </c>
      <c r="DH70" s="358">
        <v>138</v>
      </c>
      <c r="DI70" s="358">
        <v>145</v>
      </c>
      <c r="DJ70" s="358">
        <v>154</v>
      </c>
      <c r="DK70" s="358">
        <v>161</v>
      </c>
      <c r="DL70" s="358">
        <v>169</v>
      </c>
      <c r="DM70" s="358">
        <v>181</v>
      </c>
      <c r="DN70" s="358">
        <v>184</v>
      </c>
      <c r="DO70" s="358">
        <v>195</v>
      </c>
      <c r="DP70" s="358">
        <v>204</v>
      </c>
      <c r="DQ70" s="358">
        <v>47</v>
      </c>
      <c r="DR70" s="358">
        <v>52</v>
      </c>
      <c r="DS70" s="358">
        <v>56</v>
      </c>
      <c r="DT70" s="358">
        <v>58</v>
      </c>
      <c r="DU70" s="358">
        <v>61</v>
      </c>
      <c r="DV70" s="358">
        <v>62</v>
      </c>
      <c r="DW70" s="358">
        <v>68</v>
      </c>
      <c r="DX70" s="358">
        <v>71</v>
      </c>
      <c r="DY70" s="358">
        <v>77</v>
      </c>
      <c r="DZ70" s="358">
        <v>82</v>
      </c>
      <c r="EA70" s="358">
        <v>86</v>
      </c>
      <c r="EB70" s="358">
        <v>90</v>
      </c>
      <c r="EC70" s="358">
        <v>95</v>
      </c>
      <c r="ED70" s="358">
        <v>101</v>
      </c>
      <c r="EE70" s="358">
        <v>107</v>
      </c>
      <c r="EF70" s="358">
        <v>110</v>
      </c>
      <c r="EG70" s="358">
        <v>114</v>
      </c>
      <c r="EH70" s="358">
        <v>119</v>
      </c>
      <c r="EI70" s="358">
        <v>124</v>
      </c>
      <c r="EJ70" s="358">
        <v>128</v>
      </c>
      <c r="EK70" s="358">
        <v>133</v>
      </c>
      <c r="EL70" s="358">
        <v>137</v>
      </c>
      <c r="EM70" s="358">
        <v>186</v>
      </c>
      <c r="EN70" s="358">
        <v>198</v>
      </c>
      <c r="EO70" s="358">
        <v>209</v>
      </c>
      <c r="EP70" s="358">
        <v>219</v>
      </c>
      <c r="EQ70" s="358">
        <v>226</v>
      </c>
      <c r="ES70" s="358">
        <v>238</v>
      </c>
      <c r="ET70" s="358">
        <v>243</v>
      </c>
      <c r="EU70" s="358">
        <v>252</v>
      </c>
      <c r="EV70" s="358">
        <v>258</v>
      </c>
      <c r="EW70" s="358">
        <v>182</v>
      </c>
      <c r="EX70" s="358">
        <v>193</v>
      </c>
      <c r="EY70" s="358">
        <v>204</v>
      </c>
      <c r="EZ70" s="358">
        <v>220</v>
      </c>
      <c r="FA70" s="358">
        <v>228</v>
      </c>
      <c r="FB70" s="358">
        <v>238</v>
      </c>
      <c r="FC70" s="358">
        <v>252</v>
      </c>
      <c r="FD70" s="358">
        <v>264</v>
      </c>
      <c r="FE70" s="358">
        <v>271</v>
      </c>
      <c r="FF70" s="358">
        <v>276</v>
      </c>
      <c r="FG70" s="358">
        <v>288</v>
      </c>
      <c r="FH70" s="358">
        <v>297</v>
      </c>
      <c r="FI70" s="358">
        <v>308</v>
      </c>
      <c r="FJ70" s="358">
        <v>314</v>
      </c>
      <c r="FK70" s="358">
        <v>319</v>
      </c>
      <c r="FL70" s="358">
        <v>161</v>
      </c>
      <c r="FM70" s="358">
        <v>171</v>
      </c>
      <c r="FN70" s="358">
        <v>177</v>
      </c>
      <c r="FO70" s="358">
        <v>184</v>
      </c>
      <c r="FP70" s="358">
        <v>197</v>
      </c>
      <c r="FQ70" s="358">
        <v>212</v>
      </c>
      <c r="FR70" s="358">
        <v>220</v>
      </c>
      <c r="FS70" s="358">
        <v>227</v>
      </c>
      <c r="FT70" s="358">
        <v>234</v>
      </c>
      <c r="FU70" s="358">
        <v>241</v>
      </c>
      <c r="FV70" s="358">
        <v>251</v>
      </c>
      <c r="FW70" s="358">
        <v>112</v>
      </c>
      <c r="FX70" s="358">
        <v>159</v>
      </c>
      <c r="FY70" s="358">
        <v>166</v>
      </c>
      <c r="FZ70" s="358">
        <v>194</v>
      </c>
      <c r="GA70" s="358">
        <v>263</v>
      </c>
      <c r="GB70" s="358">
        <v>299</v>
      </c>
      <c r="GC70" s="358">
        <v>71</v>
      </c>
      <c r="GD70" s="358">
        <v>107</v>
      </c>
      <c r="GE70" s="358">
        <v>136</v>
      </c>
      <c r="GF70" s="358">
        <v>208</v>
      </c>
      <c r="GG70" s="358">
        <v>52</v>
      </c>
      <c r="GH70" s="358">
        <v>64</v>
      </c>
      <c r="GI70" s="361">
        <v>90</v>
      </c>
    </row>
    <row r="71" spans="1:191">
      <c r="A71" s="336" t="s">
        <v>428</v>
      </c>
      <c r="B71" s="358">
        <v>44</v>
      </c>
      <c r="C71" s="358">
        <v>48</v>
      </c>
      <c r="D71" s="358">
        <v>50</v>
      </c>
      <c r="E71" s="358">
        <v>51</v>
      </c>
      <c r="F71" s="358">
        <v>54</v>
      </c>
      <c r="G71" s="358">
        <v>57</v>
      </c>
      <c r="H71" s="358">
        <v>60</v>
      </c>
      <c r="I71" s="358">
        <v>62</v>
      </c>
      <c r="J71" s="358">
        <v>65</v>
      </c>
      <c r="K71" s="358">
        <v>69</v>
      </c>
      <c r="L71" s="358">
        <v>71</v>
      </c>
      <c r="M71" s="358">
        <v>74</v>
      </c>
      <c r="N71" s="358">
        <v>76</v>
      </c>
      <c r="O71" s="358">
        <v>81</v>
      </c>
      <c r="P71" s="358">
        <v>87</v>
      </c>
      <c r="Q71" s="358">
        <v>89</v>
      </c>
      <c r="R71" s="358">
        <v>92</v>
      </c>
      <c r="S71" s="358">
        <v>94</v>
      </c>
      <c r="T71" s="358">
        <v>97</v>
      </c>
      <c r="U71" s="358">
        <v>100</v>
      </c>
      <c r="V71" s="358">
        <v>46</v>
      </c>
      <c r="W71" s="358">
        <v>48</v>
      </c>
      <c r="X71" s="358">
        <v>50</v>
      </c>
      <c r="Y71" s="358">
        <v>52</v>
      </c>
      <c r="Z71" s="358">
        <v>54</v>
      </c>
      <c r="AA71" s="358">
        <v>55</v>
      </c>
      <c r="AB71" s="358">
        <v>57</v>
      </c>
      <c r="AC71" s="358">
        <v>60</v>
      </c>
      <c r="AD71" s="358">
        <v>62</v>
      </c>
      <c r="AE71" s="358">
        <v>67</v>
      </c>
      <c r="AF71" s="358">
        <v>72</v>
      </c>
      <c r="AG71" s="358">
        <v>77</v>
      </c>
      <c r="AH71" s="358">
        <v>78</v>
      </c>
      <c r="AI71" s="358">
        <v>79</v>
      </c>
      <c r="AJ71" s="358">
        <v>83</v>
      </c>
      <c r="AK71" s="358">
        <v>89</v>
      </c>
      <c r="AL71" s="358">
        <v>95</v>
      </c>
      <c r="AM71" s="358">
        <v>100</v>
      </c>
      <c r="AN71" s="358">
        <v>106</v>
      </c>
      <c r="AO71" s="358">
        <v>110</v>
      </c>
      <c r="AP71" s="358">
        <v>116</v>
      </c>
      <c r="AQ71" s="358">
        <v>122</v>
      </c>
      <c r="AR71" s="358">
        <v>126</v>
      </c>
      <c r="AS71" s="358">
        <v>138</v>
      </c>
      <c r="AT71" s="358">
        <v>146</v>
      </c>
      <c r="AU71" s="358">
        <v>156</v>
      </c>
      <c r="AV71" s="358">
        <v>165</v>
      </c>
      <c r="AW71" s="358">
        <v>173</v>
      </c>
      <c r="AX71" s="358">
        <v>41</v>
      </c>
      <c r="AY71" s="358">
        <v>37</v>
      </c>
      <c r="AZ71" s="358">
        <v>36</v>
      </c>
      <c r="BA71" s="358">
        <v>35</v>
      </c>
      <c r="BB71" s="358">
        <v>34</v>
      </c>
      <c r="BC71" s="358">
        <v>31</v>
      </c>
      <c r="BD71" s="358">
        <v>27</v>
      </c>
      <c r="BE71" s="358">
        <v>25</v>
      </c>
      <c r="BF71" s="358">
        <v>24</v>
      </c>
      <c r="BG71" s="358">
        <v>21</v>
      </c>
      <c r="BH71" s="358">
        <v>20</v>
      </c>
      <c r="BI71" s="358">
        <v>19</v>
      </c>
      <c r="BJ71" s="358">
        <v>17</v>
      </c>
      <c r="BK71" s="358">
        <v>16</v>
      </c>
      <c r="BL71" s="358">
        <v>15</v>
      </c>
      <c r="BM71" s="358">
        <v>13</v>
      </c>
      <c r="BN71" s="358">
        <v>12</v>
      </c>
      <c r="BO71" s="358">
        <v>9</v>
      </c>
      <c r="BP71" s="358">
        <v>4</v>
      </c>
      <c r="BR71" s="358">
        <v>10</v>
      </c>
      <c r="BS71" s="358">
        <v>17</v>
      </c>
      <c r="BT71" s="358">
        <v>21</v>
      </c>
      <c r="BU71" s="358">
        <v>24</v>
      </c>
      <c r="BV71" s="358">
        <v>43</v>
      </c>
      <c r="BW71" s="358">
        <v>44</v>
      </c>
      <c r="BX71" s="358">
        <v>47</v>
      </c>
      <c r="BY71" s="358">
        <v>51</v>
      </c>
      <c r="BZ71" s="358">
        <v>56</v>
      </c>
      <c r="CA71" s="358">
        <v>60</v>
      </c>
      <c r="CB71" s="358">
        <v>67</v>
      </c>
      <c r="CC71" s="358">
        <v>72</v>
      </c>
      <c r="CD71" s="358">
        <v>75</v>
      </c>
      <c r="CE71" s="358">
        <v>79</v>
      </c>
      <c r="CF71" s="358">
        <v>81</v>
      </c>
      <c r="CG71" s="358">
        <v>88</v>
      </c>
      <c r="CH71" s="358">
        <v>90</v>
      </c>
      <c r="CI71" s="358">
        <v>94</v>
      </c>
      <c r="CJ71" s="358">
        <v>97</v>
      </c>
      <c r="CK71" s="358">
        <v>104</v>
      </c>
      <c r="CL71" s="358">
        <v>110</v>
      </c>
      <c r="CM71" s="358">
        <v>114</v>
      </c>
      <c r="CN71" s="358">
        <v>119</v>
      </c>
      <c r="CO71" s="358">
        <v>126</v>
      </c>
      <c r="CP71" s="358">
        <v>137</v>
      </c>
      <c r="CQ71" s="358">
        <v>150</v>
      </c>
      <c r="CR71" s="358">
        <v>155</v>
      </c>
      <c r="CS71" s="358">
        <v>50</v>
      </c>
      <c r="CT71" s="358">
        <v>55</v>
      </c>
      <c r="CU71" s="358">
        <v>61</v>
      </c>
      <c r="CV71" s="358">
        <v>67</v>
      </c>
      <c r="CW71" s="358">
        <v>73</v>
      </c>
      <c r="CX71" s="358">
        <v>78</v>
      </c>
      <c r="CY71" s="358">
        <v>85</v>
      </c>
      <c r="CZ71" s="358">
        <v>88</v>
      </c>
      <c r="DA71" s="358">
        <v>92</v>
      </c>
      <c r="DB71" s="358">
        <v>97</v>
      </c>
      <c r="DC71" s="358">
        <v>108</v>
      </c>
      <c r="DD71" s="358">
        <v>118</v>
      </c>
      <c r="DE71" s="358">
        <v>122</v>
      </c>
      <c r="DF71" s="358">
        <v>128</v>
      </c>
      <c r="DG71" s="358">
        <v>137</v>
      </c>
      <c r="DH71" s="358">
        <v>142</v>
      </c>
      <c r="DI71" s="358">
        <v>149</v>
      </c>
      <c r="DJ71" s="358">
        <v>158</v>
      </c>
      <c r="DK71" s="358">
        <v>165</v>
      </c>
      <c r="DL71" s="358">
        <v>173</v>
      </c>
      <c r="DM71" s="358">
        <v>185</v>
      </c>
      <c r="DN71" s="358">
        <v>188</v>
      </c>
      <c r="DO71" s="358">
        <v>199</v>
      </c>
      <c r="DP71" s="358">
        <v>208</v>
      </c>
      <c r="DQ71" s="358">
        <v>51</v>
      </c>
      <c r="DR71" s="358">
        <v>56</v>
      </c>
      <c r="DS71" s="358">
        <v>60</v>
      </c>
      <c r="DT71" s="358">
        <v>62</v>
      </c>
      <c r="DU71" s="358">
        <v>65</v>
      </c>
      <c r="DV71" s="358">
        <v>66</v>
      </c>
      <c r="DW71" s="358">
        <v>72</v>
      </c>
      <c r="DX71" s="358">
        <v>75</v>
      </c>
      <c r="DY71" s="358">
        <v>81</v>
      </c>
      <c r="DZ71" s="358">
        <v>86</v>
      </c>
      <c r="EA71" s="358">
        <v>90</v>
      </c>
      <c r="EB71" s="358">
        <v>94</v>
      </c>
      <c r="EC71" s="358">
        <v>99</v>
      </c>
      <c r="ED71" s="358">
        <v>105</v>
      </c>
      <c r="EE71" s="358">
        <v>111</v>
      </c>
      <c r="EF71" s="358">
        <v>114</v>
      </c>
      <c r="EG71" s="358">
        <v>118</v>
      </c>
      <c r="EH71" s="358">
        <v>123</v>
      </c>
      <c r="EI71" s="358">
        <v>128</v>
      </c>
      <c r="EJ71" s="358">
        <v>132</v>
      </c>
      <c r="EK71" s="358">
        <v>137</v>
      </c>
      <c r="EL71" s="358">
        <v>141</v>
      </c>
      <c r="EM71" s="358">
        <v>190</v>
      </c>
      <c r="EN71" s="358">
        <v>202</v>
      </c>
      <c r="EO71" s="358">
        <v>213</v>
      </c>
      <c r="EP71" s="358">
        <v>223</v>
      </c>
      <c r="EQ71" s="358">
        <v>230</v>
      </c>
      <c r="ES71" s="358">
        <v>242</v>
      </c>
      <c r="ET71" s="358">
        <v>247</v>
      </c>
      <c r="EU71" s="358">
        <v>256</v>
      </c>
      <c r="EV71" s="358">
        <v>262</v>
      </c>
      <c r="EW71" s="358">
        <v>186</v>
      </c>
      <c r="EX71" s="358">
        <v>197</v>
      </c>
      <c r="EY71" s="358">
        <v>208</v>
      </c>
      <c r="EZ71" s="358">
        <v>224</v>
      </c>
      <c r="FA71" s="358">
        <v>232</v>
      </c>
      <c r="FB71" s="358">
        <v>242</v>
      </c>
      <c r="FC71" s="358">
        <v>256</v>
      </c>
      <c r="FD71" s="358">
        <v>268</v>
      </c>
      <c r="FE71" s="358">
        <v>275</v>
      </c>
      <c r="FF71" s="358">
        <v>280</v>
      </c>
      <c r="FG71" s="358">
        <v>292</v>
      </c>
      <c r="FH71" s="358">
        <v>301</v>
      </c>
      <c r="FI71" s="358">
        <v>312</v>
      </c>
      <c r="FJ71" s="358">
        <v>318</v>
      </c>
      <c r="FK71" s="358">
        <v>323</v>
      </c>
      <c r="FL71" s="358">
        <v>165</v>
      </c>
      <c r="FM71" s="358">
        <v>175</v>
      </c>
      <c r="FN71" s="358">
        <v>181</v>
      </c>
      <c r="FO71" s="358">
        <v>188</v>
      </c>
      <c r="FP71" s="358">
        <v>201</v>
      </c>
      <c r="FQ71" s="358">
        <v>216</v>
      </c>
      <c r="FR71" s="358">
        <v>224</v>
      </c>
      <c r="FS71" s="358">
        <v>231</v>
      </c>
      <c r="FT71" s="358">
        <v>238</v>
      </c>
      <c r="FU71" s="358">
        <v>245</v>
      </c>
      <c r="FV71" s="358">
        <v>255</v>
      </c>
      <c r="FW71" s="358">
        <v>116</v>
      </c>
      <c r="FX71" s="358">
        <v>163</v>
      </c>
      <c r="FY71" s="358">
        <v>170</v>
      </c>
      <c r="FZ71" s="358">
        <v>198</v>
      </c>
      <c r="GA71" s="358">
        <v>267</v>
      </c>
      <c r="GB71" s="358">
        <v>303</v>
      </c>
      <c r="GC71" s="358">
        <v>67</v>
      </c>
      <c r="GD71" s="358">
        <v>103</v>
      </c>
      <c r="GE71" s="358">
        <v>132</v>
      </c>
      <c r="GF71" s="358">
        <v>212</v>
      </c>
      <c r="GG71" s="358">
        <v>48</v>
      </c>
      <c r="GH71" s="358">
        <v>60</v>
      </c>
      <c r="GI71" s="361">
        <v>86</v>
      </c>
    </row>
    <row r="72" spans="1:191">
      <c r="A72" s="336" t="s">
        <v>427</v>
      </c>
      <c r="B72" s="358">
        <v>54</v>
      </c>
      <c r="C72" s="358">
        <v>58</v>
      </c>
      <c r="D72" s="358">
        <v>60</v>
      </c>
      <c r="E72" s="358">
        <v>61</v>
      </c>
      <c r="F72" s="358">
        <v>64</v>
      </c>
      <c r="G72" s="358">
        <v>67</v>
      </c>
      <c r="H72" s="358">
        <v>70</v>
      </c>
      <c r="I72" s="358">
        <v>72</v>
      </c>
      <c r="J72" s="358">
        <v>75</v>
      </c>
      <c r="K72" s="358">
        <v>79</v>
      </c>
      <c r="L72" s="358">
        <v>81</v>
      </c>
      <c r="M72" s="358">
        <v>84</v>
      </c>
      <c r="N72" s="358">
        <v>86</v>
      </c>
      <c r="O72" s="358">
        <v>91</v>
      </c>
      <c r="P72" s="358">
        <v>97</v>
      </c>
      <c r="Q72" s="358">
        <v>99</v>
      </c>
      <c r="R72" s="358">
        <v>102</v>
      </c>
      <c r="S72" s="358">
        <v>104</v>
      </c>
      <c r="T72" s="358">
        <v>107</v>
      </c>
      <c r="U72" s="358">
        <v>110</v>
      </c>
      <c r="V72" s="358">
        <v>56</v>
      </c>
      <c r="W72" s="358">
        <v>58</v>
      </c>
      <c r="X72" s="358">
        <v>60</v>
      </c>
      <c r="Y72" s="358">
        <v>62</v>
      </c>
      <c r="Z72" s="358">
        <v>64</v>
      </c>
      <c r="AA72" s="358">
        <v>65</v>
      </c>
      <c r="AB72" s="358">
        <v>67</v>
      </c>
      <c r="AC72" s="358">
        <v>70</v>
      </c>
      <c r="AD72" s="358">
        <v>72</v>
      </c>
      <c r="AE72" s="358">
        <v>77</v>
      </c>
      <c r="AF72" s="358">
        <v>82</v>
      </c>
      <c r="AG72" s="358">
        <v>87</v>
      </c>
      <c r="AH72" s="358">
        <v>88</v>
      </c>
      <c r="AI72" s="358">
        <v>89</v>
      </c>
      <c r="AJ72" s="358">
        <v>93</v>
      </c>
      <c r="AK72" s="358">
        <v>99</v>
      </c>
      <c r="AL72" s="358">
        <v>105</v>
      </c>
      <c r="AM72" s="358">
        <v>110</v>
      </c>
      <c r="AN72" s="358">
        <v>116</v>
      </c>
      <c r="AO72" s="358">
        <v>120</v>
      </c>
      <c r="AP72" s="358">
        <v>126</v>
      </c>
      <c r="AQ72" s="358">
        <v>132</v>
      </c>
      <c r="AR72" s="358">
        <v>136</v>
      </c>
      <c r="AS72" s="358">
        <v>148</v>
      </c>
      <c r="AT72" s="358">
        <v>156</v>
      </c>
      <c r="AU72" s="358">
        <v>166</v>
      </c>
      <c r="AV72" s="358">
        <v>175</v>
      </c>
      <c r="AW72" s="358">
        <v>183</v>
      </c>
      <c r="AX72" s="358">
        <v>51</v>
      </c>
      <c r="AY72" s="358">
        <v>47</v>
      </c>
      <c r="AZ72" s="358">
        <v>46</v>
      </c>
      <c r="BA72" s="358">
        <v>45</v>
      </c>
      <c r="BB72" s="358">
        <v>44</v>
      </c>
      <c r="BC72" s="358">
        <v>41</v>
      </c>
      <c r="BD72" s="358">
        <v>37</v>
      </c>
      <c r="BE72" s="358">
        <v>35</v>
      </c>
      <c r="BF72" s="358">
        <v>34</v>
      </c>
      <c r="BG72" s="358">
        <v>31</v>
      </c>
      <c r="BH72" s="358">
        <v>30</v>
      </c>
      <c r="BI72" s="358">
        <v>29</v>
      </c>
      <c r="BJ72" s="358">
        <v>27</v>
      </c>
      <c r="BK72" s="358">
        <v>26</v>
      </c>
      <c r="BL72" s="358">
        <v>25</v>
      </c>
      <c r="BM72" s="358">
        <v>23</v>
      </c>
      <c r="BN72" s="358">
        <v>22</v>
      </c>
      <c r="BO72" s="358">
        <v>19</v>
      </c>
      <c r="BP72" s="358">
        <v>14</v>
      </c>
      <c r="BQ72" s="358">
        <v>10</v>
      </c>
      <c r="BS72" s="358">
        <v>7</v>
      </c>
      <c r="BT72" s="358">
        <v>11</v>
      </c>
      <c r="BU72" s="358">
        <v>14</v>
      </c>
      <c r="BV72" s="358">
        <v>53</v>
      </c>
      <c r="BW72" s="358">
        <v>54</v>
      </c>
      <c r="BX72" s="358">
        <v>57</v>
      </c>
      <c r="BY72" s="358">
        <v>61</v>
      </c>
      <c r="BZ72" s="358">
        <v>66</v>
      </c>
      <c r="CA72" s="358">
        <v>70</v>
      </c>
      <c r="CB72" s="358">
        <v>77</v>
      </c>
      <c r="CC72" s="358">
        <v>82</v>
      </c>
      <c r="CD72" s="358">
        <v>85</v>
      </c>
      <c r="CE72" s="358">
        <v>89</v>
      </c>
      <c r="CF72" s="358">
        <v>91</v>
      </c>
      <c r="CG72" s="358">
        <v>98</v>
      </c>
      <c r="CH72" s="358">
        <v>100</v>
      </c>
      <c r="CI72" s="358">
        <v>104</v>
      </c>
      <c r="CJ72" s="358">
        <v>107</v>
      </c>
      <c r="CK72" s="358">
        <v>114</v>
      </c>
      <c r="CL72" s="358">
        <v>120</v>
      </c>
      <c r="CM72" s="358">
        <v>124</v>
      </c>
      <c r="CN72" s="358">
        <v>129</v>
      </c>
      <c r="CO72" s="358">
        <v>136</v>
      </c>
      <c r="CP72" s="358">
        <v>147</v>
      </c>
      <c r="CQ72" s="358">
        <v>160</v>
      </c>
      <c r="CR72" s="358">
        <v>165</v>
      </c>
      <c r="CS72" s="358">
        <v>60</v>
      </c>
      <c r="CT72" s="358">
        <v>65</v>
      </c>
      <c r="CU72" s="358">
        <v>71</v>
      </c>
      <c r="CV72" s="358">
        <v>77</v>
      </c>
      <c r="CW72" s="358">
        <v>83</v>
      </c>
      <c r="CX72" s="358">
        <v>88</v>
      </c>
      <c r="CY72" s="358">
        <v>95</v>
      </c>
      <c r="CZ72" s="358">
        <v>98</v>
      </c>
      <c r="DA72" s="358">
        <v>102</v>
      </c>
      <c r="DB72" s="358">
        <v>107</v>
      </c>
      <c r="DC72" s="358">
        <v>118</v>
      </c>
      <c r="DD72" s="358">
        <v>128</v>
      </c>
      <c r="DE72" s="358">
        <v>132</v>
      </c>
      <c r="DF72" s="358">
        <v>138</v>
      </c>
      <c r="DG72" s="358">
        <v>147</v>
      </c>
      <c r="DH72" s="358">
        <v>152</v>
      </c>
      <c r="DI72" s="358">
        <v>159</v>
      </c>
      <c r="DJ72" s="358">
        <v>168</v>
      </c>
      <c r="DK72" s="358">
        <v>175</v>
      </c>
      <c r="DL72" s="358">
        <v>183</v>
      </c>
      <c r="DM72" s="358">
        <v>195</v>
      </c>
      <c r="DN72" s="358">
        <v>198</v>
      </c>
      <c r="DO72" s="358">
        <v>209</v>
      </c>
      <c r="DP72" s="358">
        <v>218</v>
      </c>
      <c r="DQ72" s="358">
        <v>61</v>
      </c>
      <c r="DR72" s="358">
        <v>66</v>
      </c>
      <c r="DS72" s="358">
        <v>70</v>
      </c>
      <c r="DT72" s="358">
        <v>72</v>
      </c>
      <c r="DU72" s="358">
        <v>75</v>
      </c>
      <c r="DV72" s="358">
        <v>76</v>
      </c>
      <c r="DW72" s="358">
        <v>82</v>
      </c>
      <c r="DX72" s="358">
        <v>85</v>
      </c>
      <c r="DY72" s="358">
        <v>91</v>
      </c>
      <c r="DZ72" s="358">
        <v>96</v>
      </c>
      <c r="EA72" s="358">
        <v>100</v>
      </c>
      <c r="EB72" s="358">
        <v>104</v>
      </c>
      <c r="EC72" s="358">
        <v>109</v>
      </c>
      <c r="ED72" s="358">
        <v>115</v>
      </c>
      <c r="EE72" s="358">
        <v>121</v>
      </c>
      <c r="EF72" s="358">
        <v>124</v>
      </c>
      <c r="EG72" s="358">
        <v>128</v>
      </c>
      <c r="EH72" s="358">
        <v>133</v>
      </c>
      <c r="EI72" s="358">
        <v>138</v>
      </c>
      <c r="EJ72" s="358">
        <v>142</v>
      </c>
      <c r="EK72" s="358">
        <v>147</v>
      </c>
      <c r="EL72" s="358">
        <v>151</v>
      </c>
      <c r="EM72" s="358">
        <v>200</v>
      </c>
      <c r="EN72" s="358">
        <v>212</v>
      </c>
      <c r="EO72" s="358">
        <v>223</v>
      </c>
      <c r="EP72" s="358">
        <v>233</v>
      </c>
      <c r="EQ72" s="358">
        <v>240</v>
      </c>
      <c r="ES72" s="358">
        <v>252</v>
      </c>
      <c r="ET72" s="358">
        <v>257</v>
      </c>
      <c r="EU72" s="358">
        <v>266</v>
      </c>
      <c r="EV72" s="358">
        <v>272</v>
      </c>
      <c r="EW72" s="358">
        <v>196</v>
      </c>
      <c r="EX72" s="358">
        <v>207</v>
      </c>
      <c r="EY72" s="358">
        <v>218</v>
      </c>
      <c r="EZ72" s="358">
        <v>234</v>
      </c>
      <c r="FA72" s="358">
        <v>242</v>
      </c>
      <c r="FB72" s="358">
        <v>252</v>
      </c>
      <c r="FC72" s="358">
        <v>266</v>
      </c>
      <c r="FD72" s="358">
        <v>278</v>
      </c>
      <c r="FE72" s="358">
        <v>285</v>
      </c>
      <c r="FF72" s="358">
        <v>290</v>
      </c>
      <c r="FG72" s="358">
        <v>302</v>
      </c>
      <c r="FH72" s="358">
        <v>311</v>
      </c>
      <c r="FI72" s="358">
        <v>322</v>
      </c>
      <c r="FJ72" s="358">
        <v>328</v>
      </c>
      <c r="FK72" s="358">
        <v>333</v>
      </c>
      <c r="FL72" s="358">
        <v>175</v>
      </c>
      <c r="FM72" s="358">
        <v>185</v>
      </c>
      <c r="FN72" s="358">
        <v>191</v>
      </c>
      <c r="FO72" s="358">
        <v>198</v>
      </c>
      <c r="FP72" s="358">
        <v>211</v>
      </c>
      <c r="FQ72" s="358">
        <v>226</v>
      </c>
      <c r="FR72" s="358">
        <v>234</v>
      </c>
      <c r="FS72" s="358">
        <v>241</v>
      </c>
      <c r="FT72" s="358">
        <v>248</v>
      </c>
      <c r="FU72" s="358">
        <v>255</v>
      </c>
      <c r="FV72" s="358">
        <v>265</v>
      </c>
      <c r="FW72" s="358">
        <v>126</v>
      </c>
      <c r="FX72" s="358">
        <v>173</v>
      </c>
      <c r="FY72" s="358">
        <v>180</v>
      </c>
      <c r="FZ72" s="358">
        <v>208</v>
      </c>
      <c r="GA72" s="358">
        <v>277</v>
      </c>
      <c r="GB72" s="358">
        <v>313</v>
      </c>
      <c r="GC72" s="358">
        <v>57</v>
      </c>
      <c r="GD72" s="358">
        <v>93</v>
      </c>
      <c r="GE72" s="358">
        <v>122</v>
      </c>
      <c r="GF72" s="358">
        <v>222</v>
      </c>
      <c r="GG72" s="358">
        <v>38</v>
      </c>
      <c r="GH72" s="358">
        <v>50</v>
      </c>
      <c r="GI72" s="361">
        <v>76</v>
      </c>
    </row>
    <row r="73" spans="1:191">
      <c r="A73" s="336" t="s">
        <v>426</v>
      </c>
      <c r="B73" s="358">
        <v>61</v>
      </c>
      <c r="C73" s="358">
        <v>65</v>
      </c>
      <c r="D73" s="358">
        <v>67</v>
      </c>
      <c r="E73" s="358">
        <v>68</v>
      </c>
      <c r="F73" s="358">
        <v>71</v>
      </c>
      <c r="G73" s="358">
        <v>74</v>
      </c>
      <c r="H73" s="358">
        <v>77</v>
      </c>
      <c r="I73" s="358">
        <v>79</v>
      </c>
      <c r="J73" s="358">
        <v>82</v>
      </c>
      <c r="K73" s="358">
        <v>86</v>
      </c>
      <c r="L73" s="358">
        <v>88</v>
      </c>
      <c r="M73" s="358">
        <v>91</v>
      </c>
      <c r="N73" s="358">
        <v>93</v>
      </c>
      <c r="O73" s="358">
        <v>98</v>
      </c>
      <c r="P73" s="358">
        <v>104</v>
      </c>
      <c r="Q73" s="358">
        <v>106</v>
      </c>
      <c r="R73" s="358">
        <v>109</v>
      </c>
      <c r="S73" s="358">
        <v>111</v>
      </c>
      <c r="T73" s="358">
        <v>114</v>
      </c>
      <c r="U73" s="358">
        <v>117</v>
      </c>
      <c r="V73" s="358">
        <v>63</v>
      </c>
      <c r="W73" s="358">
        <v>65</v>
      </c>
      <c r="X73" s="358">
        <v>67</v>
      </c>
      <c r="Y73" s="358">
        <v>69</v>
      </c>
      <c r="Z73" s="358">
        <v>71</v>
      </c>
      <c r="AA73" s="358">
        <v>72</v>
      </c>
      <c r="AB73" s="358">
        <v>74</v>
      </c>
      <c r="AC73" s="358">
        <v>77</v>
      </c>
      <c r="AD73" s="358">
        <v>79</v>
      </c>
      <c r="AE73" s="358">
        <v>84</v>
      </c>
      <c r="AF73" s="358">
        <v>89</v>
      </c>
      <c r="AG73" s="358">
        <v>94</v>
      </c>
      <c r="AH73" s="358">
        <v>95</v>
      </c>
      <c r="AI73" s="358">
        <v>96</v>
      </c>
      <c r="AJ73" s="358">
        <v>100</v>
      </c>
      <c r="AK73" s="358">
        <v>106</v>
      </c>
      <c r="AL73" s="358">
        <v>112</v>
      </c>
      <c r="AM73" s="358">
        <v>117</v>
      </c>
      <c r="AN73" s="358">
        <v>123</v>
      </c>
      <c r="AO73" s="358">
        <v>127</v>
      </c>
      <c r="AP73" s="358">
        <v>133</v>
      </c>
      <c r="AQ73" s="358">
        <v>139</v>
      </c>
      <c r="AR73" s="358">
        <v>143</v>
      </c>
      <c r="AS73" s="358">
        <v>155</v>
      </c>
      <c r="AT73" s="358">
        <v>163</v>
      </c>
      <c r="AU73" s="358">
        <v>173</v>
      </c>
      <c r="AV73" s="358">
        <v>182</v>
      </c>
      <c r="AW73" s="358">
        <v>190</v>
      </c>
      <c r="AX73" s="358">
        <v>58</v>
      </c>
      <c r="AY73" s="358">
        <v>54</v>
      </c>
      <c r="AZ73" s="358">
        <v>53</v>
      </c>
      <c r="BA73" s="358">
        <v>52</v>
      </c>
      <c r="BB73" s="358">
        <v>51</v>
      </c>
      <c r="BC73" s="358">
        <v>48</v>
      </c>
      <c r="BD73" s="358">
        <v>44</v>
      </c>
      <c r="BE73" s="358">
        <v>42</v>
      </c>
      <c r="BF73" s="358">
        <v>41</v>
      </c>
      <c r="BG73" s="358">
        <v>38</v>
      </c>
      <c r="BH73" s="358">
        <v>37</v>
      </c>
      <c r="BI73" s="358">
        <v>36</v>
      </c>
      <c r="BJ73" s="358">
        <v>34</v>
      </c>
      <c r="BK73" s="358">
        <v>33</v>
      </c>
      <c r="BL73" s="358">
        <v>32</v>
      </c>
      <c r="BM73" s="358">
        <v>30</v>
      </c>
      <c r="BN73" s="358">
        <v>29</v>
      </c>
      <c r="BO73" s="358">
        <v>26</v>
      </c>
      <c r="BP73" s="358">
        <v>21</v>
      </c>
      <c r="BQ73" s="358">
        <v>17</v>
      </c>
      <c r="BR73" s="358">
        <v>7</v>
      </c>
      <c r="BT73" s="358">
        <v>4</v>
      </c>
      <c r="BU73" s="358">
        <v>7</v>
      </c>
      <c r="BV73" s="358">
        <v>60</v>
      </c>
      <c r="BW73" s="358">
        <v>61</v>
      </c>
      <c r="BX73" s="358">
        <v>64</v>
      </c>
      <c r="BY73" s="358">
        <v>68</v>
      </c>
      <c r="BZ73" s="358">
        <v>73</v>
      </c>
      <c r="CA73" s="358">
        <v>77</v>
      </c>
      <c r="CB73" s="358">
        <v>84</v>
      </c>
      <c r="CC73" s="358">
        <v>89</v>
      </c>
      <c r="CD73" s="358">
        <v>92</v>
      </c>
      <c r="CE73" s="358">
        <v>96</v>
      </c>
      <c r="CF73" s="358">
        <v>98</v>
      </c>
      <c r="CG73" s="358">
        <v>105</v>
      </c>
      <c r="CH73" s="358">
        <v>107</v>
      </c>
      <c r="CI73" s="358">
        <v>111</v>
      </c>
      <c r="CJ73" s="358">
        <v>114</v>
      </c>
      <c r="CK73" s="358">
        <v>121</v>
      </c>
      <c r="CL73" s="358">
        <v>127</v>
      </c>
      <c r="CM73" s="358">
        <v>131</v>
      </c>
      <c r="CN73" s="358">
        <v>136</v>
      </c>
      <c r="CO73" s="358">
        <v>143</v>
      </c>
      <c r="CP73" s="358">
        <v>154</v>
      </c>
      <c r="CQ73" s="358">
        <v>167</v>
      </c>
      <c r="CR73" s="358">
        <v>172</v>
      </c>
      <c r="CS73" s="358">
        <v>67</v>
      </c>
      <c r="CT73" s="358">
        <v>72</v>
      </c>
      <c r="CU73" s="358">
        <v>78</v>
      </c>
      <c r="CV73" s="358">
        <v>84</v>
      </c>
      <c r="CW73" s="358">
        <v>90</v>
      </c>
      <c r="CX73" s="358">
        <v>95</v>
      </c>
      <c r="CY73" s="358">
        <v>102</v>
      </c>
      <c r="CZ73" s="358">
        <v>105</v>
      </c>
      <c r="DA73" s="358">
        <v>109</v>
      </c>
      <c r="DB73" s="358">
        <v>114</v>
      </c>
      <c r="DC73" s="358">
        <v>125</v>
      </c>
      <c r="DD73" s="358">
        <v>135</v>
      </c>
      <c r="DE73" s="358">
        <v>139</v>
      </c>
      <c r="DF73" s="358">
        <v>145</v>
      </c>
      <c r="DG73" s="358">
        <v>154</v>
      </c>
      <c r="DH73" s="358">
        <v>159</v>
      </c>
      <c r="DI73" s="358">
        <v>166</v>
      </c>
      <c r="DJ73" s="358">
        <v>175</v>
      </c>
      <c r="DK73" s="358">
        <v>182</v>
      </c>
      <c r="DL73" s="358">
        <v>190</v>
      </c>
      <c r="DM73" s="358">
        <v>202</v>
      </c>
      <c r="DN73" s="358">
        <v>205</v>
      </c>
      <c r="DO73" s="358">
        <v>216</v>
      </c>
      <c r="DP73" s="358">
        <v>225</v>
      </c>
      <c r="DQ73" s="358">
        <v>68</v>
      </c>
      <c r="DR73" s="358">
        <v>73</v>
      </c>
      <c r="DS73" s="358">
        <v>77</v>
      </c>
      <c r="DT73" s="358">
        <v>79</v>
      </c>
      <c r="DU73" s="358">
        <v>82</v>
      </c>
      <c r="DV73" s="358">
        <v>83</v>
      </c>
      <c r="DW73" s="358">
        <v>89</v>
      </c>
      <c r="DX73" s="358">
        <v>92</v>
      </c>
      <c r="DY73" s="358">
        <v>98</v>
      </c>
      <c r="DZ73" s="358">
        <v>103</v>
      </c>
      <c r="EA73" s="358">
        <v>107</v>
      </c>
      <c r="EB73" s="358">
        <v>111</v>
      </c>
      <c r="EC73" s="358">
        <v>116</v>
      </c>
      <c r="ED73" s="358">
        <v>122</v>
      </c>
      <c r="EE73" s="358">
        <v>128</v>
      </c>
      <c r="EF73" s="358">
        <v>131</v>
      </c>
      <c r="EG73" s="358">
        <v>135</v>
      </c>
      <c r="EH73" s="358">
        <v>140</v>
      </c>
      <c r="EI73" s="358">
        <v>145</v>
      </c>
      <c r="EJ73" s="358">
        <v>149</v>
      </c>
      <c r="EK73" s="358">
        <v>154</v>
      </c>
      <c r="EL73" s="358">
        <v>158</v>
      </c>
      <c r="EM73" s="358">
        <v>207</v>
      </c>
      <c r="EN73" s="358">
        <v>219</v>
      </c>
      <c r="EO73" s="358">
        <v>230</v>
      </c>
      <c r="EP73" s="358">
        <v>240</v>
      </c>
      <c r="EQ73" s="358">
        <v>247</v>
      </c>
      <c r="ES73" s="358">
        <v>259</v>
      </c>
      <c r="ET73" s="358">
        <v>264</v>
      </c>
      <c r="EU73" s="358">
        <v>273</v>
      </c>
      <c r="EV73" s="358">
        <v>279</v>
      </c>
      <c r="EW73" s="358">
        <v>203</v>
      </c>
      <c r="EX73" s="358">
        <v>214</v>
      </c>
      <c r="EY73" s="358">
        <v>225</v>
      </c>
      <c r="EZ73" s="358">
        <v>241</v>
      </c>
      <c r="FA73" s="358">
        <v>249</v>
      </c>
      <c r="FB73" s="358">
        <v>259</v>
      </c>
      <c r="FC73" s="358">
        <v>273</v>
      </c>
      <c r="FD73" s="358">
        <v>285</v>
      </c>
      <c r="FE73" s="358">
        <v>292</v>
      </c>
      <c r="FF73" s="358">
        <v>297</v>
      </c>
      <c r="FG73" s="358">
        <v>309</v>
      </c>
      <c r="FH73" s="358">
        <v>318</v>
      </c>
      <c r="FI73" s="358">
        <v>329</v>
      </c>
      <c r="FJ73" s="358">
        <v>335</v>
      </c>
      <c r="FK73" s="358">
        <v>340</v>
      </c>
      <c r="FL73" s="358">
        <v>182</v>
      </c>
      <c r="FM73" s="358">
        <v>192</v>
      </c>
      <c r="FN73" s="358">
        <v>198</v>
      </c>
      <c r="FO73" s="358">
        <v>205</v>
      </c>
      <c r="FP73" s="358">
        <v>218</v>
      </c>
      <c r="FQ73" s="358">
        <v>233</v>
      </c>
      <c r="FR73" s="358">
        <v>241</v>
      </c>
      <c r="FS73" s="358">
        <v>248</v>
      </c>
      <c r="FT73" s="358">
        <v>255</v>
      </c>
      <c r="FU73" s="358">
        <v>262</v>
      </c>
      <c r="FV73" s="358">
        <v>272</v>
      </c>
      <c r="FW73" s="358">
        <v>133</v>
      </c>
      <c r="FX73" s="358">
        <v>180</v>
      </c>
      <c r="FY73" s="358">
        <v>187</v>
      </c>
      <c r="FZ73" s="358">
        <v>215</v>
      </c>
      <c r="GA73" s="358">
        <v>284</v>
      </c>
      <c r="GB73" s="358">
        <v>320</v>
      </c>
      <c r="GC73" s="358">
        <v>50</v>
      </c>
      <c r="GD73" s="358">
        <v>86</v>
      </c>
      <c r="GE73" s="358">
        <v>115</v>
      </c>
      <c r="GF73" s="358">
        <v>229</v>
      </c>
      <c r="GG73" s="358">
        <v>31</v>
      </c>
      <c r="GH73" s="358">
        <v>43</v>
      </c>
      <c r="GI73" s="361">
        <v>69</v>
      </c>
    </row>
    <row r="74" spans="1:191">
      <c r="A74" s="336" t="s">
        <v>425</v>
      </c>
      <c r="B74" s="358">
        <v>65</v>
      </c>
      <c r="C74" s="358">
        <v>69</v>
      </c>
      <c r="D74" s="358">
        <v>71</v>
      </c>
      <c r="E74" s="358">
        <v>72</v>
      </c>
      <c r="F74" s="358">
        <v>75</v>
      </c>
      <c r="G74" s="358">
        <v>78</v>
      </c>
      <c r="H74" s="358">
        <v>81</v>
      </c>
      <c r="I74" s="358">
        <v>83</v>
      </c>
      <c r="J74" s="358">
        <v>86</v>
      </c>
      <c r="K74" s="358">
        <v>90</v>
      </c>
      <c r="L74" s="358">
        <v>92</v>
      </c>
      <c r="M74" s="358">
        <v>95</v>
      </c>
      <c r="N74" s="358">
        <v>97</v>
      </c>
      <c r="O74" s="358">
        <v>102</v>
      </c>
      <c r="P74" s="358">
        <v>108</v>
      </c>
      <c r="Q74" s="358">
        <v>110</v>
      </c>
      <c r="R74" s="358">
        <v>113</v>
      </c>
      <c r="S74" s="358">
        <v>115</v>
      </c>
      <c r="T74" s="358">
        <v>118</v>
      </c>
      <c r="U74" s="358">
        <v>121</v>
      </c>
      <c r="V74" s="358">
        <v>67</v>
      </c>
      <c r="W74" s="358">
        <v>69</v>
      </c>
      <c r="X74" s="358">
        <v>71</v>
      </c>
      <c r="Y74" s="358">
        <v>73</v>
      </c>
      <c r="Z74" s="358">
        <v>75</v>
      </c>
      <c r="AA74" s="358">
        <v>76</v>
      </c>
      <c r="AB74" s="358">
        <v>78</v>
      </c>
      <c r="AC74" s="358">
        <v>81</v>
      </c>
      <c r="AD74" s="358">
        <v>83</v>
      </c>
      <c r="AE74" s="358">
        <v>88</v>
      </c>
      <c r="AF74" s="358">
        <v>93</v>
      </c>
      <c r="AG74" s="358">
        <v>98</v>
      </c>
      <c r="AH74" s="358">
        <v>99</v>
      </c>
      <c r="AI74" s="358">
        <v>100</v>
      </c>
      <c r="AJ74" s="358">
        <v>104</v>
      </c>
      <c r="AK74" s="358">
        <v>110</v>
      </c>
      <c r="AL74" s="358">
        <v>116</v>
      </c>
      <c r="AM74" s="358">
        <v>121</v>
      </c>
      <c r="AN74" s="358">
        <v>127</v>
      </c>
      <c r="AO74" s="358">
        <v>131</v>
      </c>
      <c r="AP74" s="358">
        <v>137</v>
      </c>
      <c r="AQ74" s="358">
        <v>143</v>
      </c>
      <c r="AR74" s="358">
        <v>147</v>
      </c>
      <c r="AS74" s="358">
        <v>159</v>
      </c>
      <c r="AT74" s="358">
        <v>167</v>
      </c>
      <c r="AU74" s="358">
        <v>177</v>
      </c>
      <c r="AV74" s="358">
        <v>186</v>
      </c>
      <c r="AW74" s="358">
        <v>194</v>
      </c>
      <c r="AX74" s="358">
        <v>62</v>
      </c>
      <c r="AY74" s="358">
        <v>58</v>
      </c>
      <c r="AZ74" s="358">
        <v>57</v>
      </c>
      <c r="BA74" s="358">
        <v>56</v>
      </c>
      <c r="BB74" s="358">
        <v>55</v>
      </c>
      <c r="BC74" s="358">
        <v>52</v>
      </c>
      <c r="BD74" s="358">
        <v>48</v>
      </c>
      <c r="BE74" s="358">
        <v>46</v>
      </c>
      <c r="BF74" s="358">
        <v>45</v>
      </c>
      <c r="BG74" s="358">
        <v>42</v>
      </c>
      <c r="BH74" s="358">
        <v>41</v>
      </c>
      <c r="BI74" s="358">
        <v>40</v>
      </c>
      <c r="BJ74" s="358">
        <v>38</v>
      </c>
      <c r="BK74" s="358">
        <v>37</v>
      </c>
      <c r="BL74" s="358">
        <v>36</v>
      </c>
      <c r="BM74" s="358">
        <v>34</v>
      </c>
      <c r="BN74" s="358">
        <v>33</v>
      </c>
      <c r="BO74" s="358">
        <v>30</v>
      </c>
      <c r="BP74" s="358">
        <v>25</v>
      </c>
      <c r="BQ74" s="358">
        <v>21</v>
      </c>
      <c r="BR74" s="358">
        <v>11</v>
      </c>
      <c r="BS74" s="358">
        <v>4</v>
      </c>
      <c r="BU74" s="358">
        <v>3</v>
      </c>
      <c r="BV74" s="358">
        <v>64</v>
      </c>
      <c r="BW74" s="358">
        <v>65</v>
      </c>
      <c r="BX74" s="358">
        <v>68</v>
      </c>
      <c r="BY74" s="358">
        <v>72</v>
      </c>
      <c r="BZ74" s="358">
        <v>77</v>
      </c>
      <c r="CA74" s="358">
        <v>81</v>
      </c>
      <c r="CB74" s="358">
        <v>88</v>
      </c>
      <c r="CC74" s="358">
        <v>93</v>
      </c>
      <c r="CD74" s="358">
        <v>96</v>
      </c>
      <c r="CE74" s="358">
        <v>100</v>
      </c>
      <c r="CF74" s="358">
        <v>102</v>
      </c>
      <c r="CG74" s="358">
        <v>109</v>
      </c>
      <c r="CH74" s="358">
        <v>111</v>
      </c>
      <c r="CI74" s="358">
        <v>115</v>
      </c>
      <c r="CJ74" s="358">
        <v>118</v>
      </c>
      <c r="CK74" s="358">
        <v>125</v>
      </c>
      <c r="CL74" s="358">
        <v>131</v>
      </c>
      <c r="CM74" s="358">
        <v>135</v>
      </c>
      <c r="CN74" s="358">
        <v>140</v>
      </c>
      <c r="CO74" s="358">
        <v>147</v>
      </c>
      <c r="CP74" s="358">
        <v>158</v>
      </c>
      <c r="CQ74" s="358">
        <v>171</v>
      </c>
      <c r="CR74" s="358">
        <v>176</v>
      </c>
      <c r="CS74" s="358">
        <v>71</v>
      </c>
      <c r="CT74" s="358">
        <v>76</v>
      </c>
      <c r="CU74" s="358">
        <v>82</v>
      </c>
      <c r="CV74" s="358">
        <v>88</v>
      </c>
      <c r="CW74" s="358">
        <v>94</v>
      </c>
      <c r="CX74" s="358">
        <v>99</v>
      </c>
      <c r="CY74" s="358">
        <v>106</v>
      </c>
      <c r="CZ74" s="358">
        <v>109</v>
      </c>
      <c r="DA74" s="358">
        <v>113</v>
      </c>
      <c r="DB74" s="358">
        <v>118</v>
      </c>
      <c r="DC74" s="358">
        <v>129</v>
      </c>
      <c r="DD74" s="358">
        <v>139</v>
      </c>
      <c r="DE74" s="358">
        <v>143</v>
      </c>
      <c r="DF74" s="358">
        <v>149</v>
      </c>
      <c r="DG74" s="358">
        <v>158</v>
      </c>
      <c r="DH74" s="358">
        <v>163</v>
      </c>
      <c r="DI74" s="358">
        <v>170</v>
      </c>
      <c r="DJ74" s="358">
        <v>179</v>
      </c>
      <c r="DK74" s="358">
        <v>186</v>
      </c>
      <c r="DL74" s="358">
        <v>194</v>
      </c>
      <c r="DM74" s="358">
        <v>206</v>
      </c>
      <c r="DN74" s="358">
        <v>209</v>
      </c>
      <c r="DO74" s="358">
        <v>220</v>
      </c>
      <c r="DP74" s="358">
        <v>229</v>
      </c>
      <c r="DQ74" s="358">
        <v>72</v>
      </c>
      <c r="DR74" s="358">
        <v>77</v>
      </c>
      <c r="DS74" s="358">
        <v>81</v>
      </c>
      <c r="DT74" s="358">
        <v>83</v>
      </c>
      <c r="DU74" s="358">
        <v>86</v>
      </c>
      <c r="DV74" s="358">
        <v>87</v>
      </c>
      <c r="DW74" s="358">
        <v>93</v>
      </c>
      <c r="DX74" s="358">
        <v>96</v>
      </c>
      <c r="DY74" s="358">
        <v>102</v>
      </c>
      <c r="DZ74" s="358">
        <v>107</v>
      </c>
      <c r="EA74" s="358">
        <v>111</v>
      </c>
      <c r="EB74" s="358">
        <v>115</v>
      </c>
      <c r="EC74" s="358">
        <v>120</v>
      </c>
      <c r="ED74" s="358">
        <v>126</v>
      </c>
      <c r="EE74" s="358">
        <v>132</v>
      </c>
      <c r="EF74" s="358">
        <v>135</v>
      </c>
      <c r="EG74" s="358">
        <v>139</v>
      </c>
      <c r="EH74" s="358">
        <v>144</v>
      </c>
      <c r="EI74" s="358">
        <v>149</v>
      </c>
      <c r="EJ74" s="358">
        <v>153</v>
      </c>
      <c r="EK74" s="358">
        <v>158</v>
      </c>
      <c r="EL74" s="358">
        <v>162</v>
      </c>
      <c r="EM74" s="358">
        <v>211</v>
      </c>
      <c r="EN74" s="358">
        <v>223</v>
      </c>
      <c r="EO74" s="358">
        <v>234</v>
      </c>
      <c r="EP74" s="358">
        <v>244</v>
      </c>
      <c r="EQ74" s="358">
        <v>251</v>
      </c>
      <c r="ES74" s="358">
        <v>263</v>
      </c>
      <c r="ET74" s="358">
        <v>268</v>
      </c>
      <c r="EU74" s="358">
        <v>277</v>
      </c>
      <c r="EV74" s="358">
        <v>283</v>
      </c>
      <c r="EW74" s="358">
        <v>207</v>
      </c>
      <c r="EX74" s="358">
        <v>218</v>
      </c>
      <c r="EY74" s="358">
        <v>229</v>
      </c>
      <c r="EZ74" s="358">
        <v>245</v>
      </c>
      <c r="FA74" s="358">
        <v>253</v>
      </c>
      <c r="FB74" s="358">
        <v>263</v>
      </c>
      <c r="FC74" s="358">
        <v>277</v>
      </c>
      <c r="FD74" s="358">
        <v>289</v>
      </c>
      <c r="FE74" s="358">
        <v>296</v>
      </c>
      <c r="FF74" s="358">
        <v>301</v>
      </c>
      <c r="FG74" s="358">
        <v>313</v>
      </c>
      <c r="FH74" s="358">
        <v>322</v>
      </c>
      <c r="FI74" s="358">
        <v>333</v>
      </c>
      <c r="FJ74" s="358">
        <v>339</v>
      </c>
      <c r="FK74" s="358">
        <v>344</v>
      </c>
      <c r="FL74" s="358">
        <v>186</v>
      </c>
      <c r="FM74" s="358">
        <v>196</v>
      </c>
      <c r="FN74" s="358">
        <v>202</v>
      </c>
      <c r="FO74" s="358">
        <v>209</v>
      </c>
      <c r="FP74" s="358">
        <v>222</v>
      </c>
      <c r="FQ74" s="358">
        <v>237</v>
      </c>
      <c r="FR74" s="358">
        <v>245</v>
      </c>
      <c r="FS74" s="358">
        <v>252</v>
      </c>
      <c r="FT74" s="358">
        <v>259</v>
      </c>
      <c r="FU74" s="358">
        <v>266</v>
      </c>
      <c r="FV74" s="358">
        <v>276</v>
      </c>
      <c r="FW74" s="358">
        <v>137</v>
      </c>
      <c r="FX74" s="358">
        <v>184</v>
      </c>
      <c r="FY74" s="358">
        <v>191</v>
      </c>
      <c r="FZ74" s="358">
        <v>219</v>
      </c>
      <c r="GA74" s="358">
        <v>288</v>
      </c>
      <c r="GB74" s="358">
        <v>324</v>
      </c>
      <c r="GC74" s="358">
        <v>46</v>
      </c>
      <c r="GD74" s="358">
        <v>82</v>
      </c>
      <c r="GE74" s="358">
        <v>111</v>
      </c>
      <c r="GF74" s="358">
        <v>233</v>
      </c>
      <c r="GG74" s="358">
        <v>27</v>
      </c>
      <c r="GH74" s="358">
        <v>39</v>
      </c>
      <c r="GI74" s="361">
        <v>65</v>
      </c>
    </row>
    <row r="75" spans="1:191">
      <c r="A75" s="336" t="s">
        <v>424</v>
      </c>
      <c r="B75" s="358">
        <v>68</v>
      </c>
      <c r="C75" s="358">
        <v>72</v>
      </c>
      <c r="D75" s="358">
        <v>74</v>
      </c>
      <c r="E75" s="358">
        <v>75</v>
      </c>
      <c r="F75" s="358">
        <v>78</v>
      </c>
      <c r="G75" s="358">
        <v>81</v>
      </c>
      <c r="H75" s="358">
        <v>84</v>
      </c>
      <c r="I75" s="358">
        <v>86</v>
      </c>
      <c r="J75" s="358">
        <v>89</v>
      </c>
      <c r="K75" s="358">
        <v>93</v>
      </c>
      <c r="L75" s="358">
        <v>95</v>
      </c>
      <c r="M75" s="358">
        <v>98</v>
      </c>
      <c r="N75" s="358">
        <v>100</v>
      </c>
      <c r="O75" s="358">
        <v>105</v>
      </c>
      <c r="P75" s="358">
        <v>111</v>
      </c>
      <c r="Q75" s="358">
        <v>113</v>
      </c>
      <c r="R75" s="358">
        <v>116</v>
      </c>
      <c r="S75" s="358">
        <v>118</v>
      </c>
      <c r="T75" s="358">
        <v>121</v>
      </c>
      <c r="U75" s="358">
        <v>124</v>
      </c>
      <c r="V75" s="358">
        <v>70</v>
      </c>
      <c r="W75" s="358">
        <v>72</v>
      </c>
      <c r="X75" s="358">
        <v>74</v>
      </c>
      <c r="Y75" s="358">
        <v>76</v>
      </c>
      <c r="Z75" s="358">
        <v>78</v>
      </c>
      <c r="AA75" s="358">
        <v>79</v>
      </c>
      <c r="AB75" s="358">
        <v>81</v>
      </c>
      <c r="AC75" s="358">
        <v>84</v>
      </c>
      <c r="AD75" s="358">
        <v>86</v>
      </c>
      <c r="AE75" s="358">
        <v>91</v>
      </c>
      <c r="AF75" s="358">
        <v>96</v>
      </c>
      <c r="AG75" s="358">
        <v>101</v>
      </c>
      <c r="AH75" s="358">
        <v>102</v>
      </c>
      <c r="AI75" s="358">
        <v>103</v>
      </c>
      <c r="AJ75" s="358">
        <v>107</v>
      </c>
      <c r="AK75" s="358">
        <v>113</v>
      </c>
      <c r="AL75" s="358">
        <v>119</v>
      </c>
      <c r="AM75" s="358">
        <v>124</v>
      </c>
      <c r="AN75" s="358">
        <v>130</v>
      </c>
      <c r="AO75" s="358">
        <v>134</v>
      </c>
      <c r="AP75" s="358">
        <v>140</v>
      </c>
      <c r="AQ75" s="358">
        <v>146</v>
      </c>
      <c r="AR75" s="358">
        <v>150</v>
      </c>
      <c r="AS75" s="358">
        <v>162</v>
      </c>
      <c r="AT75" s="358">
        <v>170</v>
      </c>
      <c r="AU75" s="358">
        <v>180</v>
      </c>
      <c r="AV75" s="358">
        <v>189</v>
      </c>
      <c r="AW75" s="358">
        <v>197</v>
      </c>
      <c r="AX75" s="358">
        <v>65</v>
      </c>
      <c r="AY75" s="358">
        <v>61</v>
      </c>
      <c r="AZ75" s="358">
        <v>60</v>
      </c>
      <c r="BA75" s="358">
        <v>59</v>
      </c>
      <c r="BB75" s="358">
        <v>58</v>
      </c>
      <c r="BC75" s="358">
        <v>55</v>
      </c>
      <c r="BD75" s="358">
        <v>51</v>
      </c>
      <c r="BE75" s="358">
        <v>49</v>
      </c>
      <c r="BF75" s="358">
        <v>48</v>
      </c>
      <c r="BG75" s="358">
        <v>45</v>
      </c>
      <c r="BH75" s="358">
        <v>44</v>
      </c>
      <c r="BI75" s="358">
        <v>43</v>
      </c>
      <c r="BJ75" s="358">
        <v>41</v>
      </c>
      <c r="BK75" s="358">
        <v>40</v>
      </c>
      <c r="BL75" s="358">
        <v>39</v>
      </c>
      <c r="BM75" s="358">
        <v>37</v>
      </c>
      <c r="BN75" s="358">
        <v>36</v>
      </c>
      <c r="BO75" s="358">
        <v>33</v>
      </c>
      <c r="BP75" s="358">
        <v>28</v>
      </c>
      <c r="BQ75" s="358">
        <v>24</v>
      </c>
      <c r="BR75" s="358">
        <v>14</v>
      </c>
      <c r="BS75" s="358">
        <v>7</v>
      </c>
      <c r="BT75" s="358">
        <v>3</v>
      </c>
      <c r="BV75" s="358">
        <v>67</v>
      </c>
      <c r="BW75" s="358">
        <v>68</v>
      </c>
      <c r="BX75" s="358">
        <v>71</v>
      </c>
      <c r="BY75" s="358">
        <v>75</v>
      </c>
      <c r="BZ75" s="358">
        <v>80</v>
      </c>
      <c r="CA75" s="358">
        <v>84</v>
      </c>
      <c r="CB75" s="358">
        <v>91</v>
      </c>
      <c r="CC75" s="358">
        <v>96</v>
      </c>
      <c r="CD75" s="358">
        <v>99</v>
      </c>
      <c r="CE75" s="358">
        <v>103</v>
      </c>
      <c r="CF75" s="358">
        <v>105</v>
      </c>
      <c r="CG75" s="358">
        <v>112</v>
      </c>
      <c r="CH75" s="358">
        <v>114</v>
      </c>
      <c r="CI75" s="358">
        <v>118</v>
      </c>
      <c r="CJ75" s="358">
        <v>121</v>
      </c>
      <c r="CK75" s="358">
        <v>128</v>
      </c>
      <c r="CL75" s="358">
        <v>134</v>
      </c>
      <c r="CM75" s="358">
        <v>138</v>
      </c>
      <c r="CN75" s="358">
        <v>143</v>
      </c>
      <c r="CO75" s="358">
        <v>150</v>
      </c>
      <c r="CP75" s="358">
        <v>161</v>
      </c>
      <c r="CQ75" s="358">
        <v>174</v>
      </c>
      <c r="CR75" s="358">
        <v>179</v>
      </c>
      <c r="CS75" s="358">
        <v>74</v>
      </c>
      <c r="CT75" s="358">
        <v>79</v>
      </c>
      <c r="CU75" s="358">
        <v>85</v>
      </c>
      <c r="CV75" s="358">
        <v>91</v>
      </c>
      <c r="CW75" s="358">
        <v>97</v>
      </c>
      <c r="CX75" s="358">
        <v>102</v>
      </c>
      <c r="CY75" s="358">
        <v>109</v>
      </c>
      <c r="CZ75" s="358">
        <v>112</v>
      </c>
      <c r="DA75" s="358">
        <v>116</v>
      </c>
      <c r="DB75" s="358">
        <v>121</v>
      </c>
      <c r="DC75" s="358">
        <v>132</v>
      </c>
      <c r="DD75" s="358">
        <v>142</v>
      </c>
      <c r="DE75" s="358">
        <v>146</v>
      </c>
      <c r="DF75" s="358">
        <v>152</v>
      </c>
      <c r="DG75" s="358">
        <v>161</v>
      </c>
      <c r="DH75" s="358">
        <v>166</v>
      </c>
      <c r="DI75" s="358">
        <v>173</v>
      </c>
      <c r="DJ75" s="358">
        <v>182</v>
      </c>
      <c r="DK75" s="358">
        <v>189</v>
      </c>
      <c r="DL75" s="358">
        <v>197</v>
      </c>
      <c r="DM75" s="358">
        <v>209</v>
      </c>
      <c r="DN75" s="358">
        <v>212</v>
      </c>
      <c r="DO75" s="358">
        <v>223</v>
      </c>
      <c r="DP75" s="358">
        <v>232</v>
      </c>
      <c r="DQ75" s="358">
        <v>75</v>
      </c>
      <c r="DR75" s="358">
        <v>80</v>
      </c>
      <c r="DS75" s="358">
        <v>84</v>
      </c>
      <c r="DT75" s="358">
        <v>86</v>
      </c>
      <c r="DU75" s="358">
        <v>89</v>
      </c>
      <c r="DV75" s="358">
        <v>90</v>
      </c>
      <c r="DW75" s="358">
        <v>96</v>
      </c>
      <c r="DX75" s="358">
        <v>99</v>
      </c>
      <c r="DY75" s="358">
        <v>105</v>
      </c>
      <c r="DZ75" s="358">
        <v>110</v>
      </c>
      <c r="EA75" s="358">
        <v>114</v>
      </c>
      <c r="EB75" s="358">
        <v>118</v>
      </c>
      <c r="EC75" s="358">
        <v>123</v>
      </c>
      <c r="ED75" s="358">
        <v>129</v>
      </c>
      <c r="EE75" s="358">
        <v>135</v>
      </c>
      <c r="EF75" s="358">
        <v>138</v>
      </c>
      <c r="EG75" s="358">
        <v>142</v>
      </c>
      <c r="EH75" s="358">
        <v>147</v>
      </c>
      <c r="EI75" s="358">
        <v>152</v>
      </c>
      <c r="EJ75" s="358">
        <v>156</v>
      </c>
      <c r="EK75" s="358">
        <v>161</v>
      </c>
      <c r="EL75" s="358">
        <v>165</v>
      </c>
      <c r="EM75" s="358">
        <v>214</v>
      </c>
      <c r="EN75" s="358">
        <v>226</v>
      </c>
      <c r="EO75" s="358">
        <v>237</v>
      </c>
      <c r="EP75" s="358">
        <v>247</v>
      </c>
      <c r="EQ75" s="358">
        <v>254</v>
      </c>
      <c r="ES75" s="358">
        <v>266</v>
      </c>
      <c r="ET75" s="358">
        <v>271</v>
      </c>
      <c r="EU75" s="358">
        <v>280</v>
      </c>
      <c r="EV75" s="358">
        <v>286</v>
      </c>
      <c r="EW75" s="358">
        <v>210</v>
      </c>
      <c r="EX75" s="358">
        <v>221</v>
      </c>
      <c r="EY75" s="358">
        <v>232</v>
      </c>
      <c r="EZ75" s="358">
        <v>248</v>
      </c>
      <c r="FA75" s="358">
        <v>256</v>
      </c>
      <c r="FB75" s="358">
        <v>266</v>
      </c>
      <c r="FC75" s="358">
        <v>280</v>
      </c>
      <c r="FD75" s="358">
        <v>292</v>
      </c>
      <c r="FE75" s="358">
        <v>299</v>
      </c>
      <c r="FF75" s="358">
        <v>304</v>
      </c>
      <c r="FG75" s="358">
        <v>316</v>
      </c>
      <c r="FH75" s="358">
        <v>325</v>
      </c>
      <c r="FI75" s="358">
        <v>336</v>
      </c>
      <c r="FJ75" s="358">
        <v>342</v>
      </c>
      <c r="FK75" s="358">
        <v>347</v>
      </c>
      <c r="FL75" s="358">
        <v>189</v>
      </c>
      <c r="FM75" s="358">
        <v>199</v>
      </c>
      <c r="FN75" s="358">
        <v>205</v>
      </c>
      <c r="FO75" s="358">
        <v>212</v>
      </c>
      <c r="FP75" s="358">
        <v>225</v>
      </c>
      <c r="FQ75" s="358">
        <v>240</v>
      </c>
      <c r="FR75" s="358">
        <v>248</v>
      </c>
      <c r="FS75" s="358">
        <v>255</v>
      </c>
      <c r="FT75" s="358">
        <v>262</v>
      </c>
      <c r="FU75" s="358">
        <v>269</v>
      </c>
      <c r="FV75" s="358">
        <v>279</v>
      </c>
      <c r="FW75" s="358">
        <v>140</v>
      </c>
      <c r="FX75" s="358">
        <v>187</v>
      </c>
      <c r="FY75" s="358">
        <v>194</v>
      </c>
      <c r="FZ75" s="358">
        <v>222</v>
      </c>
      <c r="GA75" s="358">
        <v>291</v>
      </c>
      <c r="GB75" s="358">
        <v>327</v>
      </c>
      <c r="GC75" s="358">
        <v>43</v>
      </c>
      <c r="GD75" s="358">
        <v>79</v>
      </c>
      <c r="GE75" s="358">
        <v>108</v>
      </c>
      <c r="GF75" s="358">
        <v>236</v>
      </c>
      <c r="GG75" s="358">
        <v>24</v>
      </c>
      <c r="GH75" s="358">
        <v>36</v>
      </c>
      <c r="GI75" s="361">
        <v>62</v>
      </c>
    </row>
    <row r="76" spans="1:191">
      <c r="A76" s="336" t="s">
        <v>423</v>
      </c>
      <c r="B76" s="358">
        <v>5</v>
      </c>
      <c r="C76" s="358">
        <v>9</v>
      </c>
      <c r="D76" s="358">
        <v>11</v>
      </c>
      <c r="E76" s="358">
        <v>12</v>
      </c>
      <c r="F76" s="358">
        <v>15</v>
      </c>
      <c r="G76" s="358">
        <v>18</v>
      </c>
      <c r="H76" s="358">
        <v>21</v>
      </c>
      <c r="I76" s="358">
        <v>23</v>
      </c>
      <c r="J76" s="358">
        <v>26</v>
      </c>
      <c r="K76" s="358">
        <v>30</v>
      </c>
      <c r="L76" s="358">
        <v>32</v>
      </c>
      <c r="M76" s="358">
        <v>35</v>
      </c>
      <c r="N76" s="358">
        <v>37</v>
      </c>
      <c r="O76" s="358">
        <v>42</v>
      </c>
      <c r="P76" s="358">
        <v>48</v>
      </c>
      <c r="Q76" s="358">
        <v>50</v>
      </c>
      <c r="R76" s="358">
        <v>53</v>
      </c>
      <c r="S76" s="358">
        <v>55</v>
      </c>
      <c r="T76" s="358">
        <v>58</v>
      </c>
      <c r="U76" s="358">
        <v>61</v>
      </c>
      <c r="V76" s="358">
        <v>7</v>
      </c>
      <c r="W76" s="358">
        <v>9</v>
      </c>
      <c r="X76" s="358">
        <v>11</v>
      </c>
      <c r="Y76" s="358">
        <v>13</v>
      </c>
      <c r="Z76" s="358">
        <v>15</v>
      </c>
      <c r="AA76" s="358">
        <v>16</v>
      </c>
      <c r="AB76" s="358">
        <v>18</v>
      </c>
      <c r="AC76" s="358">
        <v>21</v>
      </c>
      <c r="AD76" s="358">
        <v>23</v>
      </c>
      <c r="AE76" s="358">
        <v>28</v>
      </c>
      <c r="AF76" s="358">
        <v>33</v>
      </c>
      <c r="AG76" s="358">
        <v>38</v>
      </c>
      <c r="AH76" s="358">
        <v>39</v>
      </c>
      <c r="AI76" s="358">
        <v>40</v>
      </c>
      <c r="AJ76" s="358">
        <v>44</v>
      </c>
      <c r="AK76" s="358">
        <v>50</v>
      </c>
      <c r="AL76" s="358">
        <v>56</v>
      </c>
      <c r="AM76" s="358">
        <v>61</v>
      </c>
      <c r="AN76" s="358">
        <v>67</v>
      </c>
      <c r="AO76" s="358">
        <v>71</v>
      </c>
      <c r="AP76" s="358">
        <v>77</v>
      </c>
      <c r="AQ76" s="358">
        <v>83</v>
      </c>
      <c r="AR76" s="358">
        <v>87</v>
      </c>
      <c r="AS76" s="358">
        <v>99</v>
      </c>
      <c r="AT76" s="358">
        <v>107</v>
      </c>
      <c r="AU76" s="358">
        <v>117</v>
      </c>
      <c r="AV76" s="358">
        <v>126</v>
      </c>
      <c r="AW76" s="358">
        <v>134</v>
      </c>
      <c r="AX76" s="358">
        <v>2</v>
      </c>
      <c r="AY76" s="358">
        <v>6</v>
      </c>
      <c r="AZ76" s="358">
        <v>7</v>
      </c>
      <c r="BA76" s="358">
        <v>8</v>
      </c>
      <c r="BB76" s="358">
        <v>9</v>
      </c>
      <c r="BC76" s="358">
        <v>12</v>
      </c>
      <c r="BD76" s="358">
        <v>16</v>
      </c>
      <c r="BE76" s="358">
        <v>18</v>
      </c>
      <c r="BF76" s="358">
        <v>19</v>
      </c>
      <c r="BG76" s="358">
        <v>22</v>
      </c>
      <c r="BH76" s="358">
        <v>23</v>
      </c>
      <c r="BI76" s="358">
        <v>24</v>
      </c>
      <c r="BJ76" s="358">
        <v>26</v>
      </c>
      <c r="BK76" s="358">
        <v>27</v>
      </c>
      <c r="BL76" s="358">
        <v>28</v>
      </c>
      <c r="BM76" s="358">
        <v>30</v>
      </c>
      <c r="BN76" s="358">
        <v>31</v>
      </c>
      <c r="BO76" s="358">
        <v>34</v>
      </c>
      <c r="BP76" s="358">
        <v>39</v>
      </c>
      <c r="BQ76" s="358">
        <v>43</v>
      </c>
      <c r="BR76" s="358">
        <v>53</v>
      </c>
      <c r="BS76" s="358">
        <v>60</v>
      </c>
      <c r="BT76" s="358">
        <v>64</v>
      </c>
      <c r="BU76" s="358">
        <v>67</v>
      </c>
      <c r="BW76" s="358">
        <v>1</v>
      </c>
      <c r="BX76" s="358">
        <v>4</v>
      </c>
      <c r="BY76" s="358">
        <v>8</v>
      </c>
      <c r="BZ76" s="358">
        <v>13</v>
      </c>
      <c r="CA76" s="358">
        <v>17</v>
      </c>
      <c r="CB76" s="358">
        <v>24</v>
      </c>
      <c r="CC76" s="358">
        <v>29</v>
      </c>
      <c r="CD76" s="358">
        <v>32</v>
      </c>
      <c r="CE76" s="358">
        <v>36</v>
      </c>
      <c r="CF76" s="358">
        <v>38</v>
      </c>
      <c r="CG76" s="358">
        <v>45</v>
      </c>
      <c r="CH76" s="358">
        <v>47</v>
      </c>
      <c r="CI76" s="358">
        <v>51</v>
      </c>
      <c r="CJ76" s="358">
        <v>54</v>
      </c>
      <c r="CK76" s="358">
        <v>61</v>
      </c>
      <c r="CL76" s="358">
        <v>67</v>
      </c>
      <c r="CM76" s="358">
        <v>71</v>
      </c>
      <c r="CN76" s="358">
        <v>76</v>
      </c>
      <c r="CO76" s="358">
        <v>83</v>
      </c>
      <c r="CP76" s="358">
        <v>94</v>
      </c>
      <c r="CQ76" s="358">
        <v>107</v>
      </c>
      <c r="CR76" s="358">
        <v>112</v>
      </c>
      <c r="CS76" s="358">
        <v>11</v>
      </c>
      <c r="CT76" s="358">
        <v>16</v>
      </c>
      <c r="CU76" s="358">
        <v>22</v>
      </c>
      <c r="CV76" s="358">
        <v>28</v>
      </c>
      <c r="CW76" s="358">
        <v>34</v>
      </c>
      <c r="CX76" s="358">
        <v>39</v>
      </c>
      <c r="CY76" s="358">
        <v>46</v>
      </c>
      <c r="CZ76" s="358">
        <v>49</v>
      </c>
      <c r="DA76" s="358">
        <v>53</v>
      </c>
      <c r="DB76" s="358">
        <v>58</v>
      </c>
      <c r="DC76" s="358">
        <v>69</v>
      </c>
      <c r="DD76" s="358">
        <v>79</v>
      </c>
      <c r="DE76" s="358">
        <v>83</v>
      </c>
      <c r="DF76" s="358">
        <v>89</v>
      </c>
      <c r="DG76" s="358">
        <v>98</v>
      </c>
      <c r="DH76" s="358">
        <v>103</v>
      </c>
      <c r="DI76" s="358">
        <v>110</v>
      </c>
      <c r="DJ76" s="358">
        <v>119</v>
      </c>
      <c r="DK76" s="358">
        <v>126</v>
      </c>
      <c r="DL76" s="358">
        <v>134</v>
      </c>
      <c r="DM76" s="358">
        <v>146</v>
      </c>
      <c r="DN76" s="358">
        <v>149</v>
      </c>
      <c r="DO76" s="358">
        <v>160</v>
      </c>
      <c r="DP76" s="358">
        <v>169</v>
      </c>
      <c r="DQ76" s="358">
        <v>12</v>
      </c>
      <c r="DR76" s="358">
        <v>17</v>
      </c>
      <c r="DS76" s="358">
        <v>21</v>
      </c>
      <c r="DT76" s="358">
        <v>23</v>
      </c>
      <c r="DU76" s="358">
        <v>26</v>
      </c>
      <c r="DV76" s="358">
        <v>27</v>
      </c>
      <c r="DW76" s="358">
        <v>33</v>
      </c>
      <c r="DX76" s="358">
        <v>36</v>
      </c>
      <c r="DY76" s="358">
        <v>42</v>
      </c>
      <c r="DZ76" s="358">
        <v>47</v>
      </c>
      <c r="EA76" s="358">
        <v>51</v>
      </c>
      <c r="EB76" s="358">
        <v>55</v>
      </c>
      <c r="EC76" s="358">
        <v>60</v>
      </c>
      <c r="ED76" s="358">
        <v>66</v>
      </c>
      <c r="EE76" s="358">
        <v>72</v>
      </c>
      <c r="EF76" s="358">
        <v>75</v>
      </c>
      <c r="EG76" s="358">
        <v>79</v>
      </c>
      <c r="EH76" s="358">
        <v>84</v>
      </c>
      <c r="EI76" s="358">
        <v>89</v>
      </c>
      <c r="EJ76" s="358">
        <v>93</v>
      </c>
      <c r="EK76" s="358">
        <v>98</v>
      </c>
      <c r="EL76" s="358">
        <v>102</v>
      </c>
      <c r="EM76" s="358">
        <v>151</v>
      </c>
      <c r="EN76" s="358">
        <v>163</v>
      </c>
      <c r="EO76" s="358">
        <v>174</v>
      </c>
      <c r="EP76" s="358">
        <v>184</v>
      </c>
      <c r="EQ76" s="358">
        <v>191</v>
      </c>
      <c r="ES76" s="358">
        <v>203</v>
      </c>
      <c r="ET76" s="358">
        <v>208</v>
      </c>
      <c r="EU76" s="358">
        <v>217</v>
      </c>
      <c r="EV76" s="358">
        <v>223</v>
      </c>
      <c r="EW76" s="358">
        <v>147</v>
      </c>
      <c r="EX76" s="358">
        <v>158</v>
      </c>
      <c r="EY76" s="358">
        <v>169</v>
      </c>
      <c r="EZ76" s="358">
        <v>185</v>
      </c>
      <c r="FA76" s="358">
        <v>193</v>
      </c>
      <c r="FB76" s="358">
        <v>203</v>
      </c>
      <c r="FC76" s="358">
        <v>217</v>
      </c>
      <c r="FD76" s="358">
        <v>229</v>
      </c>
      <c r="FE76" s="358">
        <v>236</v>
      </c>
      <c r="FF76" s="358">
        <v>241</v>
      </c>
      <c r="FG76" s="358">
        <v>253</v>
      </c>
      <c r="FH76" s="358">
        <v>262</v>
      </c>
      <c r="FI76" s="358">
        <v>273</v>
      </c>
      <c r="FJ76" s="358">
        <v>279</v>
      </c>
      <c r="FK76" s="358">
        <v>284</v>
      </c>
      <c r="FL76" s="358">
        <v>126</v>
      </c>
      <c r="FM76" s="358">
        <v>136</v>
      </c>
      <c r="FN76" s="358">
        <v>142</v>
      </c>
      <c r="FO76" s="358">
        <v>149</v>
      </c>
      <c r="FP76" s="358">
        <v>162</v>
      </c>
      <c r="FQ76" s="358">
        <v>177</v>
      </c>
      <c r="FR76" s="358">
        <v>185</v>
      </c>
      <c r="FS76" s="358">
        <v>192</v>
      </c>
      <c r="FT76" s="358">
        <v>199</v>
      </c>
      <c r="FU76" s="358">
        <v>206</v>
      </c>
      <c r="FV76" s="358">
        <v>216</v>
      </c>
      <c r="FW76" s="358">
        <v>67</v>
      </c>
      <c r="FX76" s="358">
        <v>114</v>
      </c>
      <c r="FY76" s="358">
        <v>121</v>
      </c>
      <c r="FZ76" s="358">
        <v>149</v>
      </c>
      <c r="GA76" s="358">
        <v>218</v>
      </c>
      <c r="GB76" s="358">
        <v>264</v>
      </c>
      <c r="GC76" s="358">
        <v>110</v>
      </c>
      <c r="GD76" s="358">
        <v>146</v>
      </c>
      <c r="GE76" s="358">
        <v>175</v>
      </c>
      <c r="GF76" s="358">
        <v>173</v>
      </c>
      <c r="GG76" s="358">
        <v>91</v>
      </c>
      <c r="GH76" s="358">
        <v>103</v>
      </c>
      <c r="GI76" s="361">
        <v>129</v>
      </c>
    </row>
    <row r="77" spans="1:191">
      <c r="A77" s="336" t="s">
        <v>422</v>
      </c>
      <c r="B77" s="358">
        <v>6</v>
      </c>
      <c r="C77" s="358">
        <v>10</v>
      </c>
      <c r="D77" s="358">
        <v>12</v>
      </c>
      <c r="E77" s="358">
        <v>13</v>
      </c>
      <c r="F77" s="358">
        <v>16</v>
      </c>
      <c r="G77" s="358">
        <v>19</v>
      </c>
      <c r="H77" s="358">
        <v>22</v>
      </c>
      <c r="I77" s="358">
        <v>24</v>
      </c>
      <c r="J77" s="358">
        <v>27</v>
      </c>
      <c r="K77" s="358">
        <v>31</v>
      </c>
      <c r="L77" s="358">
        <v>33</v>
      </c>
      <c r="M77" s="358">
        <v>36</v>
      </c>
      <c r="N77" s="358">
        <v>38</v>
      </c>
      <c r="O77" s="358">
        <v>43</v>
      </c>
      <c r="P77" s="358">
        <v>49</v>
      </c>
      <c r="Q77" s="358">
        <v>51</v>
      </c>
      <c r="R77" s="358">
        <v>54</v>
      </c>
      <c r="S77" s="358">
        <v>56</v>
      </c>
      <c r="T77" s="358">
        <v>59</v>
      </c>
      <c r="U77" s="358">
        <v>62</v>
      </c>
      <c r="V77" s="358">
        <v>8</v>
      </c>
      <c r="W77" s="358">
        <v>10</v>
      </c>
      <c r="X77" s="358">
        <v>12</v>
      </c>
      <c r="Y77" s="358">
        <v>14</v>
      </c>
      <c r="Z77" s="358">
        <v>16</v>
      </c>
      <c r="AA77" s="358">
        <v>17</v>
      </c>
      <c r="AB77" s="358">
        <v>19</v>
      </c>
      <c r="AC77" s="358">
        <v>22</v>
      </c>
      <c r="AD77" s="358">
        <v>24</v>
      </c>
      <c r="AE77" s="358">
        <v>29</v>
      </c>
      <c r="AF77" s="358">
        <v>34</v>
      </c>
      <c r="AG77" s="358">
        <v>39</v>
      </c>
      <c r="AH77" s="358">
        <v>40</v>
      </c>
      <c r="AI77" s="358">
        <v>41</v>
      </c>
      <c r="AJ77" s="358">
        <v>45</v>
      </c>
      <c r="AK77" s="358">
        <v>51</v>
      </c>
      <c r="AL77" s="358">
        <v>57</v>
      </c>
      <c r="AM77" s="358">
        <v>62</v>
      </c>
      <c r="AN77" s="358">
        <v>68</v>
      </c>
      <c r="AO77" s="358">
        <v>72</v>
      </c>
      <c r="AP77" s="358">
        <v>78</v>
      </c>
      <c r="AQ77" s="358">
        <v>84</v>
      </c>
      <c r="AR77" s="358">
        <v>88</v>
      </c>
      <c r="AS77" s="358">
        <v>100</v>
      </c>
      <c r="AT77" s="358">
        <v>108</v>
      </c>
      <c r="AU77" s="358">
        <v>118</v>
      </c>
      <c r="AV77" s="358">
        <v>127</v>
      </c>
      <c r="AW77" s="358">
        <v>135</v>
      </c>
      <c r="AX77" s="358">
        <v>3</v>
      </c>
      <c r="AY77" s="358">
        <v>7</v>
      </c>
      <c r="AZ77" s="358">
        <v>8</v>
      </c>
      <c r="BA77" s="358">
        <v>9</v>
      </c>
      <c r="BB77" s="358">
        <v>10</v>
      </c>
      <c r="BC77" s="358">
        <v>13</v>
      </c>
      <c r="BD77" s="358">
        <v>17</v>
      </c>
      <c r="BE77" s="358">
        <v>19</v>
      </c>
      <c r="BF77" s="358">
        <v>20</v>
      </c>
      <c r="BG77" s="358">
        <v>23</v>
      </c>
      <c r="BH77" s="358">
        <v>24</v>
      </c>
      <c r="BI77" s="358">
        <v>25</v>
      </c>
      <c r="BJ77" s="358">
        <v>27</v>
      </c>
      <c r="BK77" s="358">
        <v>28</v>
      </c>
      <c r="BL77" s="358">
        <v>29</v>
      </c>
      <c r="BM77" s="358">
        <v>31</v>
      </c>
      <c r="BN77" s="358">
        <v>32</v>
      </c>
      <c r="BO77" s="358">
        <v>35</v>
      </c>
      <c r="BP77" s="358">
        <v>40</v>
      </c>
      <c r="BQ77" s="358">
        <v>44</v>
      </c>
      <c r="BR77" s="358">
        <v>54</v>
      </c>
      <c r="BS77" s="358">
        <v>61</v>
      </c>
      <c r="BT77" s="358">
        <v>65</v>
      </c>
      <c r="BU77" s="358">
        <v>68</v>
      </c>
      <c r="BV77" s="358">
        <v>1</v>
      </c>
      <c r="BX77" s="358">
        <v>3</v>
      </c>
      <c r="BY77" s="358">
        <v>7</v>
      </c>
      <c r="BZ77" s="358">
        <v>12</v>
      </c>
      <c r="CA77" s="358">
        <v>16</v>
      </c>
      <c r="CB77" s="358">
        <v>23</v>
      </c>
      <c r="CC77" s="358">
        <v>28</v>
      </c>
      <c r="CD77" s="358">
        <v>31</v>
      </c>
      <c r="CE77" s="358">
        <v>35</v>
      </c>
      <c r="CF77" s="358">
        <v>37</v>
      </c>
      <c r="CG77" s="358">
        <v>44</v>
      </c>
      <c r="CH77" s="358">
        <v>46</v>
      </c>
      <c r="CI77" s="358">
        <v>50</v>
      </c>
      <c r="CJ77" s="358">
        <v>53</v>
      </c>
      <c r="CK77" s="358">
        <v>60</v>
      </c>
      <c r="CL77" s="358">
        <v>66</v>
      </c>
      <c r="CM77" s="358">
        <v>70</v>
      </c>
      <c r="CN77" s="358">
        <v>75</v>
      </c>
      <c r="CO77" s="358">
        <v>82</v>
      </c>
      <c r="CP77" s="358">
        <v>93</v>
      </c>
      <c r="CQ77" s="358">
        <v>106</v>
      </c>
      <c r="CR77" s="358">
        <v>111</v>
      </c>
      <c r="CS77" s="358">
        <v>12</v>
      </c>
      <c r="CT77" s="358">
        <v>17</v>
      </c>
      <c r="CU77" s="358">
        <v>23</v>
      </c>
      <c r="CV77" s="358">
        <v>29</v>
      </c>
      <c r="CW77" s="358">
        <v>35</v>
      </c>
      <c r="CX77" s="358">
        <v>40</v>
      </c>
      <c r="CY77" s="358">
        <v>47</v>
      </c>
      <c r="CZ77" s="358">
        <v>50</v>
      </c>
      <c r="DA77" s="358">
        <v>54</v>
      </c>
      <c r="DB77" s="358">
        <v>59</v>
      </c>
      <c r="DC77" s="358">
        <v>70</v>
      </c>
      <c r="DD77" s="358">
        <v>80</v>
      </c>
      <c r="DE77" s="358">
        <v>84</v>
      </c>
      <c r="DF77" s="358">
        <v>90</v>
      </c>
      <c r="DG77" s="358">
        <v>99</v>
      </c>
      <c r="DH77" s="358">
        <v>104</v>
      </c>
      <c r="DI77" s="358">
        <v>111</v>
      </c>
      <c r="DJ77" s="358">
        <v>120</v>
      </c>
      <c r="DK77" s="358">
        <v>127</v>
      </c>
      <c r="DL77" s="358">
        <v>135</v>
      </c>
      <c r="DM77" s="358">
        <v>147</v>
      </c>
      <c r="DN77" s="358">
        <v>150</v>
      </c>
      <c r="DO77" s="358">
        <v>161</v>
      </c>
      <c r="DP77" s="358">
        <v>170</v>
      </c>
      <c r="DQ77" s="358">
        <v>13</v>
      </c>
      <c r="DR77" s="358">
        <v>18</v>
      </c>
      <c r="DS77" s="358">
        <v>22</v>
      </c>
      <c r="DT77" s="358">
        <v>24</v>
      </c>
      <c r="DU77" s="358">
        <v>27</v>
      </c>
      <c r="DV77" s="358">
        <v>28</v>
      </c>
      <c r="DW77" s="358">
        <v>34</v>
      </c>
      <c r="DX77" s="358">
        <v>37</v>
      </c>
      <c r="DY77" s="358">
        <v>43</v>
      </c>
      <c r="DZ77" s="358">
        <v>48</v>
      </c>
      <c r="EA77" s="358">
        <v>52</v>
      </c>
      <c r="EB77" s="358">
        <v>56</v>
      </c>
      <c r="EC77" s="358">
        <v>61</v>
      </c>
      <c r="ED77" s="358">
        <v>67</v>
      </c>
      <c r="EE77" s="358">
        <v>73</v>
      </c>
      <c r="EF77" s="358">
        <v>76</v>
      </c>
      <c r="EG77" s="358">
        <v>80</v>
      </c>
      <c r="EH77" s="358">
        <v>85</v>
      </c>
      <c r="EI77" s="358">
        <v>90</v>
      </c>
      <c r="EJ77" s="358">
        <v>94</v>
      </c>
      <c r="EK77" s="358">
        <v>99</v>
      </c>
      <c r="EL77" s="358">
        <v>103</v>
      </c>
      <c r="EM77" s="358">
        <v>152</v>
      </c>
      <c r="EN77" s="358">
        <v>164</v>
      </c>
      <c r="EO77" s="358">
        <v>175</v>
      </c>
      <c r="EP77" s="358">
        <v>185</v>
      </c>
      <c r="EQ77" s="358">
        <v>192</v>
      </c>
      <c r="ES77" s="358">
        <v>204</v>
      </c>
      <c r="ET77" s="358">
        <v>209</v>
      </c>
      <c r="EU77" s="358">
        <v>218</v>
      </c>
      <c r="EV77" s="358">
        <v>224</v>
      </c>
      <c r="EW77" s="358">
        <v>148</v>
      </c>
      <c r="EX77" s="358">
        <v>159</v>
      </c>
      <c r="EY77" s="358">
        <v>170</v>
      </c>
      <c r="EZ77" s="358">
        <v>186</v>
      </c>
      <c r="FA77" s="358">
        <v>194</v>
      </c>
      <c r="FB77" s="358">
        <v>204</v>
      </c>
      <c r="FC77" s="358">
        <v>218</v>
      </c>
      <c r="FD77" s="358">
        <v>230</v>
      </c>
      <c r="FE77" s="358">
        <v>237</v>
      </c>
      <c r="FF77" s="358">
        <v>242</v>
      </c>
      <c r="FG77" s="358">
        <v>254</v>
      </c>
      <c r="FH77" s="358">
        <v>263</v>
      </c>
      <c r="FI77" s="358">
        <v>274</v>
      </c>
      <c r="FJ77" s="358">
        <v>280</v>
      </c>
      <c r="FK77" s="358">
        <v>285</v>
      </c>
      <c r="FL77" s="358">
        <v>127</v>
      </c>
      <c r="FM77" s="358">
        <v>137</v>
      </c>
      <c r="FN77" s="358">
        <v>143</v>
      </c>
      <c r="FO77" s="358">
        <v>150</v>
      </c>
      <c r="FP77" s="358">
        <v>163</v>
      </c>
      <c r="FQ77" s="358">
        <v>178</v>
      </c>
      <c r="FR77" s="358">
        <v>186</v>
      </c>
      <c r="FS77" s="358">
        <v>193</v>
      </c>
      <c r="FT77" s="358">
        <v>200</v>
      </c>
      <c r="FU77" s="358">
        <v>207</v>
      </c>
      <c r="FV77" s="358">
        <v>217</v>
      </c>
      <c r="FW77" s="358">
        <v>66</v>
      </c>
      <c r="FX77" s="358">
        <v>113</v>
      </c>
      <c r="FY77" s="358">
        <v>120</v>
      </c>
      <c r="FZ77" s="358">
        <v>148</v>
      </c>
      <c r="GA77" s="358">
        <v>217</v>
      </c>
      <c r="GB77" s="358">
        <v>265</v>
      </c>
      <c r="GC77" s="358">
        <v>111</v>
      </c>
      <c r="GD77" s="358">
        <v>147</v>
      </c>
      <c r="GE77" s="358">
        <v>176</v>
      </c>
      <c r="GF77" s="358">
        <v>174</v>
      </c>
      <c r="GG77" s="358">
        <v>92</v>
      </c>
      <c r="GH77" s="358">
        <v>104</v>
      </c>
      <c r="GI77" s="361">
        <v>130</v>
      </c>
    </row>
    <row r="78" spans="1:191">
      <c r="A78" s="336" t="s">
        <v>421</v>
      </c>
      <c r="B78" s="358">
        <v>9</v>
      </c>
      <c r="C78" s="358">
        <v>13</v>
      </c>
      <c r="D78" s="358">
        <v>15</v>
      </c>
      <c r="E78" s="358">
        <v>16</v>
      </c>
      <c r="F78" s="358">
        <v>19</v>
      </c>
      <c r="G78" s="358">
        <v>22</v>
      </c>
      <c r="H78" s="358">
        <v>25</v>
      </c>
      <c r="I78" s="358">
        <v>27</v>
      </c>
      <c r="J78" s="358">
        <v>30</v>
      </c>
      <c r="K78" s="358">
        <v>34</v>
      </c>
      <c r="L78" s="358">
        <v>36</v>
      </c>
      <c r="M78" s="358">
        <v>39</v>
      </c>
      <c r="N78" s="358">
        <v>41</v>
      </c>
      <c r="O78" s="358">
        <v>46</v>
      </c>
      <c r="P78" s="358">
        <v>52</v>
      </c>
      <c r="Q78" s="358">
        <v>54</v>
      </c>
      <c r="R78" s="358">
        <v>57</v>
      </c>
      <c r="S78" s="358">
        <v>59</v>
      </c>
      <c r="T78" s="358">
        <v>62</v>
      </c>
      <c r="U78" s="358">
        <v>65</v>
      </c>
      <c r="V78" s="358">
        <v>11</v>
      </c>
      <c r="W78" s="358">
        <v>13</v>
      </c>
      <c r="X78" s="358">
        <v>15</v>
      </c>
      <c r="Y78" s="358">
        <v>17</v>
      </c>
      <c r="Z78" s="358">
        <v>19</v>
      </c>
      <c r="AA78" s="358">
        <v>20</v>
      </c>
      <c r="AB78" s="358">
        <v>22</v>
      </c>
      <c r="AC78" s="358">
        <v>25</v>
      </c>
      <c r="AD78" s="358">
        <v>27</v>
      </c>
      <c r="AE78" s="358">
        <v>32</v>
      </c>
      <c r="AF78" s="358">
        <v>37</v>
      </c>
      <c r="AG78" s="358">
        <v>42</v>
      </c>
      <c r="AH78" s="358">
        <v>43</v>
      </c>
      <c r="AI78" s="358">
        <v>44</v>
      </c>
      <c r="AJ78" s="358">
        <v>48</v>
      </c>
      <c r="AK78" s="358">
        <v>54</v>
      </c>
      <c r="AL78" s="358">
        <v>60</v>
      </c>
      <c r="AM78" s="358">
        <v>65</v>
      </c>
      <c r="AN78" s="358">
        <v>71</v>
      </c>
      <c r="AO78" s="358">
        <v>75</v>
      </c>
      <c r="AP78" s="358">
        <v>81</v>
      </c>
      <c r="AQ78" s="358">
        <v>87</v>
      </c>
      <c r="AR78" s="358">
        <v>91</v>
      </c>
      <c r="AS78" s="358">
        <v>103</v>
      </c>
      <c r="AT78" s="358">
        <v>111</v>
      </c>
      <c r="AU78" s="358">
        <v>121</v>
      </c>
      <c r="AV78" s="358">
        <v>130</v>
      </c>
      <c r="AW78" s="358">
        <v>138</v>
      </c>
      <c r="AX78" s="358">
        <v>6</v>
      </c>
      <c r="AY78" s="358">
        <v>10</v>
      </c>
      <c r="AZ78" s="358">
        <v>11</v>
      </c>
      <c r="BA78" s="358">
        <v>12</v>
      </c>
      <c r="BB78" s="358">
        <v>13</v>
      </c>
      <c r="BC78" s="358">
        <v>16</v>
      </c>
      <c r="BD78" s="358">
        <v>20</v>
      </c>
      <c r="BE78" s="358">
        <v>22</v>
      </c>
      <c r="BF78" s="358">
        <v>23</v>
      </c>
      <c r="BG78" s="358">
        <v>26</v>
      </c>
      <c r="BH78" s="358">
        <v>27</v>
      </c>
      <c r="BI78" s="358">
        <v>28</v>
      </c>
      <c r="BJ78" s="358">
        <v>30</v>
      </c>
      <c r="BK78" s="358">
        <v>31</v>
      </c>
      <c r="BL78" s="358">
        <v>32</v>
      </c>
      <c r="BM78" s="358">
        <v>34</v>
      </c>
      <c r="BN78" s="358">
        <v>35</v>
      </c>
      <c r="BO78" s="358">
        <v>38</v>
      </c>
      <c r="BP78" s="358">
        <v>43</v>
      </c>
      <c r="BQ78" s="358">
        <v>47</v>
      </c>
      <c r="BR78" s="358">
        <v>57</v>
      </c>
      <c r="BS78" s="358">
        <v>64</v>
      </c>
      <c r="BT78" s="358">
        <v>68</v>
      </c>
      <c r="BU78" s="358">
        <v>71</v>
      </c>
      <c r="BV78" s="358">
        <v>4</v>
      </c>
      <c r="BW78" s="358">
        <v>3</v>
      </c>
      <c r="BY78" s="358">
        <v>4</v>
      </c>
      <c r="BZ78" s="358">
        <v>9</v>
      </c>
      <c r="CA78" s="358">
        <v>13</v>
      </c>
      <c r="CB78" s="358">
        <v>20</v>
      </c>
      <c r="CC78" s="358">
        <v>25</v>
      </c>
      <c r="CD78" s="358">
        <v>28</v>
      </c>
      <c r="CE78" s="358">
        <v>32</v>
      </c>
      <c r="CF78" s="358">
        <v>34</v>
      </c>
      <c r="CG78" s="358">
        <v>41</v>
      </c>
      <c r="CH78" s="358">
        <v>43</v>
      </c>
      <c r="CI78" s="358">
        <v>47</v>
      </c>
      <c r="CJ78" s="358">
        <v>50</v>
      </c>
      <c r="CK78" s="358">
        <v>57</v>
      </c>
      <c r="CL78" s="358">
        <v>63</v>
      </c>
      <c r="CM78" s="358">
        <v>67</v>
      </c>
      <c r="CN78" s="358">
        <v>72</v>
      </c>
      <c r="CO78" s="358">
        <v>79</v>
      </c>
      <c r="CP78" s="358">
        <v>90</v>
      </c>
      <c r="CQ78" s="358">
        <v>103</v>
      </c>
      <c r="CR78" s="358">
        <v>108</v>
      </c>
      <c r="CS78" s="358">
        <v>15</v>
      </c>
      <c r="CT78" s="358">
        <v>20</v>
      </c>
      <c r="CU78" s="358">
        <v>26</v>
      </c>
      <c r="CV78" s="358">
        <v>32</v>
      </c>
      <c r="CW78" s="358">
        <v>38</v>
      </c>
      <c r="CX78" s="358">
        <v>43</v>
      </c>
      <c r="CY78" s="358">
        <v>50</v>
      </c>
      <c r="CZ78" s="358">
        <v>53</v>
      </c>
      <c r="DA78" s="358">
        <v>57</v>
      </c>
      <c r="DB78" s="358">
        <v>62</v>
      </c>
      <c r="DC78" s="358">
        <v>73</v>
      </c>
      <c r="DD78" s="358">
        <v>83</v>
      </c>
      <c r="DE78" s="358">
        <v>87</v>
      </c>
      <c r="DF78" s="358">
        <v>93</v>
      </c>
      <c r="DG78" s="358">
        <v>102</v>
      </c>
      <c r="DH78" s="358">
        <v>107</v>
      </c>
      <c r="DI78" s="358">
        <v>114</v>
      </c>
      <c r="DJ78" s="358">
        <v>123</v>
      </c>
      <c r="DK78" s="358">
        <v>130</v>
      </c>
      <c r="DL78" s="358">
        <v>138</v>
      </c>
      <c r="DM78" s="358">
        <v>150</v>
      </c>
      <c r="DN78" s="358">
        <v>153</v>
      </c>
      <c r="DO78" s="358">
        <v>164</v>
      </c>
      <c r="DP78" s="358">
        <v>173</v>
      </c>
      <c r="DQ78" s="358">
        <v>16</v>
      </c>
      <c r="DR78" s="358">
        <v>21</v>
      </c>
      <c r="DS78" s="358">
        <v>25</v>
      </c>
      <c r="DT78" s="358">
        <v>27</v>
      </c>
      <c r="DU78" s="358">
        <v>30</v>
      </c>
      <c r="DV78" s="358">
        <v>31</v>
      </c>
      <c r="DW78" s="358">
        <v>37</v>
      </c>
      <c r="DX78" s="358">
        <v>40</v>
      </c>
      <c r="DY78" s="358">
        <v>46</v>
      </c>
      <c r="DZ78" s="358">
        <v>51</v>
      </c>
      <c r="EA78" s="358">
        <v>55</v>
      </c>
      <c r="EB78" s="358">
        <v>59</v>
      </c>
      <c r="EC78" s="358">
        <v>64</v>
      </c>
      <c r="ED78" s="358">
        <v>70</v>
      </c>
      <c r="EE78" s="358">
        <v>76</v>
      </c>
      <c r="EF78" s="358">
        <v>79</v>
      </c>
      <c r="EG78" s="358">
        <v>83</v>
      </c>
      <c r="EH78" s="358">
        <v>88</v>
      </c>
      <c r="EI78" s="358">
        <v>93</v>
      </c>
      <c r="EJ78" s="358">
        <v>97</v>
      </c>
      <c r="EK78" s="358">
        <v>102</v>
      </c>
      <c r="EL78" s="358">
        <v>106</v>
      </c>
      <c r="EM78" s="358">
        <v>155</v>
      </c>
      <c r="EN78" s="358">
        <v>167</v>
      </c>
      <c r="EO78" s="358">
        <v>178</v>
      </c>
      <c r="EP78" s="358">
        <v>188</v>
      </c>
      <c r="EQ78" s="358">
        <v>195</v>
      </c>
      <c r="ES78" s="358">
        <v>207</v>
      </c>
      <c r="ET78" s="358">
        <v>212</v>
      </c>
      <c r="EU78" s="358">
        <v>221</v>
      </c>
      <c r="EV78" s="358">
        <v>227</v>
      </c>
      <c r="EW78" s="358">
        <v>151</v>
      </c>
      <c r="EX78" s="358">
        <v>162</v>
      </c>
      <c r="EY78" s="358">
        <v>173</v>
      </c>
      <c r="EZ78" s="358">
        <v>189</v>
      </c>
      <c r="FA78" s="358">
        <v>197</v>
      </c>
      <c r="FB78" s="358">
        <v>207</v>
      </c>
      <c r="FC78" s="358">
        <v>221</v>
      </c>
      <c r="FD78" s="358">
        <v>233</v>
      </c>
      <c r="FE78" s="358">
        <v>240</v>
      </c>
      <c r="FF78" s="358">
        <v>245</v>
      </c>
      <c r="FG78" s="358">
        <v>257</v>
      </c>
      <c r="FH78" s="358">
        <v>266</v>
      </c>
      <c r="FI78" s="358">
        <v>277</v>
      </c>
      <c r="FJ78" s="358">
        <v>283</v>
      </c>
      <c r="FK78" s="358">
        <v>288</v>
      </c>
      <c r="FL78" s="358">
        <v>130</v>
      </c>
      <c r="FM78" s="358">
        <v>140</v>
      </c>
      <c r="FN78" s="358">
        <v>146</v>
      </c>
      <c r="FO78" s="358">
        <v>153</v>
      </c>
      <c r="FP78" s="358">
        <v>166</v>
      </c>
      <c r="FQ78" s="358">
        <v>181</v>
      </c>
      <c r="FR78" s="358">
        <v>189</v>
      </c>
      <c r="FS78" s="358">
        <v>196</v>
      </c>
      <c r="FT78" s="358">
        <v>203</v>
      </c>
      <c r="FU78" s="358">
        <v>210</v>
      </c>
      <c r="FV78" s="358">
        <v>220</v>
      </c>
      <c r="FW78" s="358">
        <v>63</v>
      </c>
      <c r="FX78" s="358">
        <v>110</v>
      </c>
      <c r="FY78" s="358">
        <v>117</v>
      </c>
      <c r="FZ78" s="358">
        <v>145</v>
      </c>
      <c r="GA78" s="358">
        <v>214</v>
      </c>
      <c r="GB78" s="358">
        <v>268</v>
      </c>
      <c r="GC78" s="358">
        <v>114</v>
      </c>
      <c r="GD78" s="358">
        <v>150</v>
      </c>
      <c r="GE78" s="358">
        <v>179</v>
      </c>
      <c r="GF78" s="358">
        <v>177</v>
      </c>
      <c r="GG78" s="358">
        <v>95</v>
      </c>
      <c r="GH78" s="358">
        <v>107</v>
      </c>
      <c r="GI78" s="361">
        <v>133</v>
      </c>
    </row>
    <row r="79" spans="1:191">
      <c r="A79" s="336" t="s">
        <v>420</v>
      </c>
      <c r="B79" s="358">
        <v>13</v>
      </c>
      <c r="C79" s="358">
        <v>17</v>
      </c>
      <c r="D79" s="358">
        <v>19</v>
      </c>
      <c r="E79" s="358">
        <v>20</v>
      </c>
      <c r="F79" s="358">
        <v>23</v>
      </c>
      <c r="G79" s="358">
        <v>26</v>
      </c>
      <c r="H79" s="358">
        <v>29</v>
      </c>
      <c r="I79" s="358">
        <v>31</v>
      </c>
      <c r="J79" s="358">
        <v>34</v>
      </c>
      <c r="K79" s="358">
        <v>38</v>
      </c>
      <c r="L79" s="358">
        <v>40</v>
      </c>
      <c r="M79" s="358">
        <v>43</v>
      </c>
      <c r="N79" s="358">
        <v>45</v>
      </c>
      <c r="O79" s="358">
        <v>50</v>
      </c>
      <c r="P79" s="358">
        <v>56</v>
      </c>
      <c r="Q79" s="358">
        <v>58</v>
      </c>
      <c r="R79" s="358">
        <v>61</v>
      </c>
      <c r="S79" s="358">
        <v>63</v>
      </c>
      <c r="T79" s="358">
        <v>66</v>
      </c>
      <c r="U79" s="358">
        <v>69</v>
      </c>
      <c r="V79" s="358">
        <v>15</v>
      </c>
      <c r="W79" s="358">
        <v>17</v>
      </c>
      <c r="X79" s="358">
        <v>19</v>
      </c>
      <c r="Y79" s="358">
        <v>21</v>
      </c>
      <c r="Z79" s="358">
        <v>23</v>
      </c>
      <c r="AA79" s="358">
        <v>24</v>
      </c>
      <c r="AB79" s="358">
        <v>26</v>
      </c>
      <c r="AC79" s="358">
        <v>29</v>
      </c>
      <c r="AD79" s="358">
        <v>31</v>
      </c>
      <c r="AE79" s="358">
        <v>36</v>
      </c>
      <c r="AF79" s="358">
        <v>41</v>
      </c>
      <c r="AG79" s="358">
        <v>46</v>
      </c>
      <c r="AH79" s="358">
        <v>47</v>
      </c>
      <c r="AI79" s="358">
        <v>48</v>
      </c>
      <c r="AJ79" s="358">
        <v>52</v>
      </c>
      <c r="AK79" s="358">
        <v>58</v>
      </c>
      <c r="AL79" s="358">
        <v>64</v>
      </c>
      <c r="AM79" s="358">
        <v>69</v>
      </c>
      <c r="AN79" s="358">
        <v>75</v>
      </c>
      <c r="AO79" s="358">
        <v>79</v>
      </c>
      <c r="AP79" s="358">
        <v>85</v>
      </c>
      <c r="AQ79" s="358">
        <v>91</v>
      </c>
      <c r="AR79" s="358">
        <v>95</v>
      </c>
      <c r="AS79" s="358">
        <v>107</v>
      </c>
      <c r="AT79" s="358">
        <v>115</v>
      </c>
      <c r="AU79" s="358">
        <v>125</v>
      </c>
      <c r="AV79" s="358">
        <v>134</v>
      </c>
      <c r="AW79" s="358">
        <v>142</v>
      </c>
      <c r="AX79" s="358">
        <v>10</v>
      </c>
      <c r="AY79" s="358">
        <v>14</v>
      </c>
      <c r="AZ79" s="358">
        <v>15</v>
      </c>
      <c r="BA79" s="358">
        <v>16</v>
      </c>
      <c r="BB79" s="358">
        <v>17</v>
      </c>
      <c r="BC79" s="358">
        <v>20</v>
      </c>
      <c r="BD79" s="358">
        <v>24</v>
      </c>
      <c r="BE79" s="358">
        <v>26</v>
      </c>
      <c r="BF79" s="358">
        <v>27</v>
      </c>
      <c r="BG79" s="358">
        <v>30</v>
      </c>
      <c r="BH79" s="358">
        <v>31</v>
      </c>
      <c r="BI79" s="358">
        <v>32</v>
      </c>
      <c r="BJ79" s="358">
        <v>34</v>
      </c>
      <c r="BK79" s="358">
        <v>35</v>
      </c>
      <c r="BL79" s="358">
        <v>36</v>
      </c>
      <c r="BM79" s="358">
        <v>38</v>
      </c>
      <c r="BN79" s="358">
        <v>39</v>
      </c>
      <c r="BO79" s="358">
        <v>42</v>
      </c>
      <c r="BP79" s="358">
        <v>47</v>
      </c>
      <c r="BQ79" s="358">
        <v>51</v>
      </c>
      <c r="BR79" s="358">
        <v>61</v>
      </c>
      <c r="BS79" s="358">
        <v>68</v>
      </c>
      <c r="BT79" s="358">
        <v>72</v>
      </c>
      <c r="BU79" s="358">
        <v>75</v>
      </c>
      <c r="BV79" s="358">
        <v>8</v>
      </c>
      <c r="BW79" s="358">
        <v>7</v>
      </c>
      <c r="BX79" s="358">
        <v>4</v>
      </c>
      <c r="BZ79" s="358">
        <v>5</v>
      </c>
      <c r="CA79" s="358">
        <v>9</v>
      </c>
      <c r="CB79" s="358">
        <v>16</v>
      </c>
      <c r="CC79" s="358">
        <v>21</v>
      </c>
      <c r="CD79" s="358">
        <v>24</v>
      </c>
      <c r="CE79" s="358">
        <v>28</v>
      </c>
      <c r="CF79" s="358">
        <v>30</v>
      </c>
      <c r="CG79" s="358">
        <v>37</v>
      </c>
      <c r="CH79" s="358">
        <v>39</v>
      </c>
      <c r="CI79" s="358">
        <v>43</v>
      </c>
      <c r="CJ79" s="358">
        <v>46</v>
      </c>
      <c r="CK79" s="358">
        <v>53</v>
      </c>
      <c r="CL79" s="358">
        <v>59</v>
      </c>
      <c r="CM79" s="358">
        <v>63</v>
      </c>
      <c r="CN79" s="358">
        <v>68</v>
      </c>
      <c r="CO79" s="358">
        <v>75</v>
      </c>
      <c r="CP79" s="358">
        <v>86</v>
      </c>
      <c r="CQ79" s="358">
        <v>99</v>
      </c>
      <c r="CR79" s="358">
        <v>104</v>
      </c>
      <c r="CS79" s="358">
        <v>19</v>
      </c>
      <c r="CT79" s="358">
        <v>24</v>
      </c>
      <c r="CU79" s="358">
        <v>30</v>
      </c>
      <c r="CV79" s="358">
        <v>36</v>
      </c>
      <c r="CW79" s="358">
        <v>42</v>
      </c>
      <c r="CX79" s="358">
        <v>47</v>
      </c>
      <c r="CY79" s="358">
        <v>54</v>
      </c>
      <c r="CZ79" s="358">
        <v>57</v>
      </c>
      <c r="DA79" s="358">
        <v>61</v>
      </c>
      <c r="DB79" s="358">
        <v>66</v>
      </c>
      <c r="DC79" s="358">
        <v>77</v>
      </c>
      <c r="DD79" s="358">
        <v>87</v>
      </c>
      <c r="DE79" s="358">
        <v>91</v>
      </c>
      <c r="DF79" s="358">
        <v>97</v>
      </c>
      <c r="DG79" s="358">
        <v>106</v>
      </c>
      <c r="DH79" s="358">
        <v>111</v>
      </c>
      <c r="DI79" s="358">
        <v>118</v>
      </c>
      <c r="DJ79" s="358">
        <v>127</v>
      </c>
      <c r="DK79" s="358">
        <v>134</v>
      </c>
      <c r="DL79" s="358">
        <v>142</v>
      </c>
      <c r="DM79" s="358">
        <v>154</v>
      </c>
      <c r="DN79" s="358">
        <v>157</v>
      </c>
      <c r="DO79" s="358">
        <v>168</v>
      </c>
      <c r="DP79" s="358">
        <v>177</v>
      </c>
      <c r="DQ79" s="358">
        <v>20</v>
      </c>
      <c r="DR79" s="358">
        <v>25</v>
      </c>
      <c r="DS79" s="358">
        <v>29</v>
      </c>
      <c r="DT79" s="358">
        <v>31</v>
      </c>
      <c r="DU79" s="358">
        <v>34</v>
      </c>
      <c r="DV79" s="358">
        <v>35</v>
      </c>
      <c r="DW79" s="358">
        <v>41</v>
      </c>
      <c r="DX79" s="358">
        <v>44</v>
      </c>
      <c r="DY79" s="358">
        <v>50</v>
      </c>
      <c r="DZ79" s="358">
        <v>55</v>
      </c>
      <c r="EA79" s="358">
        <v>59</v>
      </c>
      <c r="EB79" s="358">
        <v>63</v>
      </c>
      <c r="EC79" s="358">
        <v>68</v>
      </c>
      <c r="ED79" s="358">
        <v>74</v>
      </c>
      <c r="EE79" s="358">
        <v>80</v>
      </c>
      <c r="EF79" s="358">
        <v>83</v>
      </c>
      <c r="EG79" s="358">
        <v>87</v>
      </c>
      <c r="EH79" s="358">
        <v>92</v>
      </c>
      <c r="EI79" s="358">
        <v>97</v>
      </c>
      <c r="EJ79" s="358">
        <v>101</v>
      </c>
      <c r="EK79" s="358">
        <v>106</v>
      </c>
      <c r="EL79" s="358">
        <v>110</v>
      </c>
      <c r="EM79" s="358">
        <v>159</v>
      </c>
      <c r="EN79" s="358">
        <v>171</v>
      </c>
      <c r="EO79" s="358">
        <v>182</v>
      </c>
      <c r="EP79" s="358">
        <v>192</v>
      </c>
      <c r="EQ79" s="358">
        <v>199</v>
      </c>
      <c r="ES79" s="358">
        <v>211</v>
      </c>
      <c r="ET79" s="358">
        <v>216</v>
      </c>
      <c r="EU79" s="358">
        <v>225</v>
      </c>
      <c r="EV79" s="358">
        <v>231</v>
      </c>
      <c r="EW79" s="358">
        <v>155</v>
      </c>
      <c r="EX79" s="358">
        <v>166</v>
      </c>
      <c r="EY79" s="358">
        <v>177</v>
      </c>
      <c r="EZ79" s="358">
        <v>193</v>
      </c>
      <c r="FA79" s="358">
        <v>201</v>
      </c>
      <c r="FB79" s="358">
        <v>211</v>
      </c>
      <c r="FC79" s="358">
        <v>225</v>
      </c>
      <c r="FD79" s="358">
        <v>237</v>
      </c>
      <c r="FE79" s="358">
        <v>244</v>
      </c>
      <c r="FF79" s="358">
        <v>249</v>
      </c>
      <c r="FG79" s="358">
        <v>261</v>
      </c>
      <c r="FH79" s="358">
        <v>270</v>
      </c>
      <c r="FI79" s="358">
        <v>281</v>
      </c>
      <c r="FJ79" s="358">
        <v>287</v>
      </c>
      <c r="FK79" s="358">
        <v>292</v>
      </c>
      <c r="FL79" s="358">
        <v>134</v>
      </c>
      <c r="FM79" s="358">
        <v>144</v>
      </c>
      <c r="FN79" s="358">
        <v>150</v>
      </c>
      <c r="FO79" s="358">
        <v>157</v>
      </c>
      <c r="FP79" s="358">
        <v>170</v>
      </c>
      <c r="FQ79" s="358">
        <v>185</v>
      </c>
      <c r="FR79" s="358">
        <v>193</v>
      </c>
      <c r="FS79" s="358">
        <v>200</v>
      </c>
      <c r="FT79" s="358">
        <v>207</v>
      </c>
      <c r="FU79" s="358">
        <v>214</v>
      </c>
      <c r="FV79" s="358">
        <v>224</v>
      </c>
      <c r="FW79" s="358">
        <v>59</v>
      </c>
      <c r="FX79" s="358">
        <v>106</v>
      </c>
      <c r="FY79" s="358">
        <v>113</v>
      </c>
      <c r="FZ79" s="358">
        <v>141</v>
      </c>
      <c r="GA79" s="358">
        <v>210</v>
      </c>
      <c r="GB79" s="358">
        <v>272</v>
      </c>
      <c r="GC79" s="358">
        <v>118</v>
      </c>
      <c r="GD79" s="358">
        <v>154</v>
      </c>
      <c r="GE79" s="358">
        <v>183</v>
      </c>
      <c r="GF79" s="358">
        <v>181</v>
      </c>
      <c r="GG79" s="358">
        <v>99</v>
      </c>
      <c r="GH79" s="358">
        <v>111</v>
      </c>
      <c r="GI79" s="361">
        <v>137</v>
      </c>
    </row>
    <row r="80" spans="1:191">
      <c r="A80" s="336" t="s">
        <v>419</v>
      </c>
      <c r="B80" s="358">
        <v>18</v>
      </c>
      <c r="C80" s="358">
        <v>22</v>
      </c>
      <c r="D80" s="358">
        <v>24</v>
      </c>
      <c r="E80" s="358">
        <v>25</v>
      </c>
      <c r="F80" s="358">
        <v>28</v>
      </c>
      <c r="G80" s="358">
        <v>31</v>
      </c>
      <c r="H80" s="358">
        <v>34</v>
      </c>
      <c r="I80" s="358">
        <v>36</v>
      </c>
      <c r="J80" s="358">
        <v>39</v>
      </c>
      <c r="K80" s="358">
        <v>43</v>
      </c>
      <c r="L80" s="358">
        <v>45</v>
      </c>
      <c r="M80" s="358">
        <v>48</v>
      </c>
      <c r="N80" s="358">
        <v>50</v>
      </c>
      <c r="O80" s="358">
        <v>55</v>
      </c>
      <c r="P80" s="358">
        <v>61</v>
      </c>
      <c r="Q80" s="358">
        <v>63</v>
      </c>
      <c r="R80" s="358">
        <v>66</v>
      </c>
      <c r="S80" s="358">
        <v>68</v>
      </c>
      <c r="T80" s="358">
        <v>71</v>
      </c>
      <c r="U80" s="358">
        <v>74</v>
      </c>
      <c r="V80" s="358">
        <v>20</v>
      </c>
      <c r="W80" s="358">
        <v>22</v>
      </c>
      <c r="X80" s="358">
        <v>24</v>
      </c>
      <c r="Y80" s="358">
        <v>26</v>
      </c>
      <c r="Z80" s="358">
        <v>28</v>
      </c>
      <c r="AA80" s="358">
        <v>29</v>
      </c>
      <c r="AB80" s="358">
        <v>31</v>
      </c>
      <c r="AC80" s="358">
        <v>34</v>
      </c>
      <c r="AD80" s="358">
        <v>36</v>
      </c>
      <c r="AE80" s="358">
        <v>41</v>
      </c>
      <c r="AF80" s="358">
        <v>46</v>
      </c>
      <c r="AG80" s="358">
        <v>51</v>
      </c>
      <c r="AH80" s="358">
        <v>52</v>
      </c>
      <c r="AI80" s="358">
        <v>53</v>
      </c>
      <c r="AJ80" s="358">
        <v>57</v>
      </c>
      <c r="AK80" s="358">
        <v>63</v>
      </c>
      <c r="AL80" s="358">
        <v>69</v>
      </c>
      <c r="AM80" s="358">
        <v>74</v>
      </c>
      <c r="AN80" s="358">
        <v>80</v>
      </c>
      <c r="AO80" s="358">
        <v>84</v>
      </c>
      <c r="AP80" s="358">
        <v>90</v>
      </c>
      <c r="AQ80" s="358">
        <v>96</v>
      </c>
      <c r="AR80" s="358">
        <v>100</v>
      </c>
      <c r="AS80" s="358">
        <v>112</v>
      </c>
      <c r="AT80" s="358">
        <v>120</v>
      </c>
      <c r="AU80" s="358">
        <v>130</v>
      </c>
      <c r="AV80" s="358">
        <v>139</v>
      </c>
      <c r="AW80" s="358">
        <v>147</v>
      </c>
      <c r="AX80" s="358">
        <v>15</v>
      </c>
      <c r="AY80" s="358">
        <v>19</v>
      </c>
      <c r="AZ80" s="358">
        <v>20</v>
      </c>
      <c r="BA80" s="358">
        <v>21</v>
      </c>
      <c r="BB80" s="358">
        <v>22</v>
      </c>
      <c r="BC80" s="358">
        <v>25</v>
      </c>
      <c r="BD80" s="358">
        <v>29</v>
      </c>
      <c r="BE80" s="358">
        <v>31</v>
      </c>
      <c r="BF80" s="358">
        <v>32</v>
      </c>
      <c r="BG80" s="358">
        <v>35</v>
      </c>
      <c r="BH80" s="358">
        <v>36</v>
      </c>
      <c r="BI80" s="358">
        <v>37</v>
      </c>
      <c r="BJ80" s="358">
        <v>39</v>
      </c>
      <c r="BK80" s="358">
        <v>40</v>
      </c>
      <c r="BL80" s="358">
        <v>41</v>
      </c>
      <c r="BM80" s="358">
        <v>43</v>
      </c>
      <c r="BN80" s="358">
        <v>44</v>
      </c>
      <c r="BO80" s="358">
        <v>47</v>
      </c>
      <c r="BP80" s="358">
        <v>52</v>
      </c>
      <c r="BQ80" s="358">
        <v>56</v>
      </c>
      <c r="BR80" s="358">
        <v>66</v>
      </c>
      <c r="BS80" s="358">
        <v>73</v>
      </c>
      <c r="BT80" s="358">
        <v>77</v>
      </c>
      <c r="BU80" s="358">
        <v>80</v>
      </c>
      <c r="BV80" s="358">
        <v>13</v>
      </c>
      <c r="BW80" s="358">
        <v>12</v>
      </c>
      <c r="BX80" s="358">
        <v>9</v>
      </c>
      <c r="BY80" s="358">
        <v>5</v>
      </c>
      <c r="CA80" s="358">
        <v>4</v>
      </c>
      <c r="CB80" s="358">
        <v>11</v>
      </c>
      <c r="CC80" s="358">
        <v>16</v>
      </c>
      <c r="CD80" s="358">
        <v>19</v>
      </c>
      <c r="CE80" s="358">
        <v>23</v>
      </c>
      <c r="CF80" s="358">
        <v>25</v>
      </c>
      <c r="CG80" s="358">
        <v>32</v>
      </c>
      <c r="CH80" s="358">
        <v>34</v>
      </c>
      <c r="CI80" s="358">
        <v>38</v>
      </c>
      <c r="CJ80" s="358">
        <v>41</v>
      </c>
      <c r="CK80" s="358">
        <v>48</v>
      </c>
      <c r="CL80" s="358">
        <v>54</v>
      </c>
      <c r="CM80" s="358">
        <v>58</v>
      </c>
      <c r="CN80" s="358">
        <v>63</v>
      </c>
      <c r="CO80" s="358">
        <v>70</v>
      </c>
      <c r="CP80" s="358">
        <v>81</v>
      </c>
      <c r="CQ80" s="358">
        <v>94</v>
      </c>
      <c r="CR80" s="358">
        <v>99</v>
      </c>
      <c r="CS80" s="358">
        <v>24</v>
      </c>
      <c r="CT80" s="358">
        <v>29</v>
      </c>
      <c r="CU80" s="358">
        <v>35</v>
      </c>
      <c r="CV80" s="358">
        <v>41</v>
      </c>
      <c r="CW80" s="358">
        <v>47</v>
      </c>
      <c r="CX80" s="358">
        <v>52</v>
      </c>
      <c r="CY80" s="358">
        <v>59</v>
      </c>
      <c r="CZ80" s="358">
        <v>62</v>
      </c>
      <c r="DA80" s="358">
        <v>66</v>
      </c>
      <c r="DB80" s="358">
        <v>71</v>
      </c>
      <c r="DC80" s="358">
        <v>82</v>
      </c>
      <c r="DD80" s="358">
        <v>92</v>
      </c>
      <c r="DE80" s="358">
        <v>96</v>
      </c>
      <c r="DF80" s="358">
        <v>102</v>
      </c>
      <c r="DG80" s="358">
        <v>111</v>
      </c>
      <c r="DH80" s="358">
        <v>116</v>
      </c>
      <c r="DI80" s="358">
        <v>123</v>
      </c>
      <c r="DJ80" s="358">
        <v>132</v>
      </c>
      <c r="DK80" s="358">
        <v>139</v>
      </c>
      <c r="DL80" s="358">
        <v>147</v>
      </c>
      <c r="DM80" s="358">
        <v>159</v>
      </c>
      <c r="DN80" s="358">
        <v>162</v>
      </c>
      <c r="DO80" s="358">
        <v>173</v>
      </c>
      <c r="DP80" s="358">
        <v>182</v>
      </c>
      <c r="DQ80" s="358">
        <v>25</v>
      </c>
      <c r="DR80" s="358">
        <v>30</v>
      </c>
      <c r="DS80" s="358">
        <v>34</v>
      </c>
      <c r="DT80" s="358">
        <v>36</v>
      </c>
      <c r="DU80" s="358">
        <v>39</v>
      </c>
      <c r="DV80" s="358">
        <v>40</v>
      </c>
      <c r="DW80" s="358">
        <v>46</v>
      </c>
      <c r="DX80" s="358">
        <v>49</v>
      </c>
      <c r="DY80" s="358">
        <v>55</v>
      </c>
      <c r="DZ80" s="358">
        <v>60</v>
      </c>
      <c r="EA80" s="358">
        <v>64</v>
      </c>
      <c r="EB80" s="358">
        <v>68</v>
      </c>
      <c r="EC80" s="358">
        <v>73</v>
      </c>
      <c r="ED80" s="358">
        <v>79</v>
      </c>
      <c r="EE80" s="358">
        <v>85</v>
      </c>
      <c r="EF80" s="358">
        <v>88</v>
      </c>
      <c r="EG80" s="358">
        <v>92</v>
      </c>
      <c r="EH80" s="358">
        <v>97</v>
      </c>
      <c r="EI80" s="358">
        <v>102</v>
      </c>
      <c r="EJ80" s="358">
        <v>106</v>
      </c>
      <c r="EK80" s="358">
        <v>111</v>
      </c>
      <c r="EL80" s="358">
        <v>115</v>
      </c>
      <c r="EM80" s="358">
        <v>164</v>
      </c>
      <c r="EN80" s="358">
        <v>176</v>
      </c>
      <c r="EO80" s="358">
        <v>187</v>
      </c>
      <c r="EP80" s="358">
        <v>197</v>
      </c>
      <c r="EQ80" s="358">
        <v>204</v>
      </c>
      <c r="ES80" s="358">
        <v>216</v>
      </c>
      <c r="ET80" s="358">
        <v>221</v>
      </c>
      <c r="EU80" s="358">
        <v>230</v>
      </c>
      <c r="EV80" s="358">
        <v>236</v>
      </c>
      <c r="EW80" s="358">
        <v>160</v>
      </c>
      <c r="EX80" s="358">
        <v>171</v>
      </c>
      <c r="EY80" s="358">
        <v>182</v>
      </c>
      <c r="EZ80" s="358">
        <v>198</v>
      </c>
      <c r="FA80" s="358">
        <v>206</v>
      </c>
      <c r="FB80" s="358">
        <v>216</v>
      </c>
      <c r="FC80" s="358">
        <v>230</v>
      </c>
      <c r="FD80" s="358">
        <v>242</v>
      </c>
      <c r="FE80" s="358">
        <v>249</v>
      </c>
      <c r="FF80" s="358">
        <v>254</v>
      </c>
      <c r="FG80" s="358">
        <v>266</v>
      </c>
      <c r="FH80" s="358">
        <v>275</v>
      </c>
      <c r="FI80" s="358">
        <v>286</v>
      </c>
      <c r="FJ80" s="358">
        <v>292</v>
      </c>
      <c r="FK80" s="358">
        <v>297</v>
      </c>
      <c r="FL80" s="358">
        <v>139</v>
      </c>
      <c r="FM80" s="358">
        <v>149</v>
      </c>
      <c r="FN80" s="358">
        <v>155</v>
      </c>
      <c r="FO80" s="358">
        <v>162</v>
      </c>
      <c r="FP80" s="358">
        <v>175</v>
      </c>
      <c r="FQ80" s="358">
        <v>190</v>
      </c>
      <c r="FR80" s="358">
        <v>198</v>
      </c>
      <c r="FS80" s="358">
        <v>205</v>
      </c>
      <c r="FT80" s="358">
        <v>212</v>
      </c>
      <c r="FU80" s="358">
        <v>219</v>
      </c>
      <c r="FV80" s="358">
        <v>229</v>
      </c>
      <c r="FW80" s="358">
        <v>54</v>
      </c>
      <c r="FX80" s="358">
        <v>101</v>
      </c>
      <c r="FY80" s="358">
        <v>108</v>
      </c>
      <c r="FZ80" s="358">
        <v>136</v>
      </c>
      <c r="GA80" s="358">
        <v>205</v>
      </c>
      <c r="GB80" s="358">
        <v>277</v>
      </c>
      <c r="GC80" s="358">
        <v>123</v>
      </c>
      <c r="GD80" s="358">
        <v>159</v>
      </c>
      <c r="GE80" s="358">
        <v>188</v>
      </c>
      <c r="GF80" s="358">
        <v>186</v>
      </c>
      <c r="GG80" s="358">
        <v>104</v>
      </c>
      <c r="GH80" s="358">
        <v>116</v>
      </c>
      <c r="GI80" s="361">
        <v>142</v>
      </c>
    </row>
    <row r="81" spans="1:191">
      <c r="A81" s="336" t="s">
        <v>418</v>
      </c>
      <c r="B81" s="358">
        <v>22</v>
      </c>
      <c r="C81" s="358">
        <v>26</v>
      </c>
      <c r="D81" s="358">
        <v>28</v>
      </c>
      <c r="E81" s="358">
        <v>29</v>
      </c>
      <c r="F81" s="358">
        <v>32</v>
      </c>
      <c r="G81" s="358">
        <v>35</v>
      </c>
      <c r="H81" s="358">
        <v>38</v>
      </c>
      <c r="I81" s="358">
        <v>40</v>
      </c>
      <c r="J81" s="358">
        <v>43</v>
      </c>
      <c r="K81" s="358">
        <v>47</v>
      </c>
      <c r="L81" s="358">
        <v>49</v>
      </c>
      <c r="M81" s="358">
        <v>52</v>
      </c>
      <c r="N81" s="358">
        <v>54</v>
      </c>
      <c r="O81" s="358">
        <v>59</v>
      </c>
      <c r="P81" s="358">
        <v>65</v>
      </c>
      <c r="Q81" s="358">
        <v>67</v>
      </c>
      <c r="R81" s="358">
        <v>70</v>
      </c>
      <c r="S81" s="358">
        <v>72</v>
      </c>
      <c r="T81" s="358">
        <v>75</v>
      </c>
      <c r="U81" s="358">
        <v>78</v>
      </c>
      <c r="V81" s="358">
        <v>24</v>
      </c>
      <c r="W81" s="358">
        <v>26</v>
      </c>
      <c r="X81" s="358">
        <v>28</v>
      </c>
      <c r="Y81" s="358">
        <v>30</v>
      </c>
      <c r="Z81" s="358">
        <v>32</v>
      </c>
      <c r="AA81" s="358">
        <v>33</v>
      </c>
      <c r="AB81" s="358">
        <v>35</v>
      </c>
      <c r="AC81" s="358">
        <v>38</v>
      </c>
      <c r="AD81" s="358">
        <v>40</v>
      </c>
      <c r="AE81" s="358">
        <v>45</v>
      </c>
      <c r="AF81" s="358">
        <v>50</v>
      </c>
      <c r="AG81" s="358">
        <v>55</v>
      </c>
      <c r="AH81" s="358">
        <v>56</v>
      </c>
      <c r="AI81" s="358">
        <v>57</v>
      </c>
      <c r="AJ81" s="358">
        <v>61</v>
      </c>
      <c r="AK81" s="358">
        <v>67</v>
      </c>
      <c r="AL81" s="358">
        <v>73</v>
      </c>
      <c r="AM81" s="358">
        <v>78</v>
      </c>
      <c r="AN81" s="358">
        <v>84</v>
      </c>
      <c r="AO81" s="358">
        <v>88</v>
      </c>
      <c r="AP81" s="358">
        <v>94</v>
      </c>
      <c r="AQ81" s="358">
        <v>100</v>
      </c>
      <c r="AR81" s="358">
        <v>104</v>
      </c>
      <c r="AS81" s="358">
        <v>116</v>
      </c>
      <c r="AT81" s="358">
        <v>124</v>
      </c>
      <c r="AU81" s="358">
        <v>134</v>
      </c>
      <c r="AV81" s="358">
        <v>143</v>
      </c>
      <c r="AW81" s="358">
        <v>151</v>
      </c>
      <c r="AX81" s="358">
        <v>19</v>
      </c>
      <c r="AY81" s="358">
        <v>23</v>
      </c>
      <c r="AZ81" s="358">
        <v>24</v>
      </c>
      <c r="BA81" s="358">
        <v>25</v>
      </c>
      <c r="BB81" s="358">
        <v>26</v>
      </c>
      <c r="BC81" s="358">
        <v>29</v>
      </c>
      <c r="BD81" s="358">
        <v>33</v>
      </c>
      <c r="BE81" s="358">
        <v>35</v>
      </c>
      <c r="BF81" s="358">
        <v>36</v>
      </c>
      <c r="BG81" s="358">
        <v>39</v>
      </c>
      <c r="BH81" s="358">
        <v>40</v>
      </c>
      <c r="BI81" s="358">
        <v>41</v>
      </c>
      <c r="BJ81" s="358">
        <v>43</v>
      </c>
      <c r="BK81" s="358">
        <v>44</v>
      </c>
      <c r="BL81" s="358">
        <v>45</v>
      </c>
      <c r="BM81" s="358">
        <v>47</v>
      </c>
      <c r="BN81" s="358">
        <v>48</v>
      </c>
      <c r="BO81" s="358">
        <v>51</v>
      </c>
      <c r="BP81" s="358">
        <v>56</v>
      </c>
      <c r="BQ81" s="358">
        <v>60</v>
      </c>
      <c r="BR81" s="358">
        <v>70</v>
      </c>
      <c r="BS81" s="358">
        <v>77</v>
      </c>
      <c r="BT81" s="358">
        <v>81</v>
      </c>
      <c r="BU81" s="358">
        <v>84</v>
      </c>
      <c r="BV81" s="358">
        <v>17</v>
      </c>
      <c r="BW81" s="358">
        <v>16</v>
      </c>
      <c r="BX81" s="358">
        <v>13</v>
      </c>
      <c r="BY81" s="358">
        <v>9</v>
      </c>
      <c r="BZ81" s="358">
        <v>4</v>
      </c>
      <c r="CB81" s="358">
        <v>7</v>
      </c>
      <c r="CC81" s="358">
        <v>12</v>
      </c>
      <c r="CD81" s="358">
        <v>15</v>
      </c>
      <c r="CE81" s="358">
        <v>19</v>
      </c>
      <c r="CF81" s="358">
        <v>21</v>
      </c>
      <c r="CG81" s="358">
        <v>28</v>
      </c>
      <c r="CH81" s="358">
        <v>30</v>
      </c>
      <c r="CI81" s="358">
        <v>34</v>
      </c>
      <c r="CJ81" s="358">
        <v>37</v>
      </c>
      <c r="CK81" s="358">
        <v>44</v>
      </c>
      <c r="CL81" s="358">
        <v>50</v>
      </c>
      <c r="CM81" s="358">
        <v>54</v>
      </c>
      <c r="CN81" s="358">
        <v>59</v>
      </c>
      <c r="CO81" s="358">
        <v>66</v>
      </c>
      <c r="CP81" s="358">
        <v>77</v>
      </c>
      <c r="CQ81" s="358">
        <v>90</v>
      </c>
      <c r="CR81" s="358">
        <v>95</v>
      </c>
      <c r="CS81" s="358">
        <v>28</v>
      </c>
      <c r="CT81" s="358">
        <v>33</v>
      </c>
      <c r="CU81" s="358">
        <v>39</v>
      </c>
      <c r="CV81" s="358">
        <v>45</v>
      </c>
      <c r="CW81" s="358">
        <v>51</v>
      </c>
      <c r="CX81" s="358">
        <v>56</v>
      </c>
      <c r="CY81" s="358">
        <v>63</v>
      </c>
      <c r="CZ81" s="358">
        <v>66</v>
      </c>
      <c r="DA81" s="358">
        <v>70</v>
      </c>
      <c r="DB81" s="358">
        <v>75</v>
      </c>
      <c r="DC81" s="358">
        <v>86</v>
      </c>
      <c r="DD81" s="358">
        <v>96</v>
      </c>
      <c r="DE81" s="358">
        <v>100</v>
      </c>
      <c r="DF81" s="358">
        <v>106</v>
      </c>
      <c r="DG81" s="358">
        <v>115</v>
      </c>
      <c r="DH81" s="358">
        <v>120</v>
      </c>
      <c r="DI81" s="358">
        <v>127</v>
      </c>
      <c r="DJ81" s="358">
        <v>136</v>
      </c>
      <c r="DK81" s="358">
        <v>143</v>
      </c>
      <c r="DL81" s="358">
        <v>151</v>
      </c>
      <c r="DM81" s="358">
        <v>163</v>
      </c>
      <c r="DN81" s="358">
        <v>166</v>
      </c>
      <c r="DO81" s="358">
        <v>177</v>
      </c>
      <c r="DP81" s="358">
        <v>186</v>
      </c>
      <c r="DQ81" s="358">
        <v>29</v>
      </c>
      <c r="DR81" s="358">
        <v>34</v>
      </c>
      <c r="DS81" s="358">
        <v>38</v>
      </c>
      <c r="DT81" s="358">
        <v>40</v>
      </c>
      <c r="DU81" s="358">
        <v>43</v>
      </c>
      <c r="DV81" s="358">
        <v>44</v>
      </c>
      <c r="DW81" s="358">
        <v>50</v>
      </c>
      <c r="DX81" s="358">
        <v>53</v>
      </c>
      <c r="DY81" s="358">
        <v>59</v>
      </c>
      <c r="DZ81" s="358">
        <v>64</v>
      </c>
      <c r="EA81" s="358">
        <v>68</v>
      </c>
      <c r="EB81" s="358">
        <v>72</v>
      </c>
      <c r="EC81" s="358">
        <v>77</v>
      </c>
      <c r="ED81" s="358">
        <v>83</v>
      </c>
      <c r="EE81" s="358">
        <v>89</v>
      </c>
      <c r="EF81" s="358">
        <v>92</v>
      </c>
      <c r="EG81" s="358">
        <v>96</v>
      </c>
      <c r="EH81" s="358">
        <v>101</v>
      </c>
      <c r="EI81" s="358">
        <v>106</v>
      </c>
      <c r="EJ81" s="358">
        <v>110</v>
      </c>
      <c r="EK81" s="358">
        <v>115</v>
      </c>
      <c r="EL81" s="358">
        <v>119</v>
      </c>
      <c r="EM81" s="358">
        <v>168</v>
      </c>
      <c r="EN81" s="358">
        <v>180</v>
      </c>
      <c r="EO81" s="358">
        <v>191</v>
      </c>
      <c r="EP81" s="358">
        <v>201</v>
      </c>
      <c r="EQ81" s="358">
        <v>208</v>
      </c>
      <c r="ES81" s="358">
        <v>220</v>
      </c>
      <c r="ET81" s="358">
        <v>225</v>
      </c>
      <c r="EU81" s="358">
        <v>234</v>
      </c>
      <c r="EV81" s="358">
        <v>240</v>
      </c>
      <c r="EW81" s="358">
        <v>164</v>
      </c>
      <c r="EX81" s="358">
        <v>175</v>
      </c>
      <c r="EY81" s="358">
        <v>186</v>
      </c>
      <c r="EZ81" s="358">
        <v>202</v>
      </c>
      <c r="FA81" s="358">
        <v>210</v>
      </c>
      <c r="FB81" s="358">
        <v>220</v>
      </c>
      <c r="FC81" s="358">
        <v>234</v>
      </c>
      <c r="FD81" s="358">
        <v>246</v>
      </c>
      <c r="FE81" s="358">
        <v>253</v>
      </c>
      <c r="FF81" s="358">
        <v>258</v>
      </c>
      <c r="FG81" s="358">
        <v>270</v>
      </c>
      <c r="FH81" s="358">
        <v>279</v>
      </c>
      <c r="FI81" s="358">
        <v>290</v>
      </c>
      <c r="FJ81" s="358">
        <v>296</v>
      </c>
      <c r="FK81" s="358">
        <v>301</v>
      </c>
      <c r="FL81" s="358">
        <v>143</v>
      </c>
      <c r="FM81" s="358">
        <v>153</v>
      </c>
      <c r="FN81" s="358">
        <v>159</v>
      </c>
      <c r="FO81" s="358">
        <v>166</v>
      </c>
      <c r="FP81" s="358">
        <v>179</v>
      </c>
      <c r="FQ81" s="358">
        <v>194</v>
      </c>
      <c r="FR81" s="358">
        <v>202</v>
      </c>
      <c r="FS81" s="358">
        <v>209</v>
      </c>
      <c r="FT81" s="358">
        <v>216</v>
      </c>
      <c r="FU81" s="358">
        <v>223</v>
      </c>
      <c r="FV81" s="358">
        <v>233</v>
      </c>
      <c r="FW81" s="358">
        <v>50</v>
      </c>
      <c r="FX81" s="358">
        <v>97</v>
      </c>
      <c r="FY81" s="358">
        <v>104</v>
      </c>
      <c r="FZ81" s="358">
        <v>132</v>
      </c>
      <c r="GA81" s="358">
        <v>201</v>
      </c>
      <c r="GB81" s="358">
        <v>281</v>
      </c>
      <c r="GC81" s="358">
        <v>127</v>
      </c>
      <c r="GD81" s="358">
        <v>163</v>
      </c>
      <c r="GE81" s="358">
        <v>192</v>
      </c>
      <c r="GF81" s="358">
        <v>190</v>
      </c>
      <c r="GG81" s="358">
        <v>108</v>
      </c>
      <c r="GH81" s="358">
        <v>120</v>
      </c>
      <c r="GI81" s="361">
        <v>146</v>
      </c>
    </row>
    <row r="82" spans="1:191">
      <c r="A82" s="336" t="s">
        <v>417</v>
      </c>
      <c r="B82" s="358">
        <v>29</v>
      </c>
      <c r="C82" s="358">
        <v>33</v>
      </c>
      <c r="D82" s="358">
        <v>35</v>
      </c>
      <c r="E82" s="358">
        <v>36</v>
      </c>
      <c r="F82" s="358">
        <v>39</v>
      </c>
      <c r="G82" s="358">
        <v>42</v>
      </c>
      <c r="H82" s="358">
        <v>45</v>
      </c>
      <c r="I82" s="358">
        <v>47</v>
      </c>
      <c r="J82" s="358">
        <v>50</v>
      </c>
      <c r="K82" s="358">
        <v>54</v>
      </c>
      <c r="L82" s="358">
        <v>56</v>
      </c>
      <c r="M82" s="358">
        <v>59</v>
      </c>
      <c r="N82" s="358">
        <v>61</v>
      </c>
      <c r="O82" s="358">
        <v>66</v>
      </c>
      <c r="P82" s="358">
        <v>72</v>
      </c>
      <c r="Q82" s="358">
        <v>74</v>
      </c>
      <c r="R82" s="358">
        <v>77</v>
      </c>
      <c r="S82" s="358">
        <v>79</v>
      </c>
      <c r="T82" s="358">
        <v>82</v>
      </c>
      <c r="U82" s="358">
        <v>85</v>
      </c>
      <c r="V82" s="358">
        <v>31</v>
      </c>
      <c r="W82" s="358">
        <v>33</v>
      </c>
      <c r="X82" s="358">
        <v>35</v>
      </c>
      <c r="Y82" s="358">
        <v>37</v>
      </c>
      <c r="Z82" s="358">
        <v>39</v>
      </c>
      <c r="AA82" s="358">
        <v>40</v>
      </c>
      <c r="AB82" s="358">
        <v>42</v>
      </c>
      <c r="AC82" s="358">
        <v>45</v>
      </c>
      <c r="AD82" s="358">
        <v>47</v>
      </c>
      <c r="AE82" s="358">
        <v>52</v>
      </c>
      <c r="AF82" s="358">
        <v>57</v>
      </c>
      <c r="AG82" s="358">
        <v>62</v>
      </c>
      <c r="AH82" s="358">
        <v>63</v>
      </c>
      <c r="AI82" s="358">
        <v>64</v>
      </c>
      <c r="AJ82" s="358">
        <v>68</v>
      </c>
      <c r="AK82" s="358">
        <v>74</v>
      </c>
      <c r="AL82" s="358">
        <v>80</v>
      </c>
      <c r="AM82" s="358">
        <v>85</v>
      </c>
      <c r="AN82" s="358">
        <v>91</v>
      </c>
      <c r="AO82" s="358">
        <v>95</v>
      </c>
      <c r="AP82" s="358">
        <v>101</v>
      </c>
      <c r="AQ82" s="358">
        <v>107</v>
      </c>
      <c r="AR82" s="358">
        <v>111</v>
      </c>
      <c r="AS82" s="358">
        <v>123</v>
      </c>
      <c r="AT82" s="358">
        <v>131</v>
      </c>
      <c r="AU82" s="358">
        <v>141</v>
      </c>
      <c r="AV82" s="358">
        <v>150</v>
      </c>
      <c r="AW82" s="358">
        <v>158</v>
      </c>
      <c r="AX82" s="358">
        <v>26</v>
      </c>
      <c r="AY82" s="358">
        <v>30</v>
      </c>
      <c r="AZ82" s="358">
        <v>31</v>
      </c>
      <c r="BA82" s="358">
        <v>32</v>
      </c>
      <c r="BB82" s="358">
        <v>33</v>
      </c>
      <c r="BC82" s="358">
        <v>36</v>
      </c>
      <c r="BD82" s="358">
        <v>40</v>
      </c>
      <c r="BE82" s="358">
        <v>42</v>
      </c>
      <c r="BF82" s="358">
        <v>43</v>
      </c>
      <c r="BG82" s="358">
        <v>46</v>
      </c>
      <c r="BH82" s="358">
        <v>47</v>
      </c>
      <c r="BI82" s="358">
        <v>48</v>
      </c>
      <c r="BJ82" s="358">
        <v>50</v>
      </c>
      <c r="BK82" s="358">
        <v>51</v>
      </c>
      <c r="BL82" s="358">
        <v>52</v>
      </c>
      <c r="BM82" s="358">
        <v>54</v>
      </c>
      <c r="BN82" s="358">
        <v>55</v>
      </c>
      <c r="BO82" s="358">
        <v>58</v>
      </c>
      <c r="BP82" s="358">
        <v>63</v>
      </c>
      <c r="BQ82" s="358">
        <v>67</v>
      </c>
      <c r="BR82" s="358">
        <v>77</v>
      </c>
      <c r="BS82" s="358">
        <v>84</v>
      </c>
      <c r="BT82" s="358">
        <v>88</v>
      </c>
      <c r="BU82" s="358">
        <v>91</v>
      </c>
      <c r="BV82" s="358">
        <v>24</v>
      </c>
      <c r="BW82" s="358">
        <v>23</v>
      </c>
      <c r="BX82" s="358">
        <v>20</v>
      </c>
      <c r="BY82" s="358">
        <v>16</v>
      </c>
      <c r="BZ82" s="358">
        <v>11</v>
      </c>
      <c r="CA82" s="358">
        <v>7</v>
      </c>
      <c r="CC82" s="358">
        <v>5</v>
      </c>
      <c r="CD82" s="358">
        <v>8</v>
      </c>
      <c r="CE82" s="358">
        <v>12</v>
      </c>
      <c r="CF82" s="358">
        <v>14</v>
      </c>
      <c r="CG82" s="358">
        <v>21</v>
      </c>
      <c r="CH82" s="358">
        <v>23</v>
      </c>
      <c r="CI82" s="358">
        <v>27</v>
      </c>
      <c r="CJ82" s="358">
        <v>30</v>
      </c>
      <c r="CK82" s="358">
        <v>37</v>
      </c>
      <c r="CL82" s="358">
        <v>43</v>
      </c>
      <c r="CM82" s="358">
        <v>47</v>
      </c>
      <c r="CN82" s="358">
        <v>52</v>
      </c>
      <c r="CO82" s="358">
        <v>59</v>
      </c>
      <c r="CP82" s="358">
        <v>70</v>
      </c>
      <c r="CQ82" s="358">
        <v>83</v>
      </c>
      <c r="CR82" s="358">
        <v>88</v>
      </c>
      <c r="CS82" s="358">
        <v>35</v>
      </c>
      <c r="CT82" s="358">
        <v>40</v>
      </c>
      <c r="CU82" s="358">
        <v>46</v>
      </c>
      <c r="CV82" s="358">
        <v>52</v>
      </c>
      <c r="CW82" s="358">
        <v>58</v>
      </c>
      <c r="CX82" s="358">
        <v>63</v>
      </c>
      <c r="CY82" s="358">
        <v>70</v>
      </c>
      <c r="CZ82" s="358">
        <v>73</v>
      </c>
      <c r="DA82" s="358">
        <v>77</v>
      </c>
      <c r="DB82" s="358">
        <v>82</v>
      </c>
      <c r="DC82" s="358">
        <v>93</v>
      </c>
      <c r="DD82" s="358">
        <v>103</v>
      </c>
      <c r="DE82" s="358">
        <v>107</v>
      </c>
      <c r="DF82" s="358">
        <v>113</v>
      </c>
      <c r="DG82" s="358">
        <v>122</v>
      </c>
      <c r="DH82" s="358">
        <v>127</v>
      </c>
      <c r="DI82" s="358">
        <v>134</v>
      </c>
      <c r="DJ82" s="358">
        <v>143</v>
      </c>
      <c r="DK82" s="358">
        <v>150</v>
      </c>
      <c r="DL82" s="358">
        <v>158</v>
      </c>
      <c r="DM82" s="358">
        <v>170</v>
      </c>
      <c r="DN82" s="358">
        <v>173</v>
      </c>
      <c r="DO82" s="358">
        <v>184</v>
      </c>
      <c r="DP82" s="358">
        <v>193</v>
      </c>
      <c r="DQ82" s="358">
        <v>36</v>
      </c>
      <c r="DR82" s="358">
        <v>41</v>
      </c>
      <c r="DS82" s="358">
        <v>45</v>
      </c>
      <c r="DT82" s="358">
        <v>47</v>
      </c>
      <c r="DU82" s="358">
        <v>50</v>
      </c>
      <c r="DV82" s="358">
        <v>51</v>
      </c>
      <c r="DW82" s="358">
        <v>57</v>
      </c>
      <c r="DX82" s="358">
        <v>60</v>
      </c>
      <c r="DY82" s="358">
        <v>66</v>
      </c>
      <c r="DZ82" s="358">
        <v>71</v>
      </c>
      <c r="EA82" s="358">
        <v>75</v>
      </c>
      <c r="EB82" s="358">
        <v>79</v>
      </c>
      <c r="EC82" s="358">
        <v>84</v>
      </c>
      <c r="ED82" s="358">
        <v>90</v>
      </c>
      <c r="EE82" s="358">
        <v>96</v>
      </c>
      <c r="EF82" s="358">
        <v>99</v>
      </c>
      <c r="EG82" s="358">
        <v>103</v>
      </c>
      <c r="EH82" s="358">
        <v>108</v>
      </c>
      <c r="EI82" s="358">
        <v>113</v>
      </c>
      <c r="EJ82" s="358">
        <v>117</v>
      </c>
      <c r="EK82" s="358">
        <v>122</v>
      </c>
      <c r="EL82" s="358">
        <v>126</v>
      </c>
      <c r="EM82" s="358">
        <v>175</v>
      </c>
      <c r="EN82" s="358">
        <v>187</v>
      </c>
      <c r="EO82" s="358">
        <v>198</v>
      </c>
      <c r="EP82" s="358">
        <v>208</v>
      </c>
      <c r="EQ82" s="358">
        <v>215</v>
      </c>
      <c r="ES82" s="358">
        <v>227</v>
      </c>
      <c r="ET82" s="358">
        <v>232</v>
      </c>
      <c r="EU82" s="358">
        <v>241</v>
      </c>
      <c r="EV82" s="358">
        <v>247</v>
      </c>
      <c r="EW82" s="358">
        <v>171</v>
      </c>
      <c r="EX82" s="358">
        <v>182</v>
      </c>
      <c r="EY82" s="358">
        <v>193</v>
      </c>
      <c r="EZ82" s="358">
        <v>209</v>
      </c>
      <c r="FA82" s="358">
        <v>217</v>
      </c>
      <c r="FB82" s="358">
        <v>227</v>
      </c>
      <c r="FC82" s="358">
        <v>241</v>
      </c>
      <c r="FD82" s="358">
        <v>253</v>
      </c>
      <c r="FE82" s="358">
        <v>260</v>
      </c>
      <c r="FF82" s="358">
        <v>265</v>
      </c>
      <c r="FG82" s="358">
        <v>277</v>
      </c>
      <c r="FH82" s="358">
        <v>286</v>
      </c>
      <c r="FI82" s="358">
        <v>297</v>
      </c>
      <c r="FJ82" s="358">
        <v>303</v>
      </c>
      <c r="FK82" s="358">
        <v>308</v>
      </c>
      <c r="FL82" s="358">
        <v>150</v>
      </c>
      <c r="FM82" s="358">
        <v>160</v>
      </c>
      <c r="FN82" s="358">
        <v>166</v>
      </c>
      <c r="FO82" s="358">
        <v>173</v>
      </c>
      <c r="FP82" s="358">
        <v>186</v>
      </c>
      <c r="FQ82" s="358">
        <v>201</v>
      </c>
      <c r="FR82" s="358">
        <v>209</v>
      </c>
      <c r="FS82" s="358">
        <v>216</v>
      </c>
      <c r="FT82" s="358">
        <v>223</v>
      </c>
      <c r="FU82" s="358">
        <v>230</v>
      </c>
      <c r="FV82" s="358">
        <v>240</v>
      </c>
      <c r="FW82" s="358">
        <v>43</v>
      </c>
      <c r="FX82" s="358">
        <v>90</v>
      </c>
      <c r="FY82" s="358">
        <v>97</v>
      </c>
      <c r="FZ82" s="358">
        <v>125</v>
      </c>
      <c r="GA82" s="358">
        <v>194</v>
      </c>
      <c r="GB82" s="358">
        <v>288</v>
      </c>
      <c r="GC82" s="358">
        <v>134</v>
      </c>
      <c r="GD82" s="358">
        <v>170</v>
      </c>
      <c r="GE82" s="358">
        <v>199</v>
      </c>
      <c r="GF82" s="358">
        <v>197</v>
      </c>
      <c r="GG82" s="358">
        <v>115</v>
      </c>
      <c r="GH82" s="358">
        <v>127</v>
      </c>
      <c r="GI82" s="361">
        <v>153</v>
      </c>
    </row>
    <row r="83" spans="1:191">
      <c r="A83" s="336" t="s">
        <v>416</v>
      </c>
      <c r="B83" s="358">
        <v>34</v>
      </c>
      <c r="C83" s="358">
        <v>38</v>
      </c>
      <c r="D83" s="358">
        <v>40</v>
      </c>
      <c r="E83" s="358">
        <v>41</v>
      </c>
      <c r="F83" s="358">
        <v>44</v>
      </c>
      <c r="G83" s="358">
        <v>47</v>
      </c>
      <c r="H83" s="358">
        <v>50</v>
      </c>
      <c r="I83" s="358">
        <v>52</v>
      </c>
      <c r="J83" s="358">
        <v>55</v>
      </c>
      <c r="K83" s="358">
        <v>59</v>
      </c>
      <c r="L83" s="358">
        <v>61</v>
      </c>
      <c r="M83" s="358">
        <v>64</v>
      </c>
      <c r="N83" s="358">
        <v>66</v>
      </c>
      <c r="O83" s="358">
        <v>71</v>
      </c>
      <c r="P83" s="358">
        <v>77</v>
      </c>
      <c r="Q83" s="358">
        <v>79</v>
      </c>
      <c r="R83" s="358">
        <v>82</v>
      </c>
      <c r="S83" s="358">
        <v>84</v>
      </c>
      <c r="T83" s="358">
        <v>87</v>
      </c>
      <c r="U83" s="358">
        <v>90</v>
      </c>
      <c r="V83" s="358">
        <v>36</v>
      </c>
      <c r="W83" s="358">
        <v>38</v>
      </c>
      <c r="X83" s="358">
        <v>40</v>
      </c>
      <c r="Y83" s="358">
        <v>42</v>
      </c>
      <c r="Z83" s="358">
        <v>44</v>
      </c>
      <c r="AA83" s="358">
        <v>45</v>
      </c>
      <c r="AB83" s="358">
        <v>47</v>
      </c>
      <c r="AC83" s="358">
        <v>50</v>
      </c>
      <c r="AD83" s="358">
        <v>52</v>
      </c>
      <c r="AE83" s="358">
        <v>57</v>
      </c>
      <c r="AF83" s="358">
        <v>62</v>
      </c>
      <c r="AG83" s="358">
        <v>67</v>
      </c>
      <c r="AH83" s="358">
        <v>68</v>
      </c>
      <c r="AI83" s="358">
        <v>69</v>
      </c>
      <c r="AJ83" s="358">
        <v>73</v>
      </c>
      <c r="AK83" s="358">
        <v>79</v>
      </c>
      <c r="AL83" s="358">
        <v>85</v>
      </c>
      <c r="AM83" s="358">
        <v>90</v>
      </c>
      <c r="AN83" s="358">
        <v>96</v>
      </c>
      <c r="AO83" s="358">
        <v>100</v>
      </c>
      <c r="AP83" s="358">
        <v>106</v>
      </c>
      <c r="AQ83" s="358">
        <v>112</v>
      </c>
      <c r="AR83" s="358">
        <v>116</v>
      </c>
      <c r="AS83" s="358">
        <v>128</v>
      </c>
      <c r="AT83" s="358">
        <v>136</v>
      </c>
      <c r="AU83" s="358">
        <v>146</v>
      </c>
      <c r="AV83" s="358">
        <v>155</v>
      </c>
      <c r="AW83" s="358">
        <v>163</v>
      </c>
      <c r="AX83" s="358">
        <v>31</v>
      </c>
      <c r="AY83" s="358">
        <v>35</v>
      </c>
      <c r="AZ83" s="358">
        <v>36</v>
      </c>
      <c r="BA83" s="358">
        <v>37</v>
      </c>
      <c r="BB83" s="358">
        <v>38</v>
      </c>
      <c r="BC83" s="358">
        <v>41</v>
      </c>
      <c r="BD83" s="358">
        <v>45</v>
      </c>
      <c r="BE83" s="358">
        <v>47</v>
      </c>
      <c r="BF83" s="358">
        <v>48</v>
      </c>
      <c r="BG83" s="358">
        <v>51</v>
      </c>
      <c r="BH83" s="358">
        <v>52</v>
      </c>
      <c r="BI83" s="358">
        <v>53</v>
      </c>
      <c r="BJ83" s="358">
        <v>55</v>
      </c>
      <c r="BK83" s="358">
        <v>56</v>
      </c>
      <c r="BL83" s="358">
        <v>57</v>
      </c>
      <c r="BM83" s="358">
        <v>59</v>
      </c>
      <c r="BN83" s="358">
        <v>60</v>
      </c>
      <c r="BO83" s="358">
        <v>63</v>
      </c>
      <c r="BP83" s="358">
        <v>68</v>
      </c>
      <c r="BQ83" s="358">
        <v>72</v>
      </c>
      <c r="BR83" s="358">
        <v>82</v>
      </c>
      <c r="BS83" s="358">
        <v>89</v>
      </c>
      <c r="BT83" s="358">
        <v>93</v>
      </c>
      <c r="BU83" s="358">
        <v>96</v>
      </c>
      <c r="BV83" s="358">
        <v>29</v>
      </c>
      <c r="BW83" s="358">
        <v>28</v>
      </c>
      <c r="BX83" s="358">
        <v>25</v>
      </c>
      <c r="BY83" s="358">
        <v>21</v>
      </c>
      <c r="BZ83" s="358">
        <v>16</v>
      </c>
      <c r="CA83" s="358">
        <v>12</v>
      </c>
      <c r="CB83" s="358">
        <v>5</v>
      </c>
      <c r="CD83" s="358">
        <v>3</v>
      </c>
      <c r="CE83" s="358">
        <v>7</v>
      </c>
      <c r="CF83" s="358">
        <v>9</v>
      </c>
      <c r="CG83" s="358">
        <v>16</v>
      </c>
      <c r="CH83" s="358">
        <v>18</v>
      </c>
      <c r="CI83" s="358">
        <v>22</v>
      </c>
      <c r="CJ83" s="358">
        <v>25</v>
      </c>
      <c r="CK83" s="358">
        <v>32</v>
      </c>
      <c r="CL83" s="358">
        <v>38</v>
      </c>
      <c r="CM83" s="358">
        <v>42</v>
      </c>
      <c r="CN83" s="358">
        <v>47</v>
      </c>
      <c r="CO83" s="358">
        <v>54</v>
      </c>
      <c r="CP83" s="358">
        <v>65</v>
      </c>
      <c r="CQ83" s="358">
        <v>78</v>
      </c>
      <c r="CR83" s="358">
        <v>83</v>
      </c>
      <c r="CS83" s="358">
        <v>40</v>
      </c>
      <c r="CT83" s="358">
        <v>45</v>
      </c>
      <c r="CU83" s="358">
        <v>51</v>
      </c>
      <c r="CV83" s="358">
        <v>57</v>
      </c>
      <c r="CW83" s="358">
        <v>63</v>
      </c>
      <c r="CX83" s="358">
        <v>68</v>
      </c>
      <c r="CY83" s="358">
        <v>75</v>
      </c>
      <c r="CZ83" s="358">
        <v>78</v>
      </c>
      <c r="DA83" s="358">
        <v>82</v>
      </c>
      <c r="DB83" s="358">
        <v>87</v>
      </c>
      <c r="DC83" s="358">
        <v>98</v>
      </c>
      <c r="DD83" s="358">
        <v>108</v>
      </c>
      <c r="DE83" s="358">
        <v>112</v>
      </c>
      <c r="DF83" s="358">
        <v>118</v>
      </c>
      <c r="DG83" s="358">
        <v>127</v>
      </c>
      <c r="DH83" s="358">
        <v>132</v>
      </c>
      <c r="DI83" s="358">
        <v>139</v>
      </c>
      <c r="DJ83" s="358">
        <v>148</v>
      </c>
      <c r="DK83" s="358">
        <v>155</v>
      </c>
      <c r="DL83" s="358">
        <v>163</v>
      </c>
      <c r="DM83" s="358">
        <v>175</v>
      </c>
      <c r="DN83" s="358">
        <v>178</v>
      </c>
      <c r="DO83" s="358">
        <v>189</v>
      </c>
      <c r="DP83" s="358">
        <v>198</v>
      </c>
      <c r="DQ83" s="358">
        <v>41</v>
      </c>
      <c r="DR83" s="358">
        <v>46</v>
      </c>
      <c r="DS83" s="358">
        <v>50</v>
      </c>
      <c r="DT83" s="358">
        <v>52</v>
      </c>
      <c r="DU83" s="358">
        <v>55</v>
      </c>
      <c r="DV83" s="358">
        <v>56</v>
      </c>
      <c r="DW83" s="358">
        <v>62</v>
      </c>
      <c r="DX83" s="358">
        <v>65</v>
      </c>
      <c r="DY83" s="358">
        <v>71</v>
      </c>
      <c r="DZ83" s="358">
        <v>76</v>
      </c>
      <c r="EA83" s="358">
        <v>80</v>
      </c>
      <c r="EB83" s="358">
        <v>84</v>
      </c>
      <c r="EC83" s="358">
        <v>89</v>
      </c>
      <c r="ED83" s="358">
        <v>95</v>
      </c>
      <c r="EE83" s="358">
        <v>101</v>
      </c>
      <c r="EF83" s="358">
        <v>104</v>
      </c>
      <c r="EG83" s="358">
        <v>108</v>
      </c>
      <c r="EH83" s="358">
        <v>113</v>
      </c>
      <c r="EI83" s="358">
        <v>118</v>
      </c>
      <c r="EJ83" s="358">
        <v>122</v>
      </c>
      <c r="EK83" s="358">
        <v>127</v>
      </c>
      <c r="EL83" s="358">
        <v>131</v>
      </c>
      <c r="EM83" s="358">
        <v>180</v>
      </c>
      <c r="EN83" s="358">
        <v>192</v>
      </c>
      <c r="EO83" s="358">
        <v>203</v>
      </c>
      <c r="EP83" s="358">
        <v>213</v>
      </c>
      <c r="EQ83" s="358">
        <v>220</v>
      </c>
      <c r="ES83" s="358">
        <v>232</v>
      </c>
      <c r="ET83" s="358">
        <v>237</v>
      </c>
      <c r="EU83" s="358">
        <v>246</v>
      </c>
      <c r="EV83" s="358">
        <v>252</v>
      </c>
      <c r="EW83" s="358">
        <v>176</v>
      </c>
      <c r="EX83" s="358">
        <v>187</v>
      </c>
      <c r="EY83" s="358">
        <v>198</v>
      </c>
      <c r="EZ83" s="358">
        <v>214</v>
      </c>
      <c r="FA83" s="358">
        <v>222</v>
      </c>
      <c r="FB83" s="358">
        <v>232</v>
      </c>
      <c r="FC83" s="358">
        <v>246</v>
      </c>
      <c r="FD83" s="358">
        <v>258</v>
      </c>
      <c r="FE83" s="358">
        <v>265</v>
      </c>
      <c r="FF83" s="358">
        <v>270</v>
      </c>
      <c r="FG83" s="358">
        <v>282</v>
      </c>
      <c r="FH83" s="358">
        <v>291</v>
      </c>
      <c r="FI83" s="358">
        <v>302</v>
      </c>
      <c r="FJ83" s="358">
        <v>308</v>
      </c>
      <c r="FK83" s="358">
        <v>313</v>
      </c>
      <c r="FL83" s="358">
        <v>155</v>
      </c>
      <c r="FM83" s="358">
        <v>165</v>
      </c>
      <c r="FN83" s="358">
        <v>171</v>
      </c>
      <c r="FO83" s="358">
        <v>178</v>
      </c>
      <c r="FP83" s="358">
        <v>191</v>
      </c>
      <c r="FQ83" s="358">
        <v>206</v>
      </c>
      <c r="FR83" s="358">
        <v>214</v>
      </c>
      <c r="FS83" s="358">
        <v>221</v>
      </c>
      <c r="FT83" s="358">
        <v>228</v>
      </c>
      <c r="FU83" s="358">
        <v>235</v>
      </c>
      <c r="FV83" s="358">
        <v>245</v>
      </c>
      <c r="FW83" s="358">
        <v>38</v>
      </c>
      <c r="FX83" s="358">
        <v>85</v>
      </c>
      <c r="FY83" s="358">
        <v>92</v>
      </c>
      <c r="FZ83" s="358">
        <v>120</v>
      </c>
      <c r="GA83" s="358">
        <v>189</v>
      </c>
      <c r="GB83" s="358">
        <v>293</v>
      </c>
      <c r="GC83" s="358">
        <v>139</v>
      </c>
      <c r="GD83" s="358">
        <v>175</v>
      </c>
      <c r="GE83" s="358">
        <v>204</v>
      </c>
      <c r="GF83" s="358">
        <v>202</v>
      </c>
      <c r="GG83" s="358">
        <v>120</v>
      </c>
      <c r="GH83" s="358">
        <v>132</v>
      </c>
      <c r="GI83" s="361">
        <v>158</v>
      </c>
    </row>
    <row r="84" spans="1:191">
      <c r="A84" s="336" t="s">
        <v>415</v>
      </c>
      <c r="B84" s="358">
        <v>37</v>
      </c>
      <c r="C84" s="358">
        <v>41</v>
      </c>
      <c r="D84" s="358">
        <v>43</v>
      </c>
      <c r="E84" s="358">
        <v>44</v>
      </c>
      <c r="F84" s="358">
        <v>47</v>
      </c>
      <c r="G84" s="358">
        <v>50</v>
      </c>
      <c r="H84" s="358">
        <v>53</v>
      </c>
      <c r="I84" s="358">
        <v>55</v>
      </c>
      <c r="J84" s="358">
        <v>58</v>
      </c>
      <c r="K84" s="358">
        <v>62</v>
      </c>
      <c r="L84" s="358">
        <v>64</v>
      </c>
      <c r="M84" s="358">
        <v>67</v>
      </c>
      <c r="N84" s="358">
        <v>69</v>
      </c>
      <c r="O84" s="358">
        <v>74</v>
      </c>
      <c r="P84" s="358">
        <v>80</v>
      </c>
      <c r="Q84" s="358">
        <v>82</v>
      </c>
      <c r="R84" s="358">
        <v>85</v>
      </c>
      <c r="S84" s="358">
        <v>87</v>
      </c>
      <c r="T84" s="358">
        <v>90</v>
      </c>
      <c r="U84" s="358">
        <v>93</v>
      </c>
      <c r="V84" s="358">
        <v>39</v>
      </c>
      <c r="W84" s="358">
        <v>41</v>
      </c>
      <c r="X84" s="358">
        <v>43</v>
      </c>
      <c r="Y84" s="358">
        <v>45</v>
      </c>
      <c r="Z84" s="358">
        <v>47</v>
      </c>
      <c r="AA84" s="358">
        <v>48</v>
      </c>
      <c r="AB84" s="358">
        <v>50</v>
      </c>
      <c r="AC84" s="358">
        <v>53</v>
      </c>
      <c r="AD84" s="358">
        <v>55</v>
      </c>
      <c r="AE84" s="358">
        <v>60</v>
      </c>
      <c r="AF84" s="358">
        <v>65</v>
      </c>
      <c r="AG84" s="358">
        <v>70</v>
      </c>
      <c r="AH84" s="358">
        <v>71</v>
      </c>
      <c r="AI84" s="358">
        <v>72</v>
      </c>
      <c r="AJ84" s="358">
        <v>76</v>
      </c>
      <c r="AK84" s="358">
        <v>82</v>
      </c>
      <c r="AL84" s="358">
        <v>88</v>
      </c>
      <c r="AM84" s="358">
        <v>93</v>
      </c>
      <c r="AN84" s="358">
        <v>99</v>
      </c>
      <c r="AO84" s="358">
        <v>103</v>
      </c>
      <c r="AP84" s="358">
        <v>109</v>
      </c>
      <c r="AQ84" s="358">
        <v>115</v>
      </c>
      <c r="AR84" s="358">
        <v>119</v>
      </c>
      <c r="AS84" s="358">
        <v>131</v>
      </c>
      <c r="AT84" s="358">
        <v>139</v>
      </c>
      <c r="AU84" s="358">
        <v>149</v>
      </c>
      <c r="AV84" s="358">
        <v>158</v>
      </c>
      <c r="AW84" s="358">
        <v>166</v>
      </c>
      <c r="AX84" s="358">
        <v>34</v>
      </c>
      <c r="AY84" s="358">
        <v>38</v>
      </c>
      <c r="AZ84" s="358">
        <v>39</v>
      </c>
      <c r="BA84" s="358">
        <v>40</v>
      </c>
      <c r="BB84" s="358">
        <v>41</v>
      </c>
      <c r="BC84" s="358">
        <v>44</v>
      </c>
      <c r="BD84" s="358">
        <v>48</v>
      </c>
      <c r="BE84" s="358">
        <v>50</v>
      </c>
      <c r="BF84" s="358">
        <v>51</v>
      </c>
      <c r="BG84" s="358">
        <v>54</v>
      </c>
      <c r="BH84" s="358">
        <v>55</v>
      </c>
      <c r="BI84" s="358">
        <v>56</v>
      </c>
      <c r="BJ84" s="358">
        <v>58</v>
      </c>
      <c r="BK84" s="358">
        <v>59</v>
      </c>
      <c r="BL84" s="358">
        <v>60</v>
      </c>
      <c r="BM84" s="358">
        <v>62</v>
      </c>
      <c r="BN84" s="358">
        <v>63</v>
      </c>
      <c r="BO84" s="358">
        <v>66</v>
      </c>
      <c r="BP84" s="358">
        <v>71</v>
      </c>
      <c r="BQ84" s="358">
        <v>75</v>
      </c>
      <c r="BR84" s="358">
        <v>85</v>
      </c>
      <c r="BS84" s="358">
        <v>92</v>
      </c>
      <c r="BT84" s="358">
        <v>96</v>
      </c>
      <c r="BU84" s="358">
        <v>99</v>
      </c>
      <c r="BV84" s="358">
        <v>32</v>
      </c>
      <c r="BW84" s="358">
        <v>31</v>
      </c>
      <c r="BX84" s="358">
        <v>28</v>
      </c>
      <c r="BY84" s="358">
        <v>24</v>
      </c>
      <c r="BZ84" s="358">
        <v>19</v>
      </c>
      <c r="CA84" s="358">
        <v>15</v>
      </c>
      <c r="CB84" s="358">
        <v>8</v>
      </c>
      <c r="CC84" s="358">
        <v>3</v>
      </c>
      <c r="CE84" s="358">
        <v>4</v>
      </c>
      <c r="CF84" s="358">
        <v>6</v>
      </c>
      <c r="CG84" s="358">
        <v>13</v>
      </c>
      <c r="CH84" s="358">
        <v>15</v>
      </c>
      <c r="CI84" s="358">
        <v>19</v>
      </c>
      <c r="CJ84" s="358">
        <v>22</v>
      </c>
      <c r="CK84" s="358">
        <v>29</v>
      </c>
      <c r="CL84" s="358">
        <v>35</v>
      </c>
      <c r="CM84" s="358">
        <v>39</v>
      </c>
      <c r="CN84" s="358">
        <v>44</v>
      </c>
      <c r="CO84" s="358">
        <v>51</v>
      </c>
      <c r="CP84" s="358">
        <v>62</v>
      </c>
      <c r="CQ84" s="358">
        <v>75</v>
      </c>
      <c r="CR84" s="358">
        <v>80</v>
      </c>
      <c r="CS84" s="358">
        <v>43</v>
      </c>
      <c r="CT84" s="358">
        <v>48</v>
      </c>
      <c r="CU84" s="358">
        <v>54</v>
      </c>
      <c r="CV84" s="358">
        <v>60</v>
      </c>
      <c r="CW84" s="358">
        <v>66</v>
      </c>
      <c r="CX84" s="358">
        <v>71</v>
      </c>
      <c r="CY84" s="358">
        <v>78</v>
      </c>
      <c r="CZ84" s="358">
        <v>81</v>
      </c>
      <c r="DA84" s="358">
        <v>85</v>
      </c>
      <c r="DB84" s="358">
        <v>90</v>
      </c>
      <c r="DC84" s="358">
        <v>101</v>
      </c>
      <c r="DD84" s="358">
        <v>111</v>
      </c>
      <c r="DE84" s="358">
        <v>115</v>
      </c>
      <c r="DF84" s="358">
        <v>121</v>
      </c>
      <c r="DG84" s="358">
        <v>130</v>
      </c>
      <c r="DH84" s="358">
        <v>135</v>
      </c>
      <c r="DI84" s="358">
        <v>142</v>
      </c>
      <c r="DJ84" s="358">
        <v>151</v>
      </c>
      <c r="DK84" s="358">
        <v>158</v>
      </c>
      <c r="DL84" s="358">
        <v>166</v>
      </c>
      <c r="DM84" s="358">
        <v>178</v>
      </c>
      <c r="DN84" s="358">
        <v>181</v>
      </c>
      <c r="DO84" s="358">
        <v>192</v>
      </c>
      <c r="DP84" s="358">
        <v>201</v>
      </c>
      <c r="DQ84" s="358">
        <v>44</v>
      </c>
      <c r="DR84" s="358">
        <v>49</v>
      </c>
      <c r="DS84" s="358">
        <v>53</v>
      </c>
      <c r="DT84" s="358">
        <v>55</v>
      </c>
      <c r="DU84" s="358">
        <v>58</v>
      </c>
      <c r="DV84" s="358">
        <v>59</v>
      </c>
      <c r="DW84" s="358">
        <v>65</v>
      </c>
      <c r="DX84" s="358">
        <v>68</v>
      </c>
      <c r="DY84" s="358">
        <v>74</v>
      </c>
      <c r="DZ84" s="358">
        <v>79</v>
      </c>
      <c r="EA84" s="358">
        <v>83</v>
      </c>
      <c r="EB84" s="358">
        <v>87</v>
      </c>
      <c r="EC84" s="358">
        <v>92</v>
      </c>
      <c r="ED84" s="358">
        <v>98</v>
      </c>
      <c r="EE84" s="358">
        <v>104</v>
      </c>
      <c r="EF84" s="358">
        <v>107</v>
      </c>
      <c r="EG84" s="358">
        <v>111</v>
      </c>
      <c r="EH84" s="358">
        <v>116</v>
      </c>
      <c r="EI84" s="358">
        <v>121</v>
      </c>
      <c r="EJ84" s="358">
        <v>125</v>
      </c>
      <c r="EK84" s="358">
        <v>130</v>
      </c>
      <c r="EL84" s="358">
        <v>134</v>
      </c>
      <c r="EM84" s="358">
        <v>183</v>
      </c>
      <c r="EN84" s="358">
        <v>195</v>
      </c>
      <c r="EO84" s="358">
        <v>206</v>
      </c>
      <c r="EP84" s="358">
        <v>216</v>
      </c>
      <c r="EQ84" s="358">
        <v>223</v>
      </c>
      <c r="ES84" s="358">
        <v>235</v>
      </c>
      <c r="ET84" s="358">
        <v>240</v>
      </c>
      <c r="EU84" s="358">
        <v>249</v>
      </c>
      <c r="EV84" s="358">
        <v>255</v>
      </c>
      <c r="EW84" s="358">
        <v>179</v>
      </c>
      <c r="EX84" s="358">
        <v>190</v>
      </c>
      <c r="EY84" s="358">
        <v>201</v>
      </c>
      <c r="EZ84" s="358">
        <v>217</v>
      </c>
      <c r="FA84" s="358">
        <v>225</v>
      </c>
      <c r="FB84" s="358">
        <v>235</v>
      </c>
      <c r="FC84" s="358">
        <v>249</v>
      </c>
      <c r="FD84" s="358">
        <v>261</v>
      </c>
      <c r="FE84" s="358">
        <v>268</v>
      </c>
      <c r="FF84" s="358">
        <v>273</v>
      </c>
      <c r="FG84" s="358">
        <v>285</v>
      </c>
      <c r="FH84" s="358">
        <v>294</v>
      </c>
      <c r="FI84" s="358">
        <v>305</v>
      </c>
      <c r="FJ84" s="358">
        <v>311</v>
      </c>
      <c r="FK84" s="358">
        <v>316</v>
      </c>
      <c r="FL84" s="358">
        <v>158</v>
      </c>
      <c r="FM84" s="358">
        <v>168</v>
      </c>
      <c r="FN84" s="358">
        <v>174</v>
      </c>
      <c r="FO84" s="358">
        <v>181</v>
      </c>
      <c r="FP84" s="358">
        <v>194</v>
      </c>
      <c r="FQ84" s="358">
        <v>209</v>
      </c>
      <c r="FR84" s="358">
        <v>217</v>
      </c>
      <c r="FS84" s="358">
        <v>224</v>
      </c>
      <c r="FT84" s="358">
        <v>231</v>
      </c>
      <c r="FU84" s="358">
        <v>238</v>
      </c>
      <c r="FV84" s="358">
        <v>248</v>
      </c>
      <c r="FW84" s="358">
        <v>35</v>
      </c>
      <c r="FX84" s="358">
        <v>82</v>
      </c>
      <c r="FY84" s="358">
        <v>89</v>
      </c>
      <c r="FZ84" s="358">
        <v>117</v>
      </c>
      <c r="GA84" s="358">
        <v>186</v>
      </c>
      <c r="GB84" s="358">
        <v>296</v>
      </c>
      <c r="GC84" s="358">
        <v>142</v>
      </c>
      <c r="GD84" s="358">
        <v>178</v>
      </c>
      <c r="GE84" s="358">
        <v>207</v>
      </c>
      <c r="GF84" s="358">
        <v>205</v>
      </c>
      <c r="GG84" s="358">
        <v>123</v>
      </c>
      <c r="GH84" s="358">
        <v>135</v>
      </c>
      <c r="GI84" s="361">
        <v>161</v>
      </c>
    </row>
    <row r="85" spans="1:191">
      <c r="A85" s="336" t="s">
        <v>414</v>
      </c>
      <c r="B85" s="358">
        <v>41</v>
      </c>
      <c r="C85" s="358">
        <v>45</v>
      </c>
      <c r="D85" s="358">
        <v>47</v>
      </c>
      <c r="E85" s="358">
        <v>48</v>
      </c>
      <c r="F85" s="358">
        <v>51</v>
      </c>
      <c r="G85" s="358">
        <v>54</v>
      </c>
      <c r="H85" s="358">
        <v>57</v>
      </c>
      <c r="I85" s="358">
        <v>59</v>
      </c>
      <c r="J85" s="358">
        <v>62</v>
      </c>
      <c r="K85" s="358">
        <v>66</v>
      </c>
      <c r="L85" s="358">
        <v>68</v>
      </c>
      <c r="M85" s="358">
        <v>71</v>
      </c>
      <c r="N85" s="358">
        <v>73</v>
      </c>
      <c r="O85" s="358">
        <v>78</v>
      </c>
      <c r="P85" s="358">
        <v>84</v>
      </c>
      <c r="Q85" s="358">
        <v>86</v>
      </c>
      <c r="R85" s="358">
        <v>89</v>
      </c>
      <c r="S85" s="358">
        <v>91</v>
      </c>
      <c r="T85" s="358">
        <v>94</v>
      </c>
      <c r="U85" s="358">
        <v>97</v>
      </c>
      <c r="V85" s="358">
        <v>43</v>
      </c>
      <c r="W85" s="358">
        <v>45</v>
      </c>
      <c r="X85" s="358">
        <v>47</v>
      </c>
      <c r="Y85" s="358">
        <v>49</v>
      </c>
      <c r="Z85" s="358">
        <v>51</v>
      </c>
      <c r="AA85" s="358">
        <v>52</v>
      </c>
      <c r="AB85" s="358">
        <v>54</v>
      </c>
      <c r="AC85" s="358">
        <v>57</v>
      </c>
      <c r="AD85" s="358">
        <v>59</v>
      </c>
      <c r="AE85" s="358">
        <v>64</v>
      </c>
      <c r="AF85" s="358">
        <v>69</v>
      </c>
      <c r="AG85" s="358">
        <v>74</v>
      </c>
      <c r="AH85" s="358">
        <v>75</v>
      </c>
      <c r="AI85" s="358">
        <v>76</v>
      </c>
      <c r="AJ85" s="358">
        <v>80</v>
      </c>
      <c r="AK85" s="358">
        <v>86</v>
      </c>
      <c r="AL85" s="358">
        <v>92</v>
      </c>
      <c r="AM85" s="358">
        <v>97</v>
      </c>
      <c r="AN85" s="358">
        <v>103</v>
      </c>
      <c r="AO85" s="358">
        <v>107</v>
      </c>
      <c r="AP85" s="358">
        <v>113</v>
      </c>
      <c r="AQ85" s="358">
        <v>119</v>
      </c>
      <c r="AR85" s="358">
        <v>123</v>
      </c>
      <c r="AS85" s="358">
        <v>135</v>
      </c>
      <c r="AT85" s="358">
        <v>143</v>
      </c>
      <c r="AU85" s="358">
        <v>153</v>
      </c>
      <c r="AV85" s="358">
        <v>162</v>
      </c>
      <c r="AW85" s="358">
        <v>170</v>
      </c>
      <c r="AX85" s="358">
        <v>38</v>
      </c>
      <c r="AY85" s="358">
        <v>42</v>
      </c>
      <c r="AZ85" s="358">
        <v>43</v>
      </c>
      <c r="BA85" s="358">
        <v>44</v>
      </c>
      <c r="BB85" s="358">
        <v>45</v>
      </c>
      <c r="BC85" s="358">
        <v>48</v>
      </c>
      <c r="BD85" s="358">
        <v>52</v>
      </c>
      <c r="BE85" s="358">
        <v>54</v>
      </c>
      <c r="BF85" s="358">
        <v>55</v>
      </c>
      <c r="BG85" s="358">
        <v>58</v>
      </c>
      <c r="BH85" s="358">
        <v>59</v>
      </c>
      <c r="BI85" s="358">
        <v>60</v>
      </c>
      <c r="BJ85" s="358">
        <v>62</v>
      </c>
      <c r="BK85" s="358">
        <v>63</v>
      </c>
      <c r="BL85" s="358">
        <v>64</v>
      </c>
      <c r="BM85" s="358">
        <v>66</v>
      </c>
      <c r="BN85" s="358">
        <v>67</v>
      </c>
      <c r="BO85" s="358">
        <v>70</v>
      </c>
      <c r="BP85" s="358">
        <v>75</v>
      </c>
      <c r="BQ85" s="358">
        <v>79</v>
      </c>
      <c r="BR85" s="358">
        <v>89</v>
      </c>
      <c r="BS85" s="358">
        <v>96</v>
      </c>
      <c r="BT85" s="358">
        <v>100</v>
      </c>
      <c r="BU85" s="358">
        <v>103</v>
      </c>
      <c r="BV85" s="358">
        <v>36</v>
      </c>
      <c r="BW85" s="358">
        <v>35</v>
      </c>
      <c r="BX85" s="358">
        <v>32</v>
      </c>
      <c r="BY85" s="358">
        <v>28</v>
      </c>
      <c r="BZ85" s="358">
        <v>23</v>
      </c>
      <c r="CA85" s="358">
        <v>19</v>
      </c>
      <c r="CB85" s="358">
        <v>12</v>
      </c>
      <c r="CC85" s="358">
        <v>7</v>
      </c>
      <c r="CD85" s="358">
        <v>4</v>
      </c>
      <c r="CF85" s="358">
        <v>2</v>
      </c>
      <c r="CG85" s="358">
        <v>9</v>
      </c>
      <c r="CH85" s="358">
        <v>11</v>
      </c>
      <c r="CI85" s="358">
        <v>15</v>
      </c>
      <c r="CJ85" s="358">
        <v>18</v>
      </c>
      <c r="CK85" s="358">
        <v>25</v>
      </c>
      <c r="CL85" s="358">
        <v>31</v>
      </c>
      <c r="CM85" s="358">
        <v>35</v>
      </c>
      <c r="CN85" s="358">
        <v>40</v>
      </c>
      <c r="CO85" s="358">
        <v>47</v>
      </c>
      <c r="CP85" s="358">
        <v>58</v>
      </c>
      <c r="CQ85" s="358">
        <v>71</v>
      </c>
      <c r="CR85" s="358">
        <v>76</v>
      </c>
      <c r="CS85" s="358">
        <v>47</v>
      </c>
      <c r="CT85" s="358">
        <v>52</v>
      </c>
      <c r="CU85" s="358">
        <v>58</v>
      </c>
      <c r="CV85" s="358">
        <v>64</v>
      </c>
      <c r="CW85" s="358">
        <v>70</v>
      </c>
      <c r="CX85" s="358">
        <v>75</v>
      </c>
      <c r="CY85" s="358">
        <v>82</v>
      </c>
      <c r="CZ85" s="358">
        <v>85</v>
      </c>
      <c r="DA85" s="358">
        <v>89</v>
      </c>
      <c r="DB85" s="358">
        <v>94</v>
      </c>
      <c r="DC85" s="358">
        <v>105</v>
      </c>
      <c r="DD85" s="358">
        <v>115</v>
      </c>
      <c r="DE85" s="358">
        <v>119</v>
      </c>
      <c r="DF85" s="358">
        <v>125</v>
      </c>
      <c r="DG85" s="358">
        <v>134</v>
      </c>
      <c r="DH85" s="358">
        <v>139</v>
      </c>
      <c r="DI85" s="358">
        <v>146</v>
      </c>
      <c r="DJ85" s="358">
        <v>155</v>
      </c>
      <c r="DK85" s="358">
        <v>162</v>
      </c>
      <c r="DL85" s="358">
        <v>170</v>
      </c>
      <c r="DM85" s="358">
        <v>182</v>
      </c>
      <c r="DN85" s="358">
        <v>185</v>
      </c>
      <c r="DO85" s="358">
        <v>196</v>
      </c>
      <c r="DP85" s="358">
        <v>205</v>
      </c>
      <c r="DQ85" s="358">
        <v>48</v>
      </c>
      <c r="DR85" s="358">
        <v>53</v>
      </c>
      <c r="DS85" s="358">
        <v>57</v>
      </c>
      <c r="DT85" s="358">
        <v>59</v>
      </c>
      <c r="DU85" s="358">
        <v>62</v>
      </c>
      <c r="DV85" s="358">
        <v>63</v>
      </c>
      <c r="DW85" s="358">
        <v>69</v>
      </c>
      <c r="DX85" s="358">
        <v>72</v>
      </c>
      <c r="DY85" s="358">
        <v>78</v>
      </c>
      <c r="DZ85" s="358">
        <v>83</v>
      </c>
      <c r="EA85" s="358">
        <v>87</v>
      </c>
      <c r="EB85" s="358">
        <v>91</v>
      </c>
      <c r="EC85" s="358">
        <v>96</v>
      </c>
      <c r="ED85" s="358">
        <v>102</v>
      </c>
      <c r="EE85" s="358">
        <v>108</v>
      </c>
      <c r="EF85" s="358">
        <v>111</v>
      </c>
      <c r="EG85" s="358">
        <v>115</v>
      </c>
      <c r="EH85" s="358">
        <v>120</v>
      </c>
      <c r="EI85" s="358">
        <v>125</v>
      </c>
      <c r="EJ85" s="358">
        <v>129</v>
      </c>
      <c r="EK85" s="358">
        <v>134</v>
      </c>
      <c r="EL85" s="358">
        <v>138</v>
      </c>
      <c r="EM85" s="358">
        <v>187</v>
      </c>
      <c r="EN85" s="358">
        <v>199</v>
      </c>
      <c r="EO85" s="358">
        <v>210</v>
      </c>
      <c r="EP85" s="358">
        <v>220</v>
      </c>
      <c r="EQ85" s="358">
        <v>227</v>
      </c>
      <c r="ES85" s="358">
        <v>239</v>
      </c>
      <c r="ET85" s="358">
        <v>244</v>
      </c>
      <c r="EU85" s="358">
        <v>253</v>
      </c>
      <c r="EV85" s="358">
        <v>259</v>
      </c>
      <c r="EW85" s="358">
        <v>183</v>
      </c>
      <c r="EX85" s="358">
        <v>194</v>
      </c>
      <c r="EY85" s="358">
        <v>205</v>
      </c>
      <c r="EZ85" s="358">
        <v>221</v>
      </c>
      <c r="FA85" s="358">
        <v>229</v>
      </c>
      <c r="FB85" s="358">
        <v>239</v>
      </c>
      <c r="FC85" s="358">
        <v>253</v>
      </c>
      <c r="FD85" s="358">
        <v>265</v>
      </c>
      <c r="FE85" s="358">
        <v>272</v>
      </c>
      <c r="FF85" s="358">
        <v>277</v>
      </c>
      <c r="FG85" s="358">
        <v>289</v>
      </c>
      <c r="FH85" s="358">
        <v>298</v>
      </c>
      <c r="FI85" s="358">
        <v>309</v>
      </c>
      <c r="FJ85" s="358">
        <v>315</v>
      </c>
      <c r="FK85" s="358">
        <v>320</v>
      </c>
      <c r="FL85" s="358">
        <v>162</v>
      </c>
      <c r="FM85" s="358">
        <v>172</v>
      </c>
      <c r="FN85" s="358">
        <v>178</v>
      </c>
      <c r="FO85" s="358">
        <v>185</v>
      </c>
      <c r="FP85" s="358">
        <v>198</v>
      </c>
      <c r="FQ85" s="358">
        <v>213</v>
      </c>
      <c r="FR85" s="358">
        <v>221</v>
      </c>
      <c r="FS85" s="358">
        <v>228</v>
      </c>
      <c r="FT85" s="358">
        <v>235</v>
      </c>
      <c r="FU85" s="358">
        <v>242</v>
      </c>
      <c r="FV85" s="358">
        <v>252</v>
      </c>
      <c r="FW85" s="358">
        <v>31</v>
      </c>
      <c r="FX85" s="358">
        <v>78</v>
      </c>
      <c r="FY85" s="358">
        <v>85</v>
      </c>
      <c r="FZ85" s="358">
        <v>113</v>
      </c>
      <c r="GA85" s="358">
        <v>182</v>
      </c>
      <c r="GB85" s="358">
        <v>300</v>
      </c>
      <c r="GC85" s="358">
        <v>146</v>
      </c>
      <c r="GD85" s="358">
        <v>182</v>
      </c>
      <c r="GE85" s="358">
        <v>211</v>
      </c>
      <c r="GF85" s="358">
        <v>209</v>
      </c>
      <c r="GG85" s="358">
        <v>127</v>
      </c>
      <c r="GH85" s="358">
        <v>139</v>
      </c>
      <c r="GI85" s="361">
        <v>165</v>
      </c>
    </row>
    <row r="86" spans="1:191">
      <c r="A86" s="336" t="s">
        <v>413</v>
      </c>
      <c r="B86" s="358">
        <v>43</v>
      </c>
      <c r="C86" s="358">
        <v>47</v>
      </c>
      <c r="D86" s="358">
        <v>49</v>
      </c>
      <c r="E86" s="358">
        <v>50</v>
      </c>
      <c r="F86" s="358">
        <v>53</v>
      </c>
      <c r="G86" s="358">
        <v>56</v>
      </c>
      <c r="H86" s="358">
        <v>59</v>
      </c>
      <c r="I86" s="358">
        <v>61</v>
      </c>
      <c r="J86" s="358">
        <v>64</v>
      </c>
      <c r="K86" s="358">
        <v>68</v>
      </c>
      <c r="L86" s="358">
        <v>70</v>
      </c>
      <c r="M86" s="358">
        <v>73</v>
      </c>
      <c r="N86" s="358">
        <v>75</v>
      </c>
      <c r="O86" s="358">
        <v>80</v>
      </c>
      <c r="P86" s="358">
        <v>86</v>
      </c>
      <c r="Q86" s="358">
        <v>88</v>
      </c>
      <c r="R86" s="358">
        <v>91</v>
      </c>
      <c r="S86" s="358">
        <v>93</v>
      </c>
      <c r="T86" s="358">
        <v>96</v>
      </c>
      <c r="U86" s="358">
        <v>99</v>
      </c>
      <c r="V86" s="358">
        <v>45</v>
      </c>
      <c r="W86" s="358">
        <v>47</v>
      </c>
      <c r="X86" s="358">
        <v>49</v>
      </c>
      <c r="Y86" s="358">
        <v>51</v>
      </c>
      <c r="Z86" s="358">
        <v>53</v>
      </c>
      <c r="AA86" s="358">
        <v>54</v>
      </c>
      <c r="AB86" s="358">
        <v>56</v>
      </c>
      <c r="AC86" s="358">
        <v>59</v>
      </c>
      <c r="AD86" s="358">
        <v>61</v>
      </c>
      <c r="AE86" s="358">
        <v>66</v>
      </c>
      <c r="AF86" s="358">
        <v>71</v>
      </c>
      <c r="AG86" s="358">
        <v>76</v>
      </c>
      <c r="AH86" s="358">
        <v>77</v>
      </c>
      <c r="AI86" s="358">
        <v>78</v>
      </c>
      <c r="AJ86" s="358">
        <v>82</v>
      </c>
      <c r="AK86" s="358">
        <v>88</v>
      </c>
      <c r="AL86" s="358">
        <v>94</v>
      </c>
      <c r="AM86" s="358">
        <v>99</v>
      </c>
      <c r="AN86" s="358">
        <v>105</v>
      </c>
      <c r="AO86" s="358">
        <v>109</v>
      </c>
      <c r="AP86" s="358">
        <v>115</v>
      </c>
      <c r="AQ86" s="358">
        <v>121</v>
      </c>
      <c r="AR86" s="358">
        <v>125</v>
      </c>
      <c r="AS86" s="358">
        <v>137</v>
      </c>
      <c r="AT86" s="358">
        <v>145</v>
      </c>
      <c r="AU86" s="358">
        <v>155</v>
      </c>
      <c r="AV86" s="358">
        <v>164</v>
      </c>
      <c r="AW86" s="358">
        <v>172</v>
      </c>
      <c r="AX86" s="358">
        <v>40</v>
      </c>
      <c r="AY86" s="358">
        <v>44</v>
      </c>
      <c r="AZ86" s="358">
        <v>45</v>
      </c>
      <c r="BA86" s="358">
        <v>46</v>
      </c>
      <c r="BB86" s="358">
        <v>47</v>
      </c>
      <c r="BC86" s="358">
        <v>50</v>
      </c>
      <c r="BD86" s="358">
        <v>54</v>
      </c>
      <c r="BE86" s="358">
        <v>56</v>
      </c>
      <c r="BF86" s="358">
        <v>57</v>
      </c>
      <c r="BG86" s="358">
        <v>60</v>
      </c>
      <c r="BH86" s="358">
        <v>61</v>
      </c>
      <c r="BI86" s="358">
        <v>62</v>
      </c>
      <c r="BJ86" s="358">
        <v>64</v>
      </c>
      <c r="BK86" s="358">
        <v>65</v>
      </c>
      <c r="BL86" s="358">
        <v>66</v>
      </c>
      <c r="BM86" s="358">
        <v>68</v>
      </c>
      <c r="BN86" s="358">
        <v>69</v>
      </c>
      <c r="BO86" s="358">
        <v>72</v>
      </c>
      <c r="BP86" s="358">
        <v>77</v>
      </c>
      <c r="BQ86" s="358">
        <v>81</v>
      </c>
      <c r="BR86" s="358">
        <v>91</v>
      </c>
      <c r="BS86" s="358">
        <v>98</v>
      </c>
      <c r="BT86" s="358">
        <v>102</v>
      </c>
      <c r="BU86" s="358">
        <v>105</v>
      </c>
      <c r="BV86" s="358">
        <v>38</v>
      </c>
      <c r="BW86" s="358">
        <v>37</v>
      </c>
      <c r="BX86" s="358">
        <v>34</v>
      </c>
      <c r="BY86" s="358">
        <v>30</v>
      </c>
      <c r="BZ86" s="358">
        <v>25</v>
      </c>
      <c r="CA86" s="358">
        <v>21</v>
      </c>
      <c r="CB86" s="358">
        <v>14</v>
      </c>
      <c r="CC86" s="358">
        <v>9</v>
      </c>
      <c r="CD86" s="358">
        <v>6</v>
      </c>
      <c r="CE86" s="358">
        <v>2</v>
      </c>
      <c r="CG86" s="358">
        <v>7</v>
      </c>
      <c r="CH86" s="358">
        <v>9</v>
      </c>
      <c r="CI86" s="358">
        <v>13</v>
      </c>
      <c r="CJ86" s="358">
        <v>16</v>
      </c>
      <c r="CK86" s="358">
        <v>23</v>
      </c>
      <c r="CL86" s="358">
        <v>29</v>
      </c>
      <c r="CM86" s="358">
        <v>33</v>
      </c>
      <c r="CN86" s="358">
        <v>38</v>
      </c>
      <c r="CO86" s="358">
        <v>45</v>
      </c>
      <c r="CP86" s="358">
        <v>56</v>
      </c>
      <c r="CQ86" s="358">
        <v>69</v>
      </c>
      <c r="CR86" s="358">
        <v>74</v>
      </c>
      <c r="CS86" s="358">
        <v>49</v>
      </c>
      <c r="CT86" s="358">
        <v>54</v>
      </c>
      <c r="CU86" s="358">
        <v>60</v>
      </c>
      <c r="CV86" s="358">
        <v>66</v>
      </c>
      <c r="CW86" s="358">
        <v>72</v>
      </c>
      <c r="CX86" s="358">
        <v>77</v>
      </c>
      <c r="CY86" s="358">
        <v>84</v>
      </c>
      <c r="CZ86" s="358">
        <v>87</v>
      </c>
      <c r="DA86" s="358">
        <v>91</v>
      </c>
      <c r="DB86" s="358">
        <v>96</v>
      </c>
      <c r="DC86" s="358">
        <v>107</v>
      </c>
      <c r="DD86" s="358">
        <v>117</v>
      </c>
      <c r="DE86" s="358">
        <v>121</v>
      </c>
      <c r="DF86" s="358">
        <v>127</v>
      </c>
      <c r="DG86" s="358">
        <v>136</v>
      </c>
      <c r="DH86" s="358">
        <v>141</v>
      </c>
      <c r="DI86" s="358">
        <v>148</v>
      </c>
      <c r="DJ86" s="358">
        <v>157</v>
      </c>
      <c r="DK86" s="358">
        <v>164</v>
      </c>
      <c r="DL86" s="358">
        <v>172</v>
      </c>
      <c r="DM86" s="358">
        <v>184</v>
      </c>
      <c r="DN86" s="358">
        <v>187</v>
      </c>
      <c r="DO86" s="358">
        <v>198</v>
      </c>
      <c r="DP86" s="358">
        <v>207</v>
      </c>
      <c r="DQ86" s="358">
        <v>50</v>
      </c>
      <c r="DR86" s="358">
        <v>55</v>
      </c>
      <c r="DS86" s="358">
        <v>59</v>
      </c>
      <c r="DT86" s="358">
        <v>61</v>
      </c>
      <c r="DU86" s="358">
        <v>64</v>
      </c>
      <c r="DV86" s="358">
        <v>65</v>
      </c>
      <c r="DW86" s="358">
        <v>71</v>
      </c>
      <c r="DX86" s="358">
        <v>74</v>
      </c>
      <c r="DY86" s="358">
        <v>80</v>
      </c>
      <c r="DZ86" s="358">
        <v>85</v>
      </c>
      <c r="EA86" s="358">
        <v>89</v>
      </c>
      <c r="EB86" s="358">
        <v>93</v>
      </c>
      <c r="EC86" s="358">
        <v>98</v>
      </c>
      <c r="ED86" s="358">
        <v>104</v>
      </c>
      <c r="EE86" s="358">
        <v>110</v>
      </c>
      <c r="EF86" s="358">
        <v>113</v>
      </c>
      <c r="EG86" s="358">
        <v>117</v>
      </c>
      <c r="EH86" s="358">
        <v>122</v>
      </c>
      <c r="EI86" s="358">
        <v>127</v>
      </c>
      <c r="EJ86" s="358">
        <v>131</v>
      </c>
      <c r="EK86" s="358">
        <v>136</v>
      </c>
      <c r="EL86" s="358">
        <v>140</v>
      </c>
      <c r="EM86" s="358">
        <v>189</v>
      </c>
      <c r="EN86" s="358">
        <v>201</v>
      </c>
      <c r="EO86" s="358">
        <v>212</v>
      </c>
      <c r="EP86" s="358">
        <v>222</v>
      </c>
      <c r="EQ86" s="358">
        <v>229</v>
      </c>
      <c r="ES86" s="358">
        <v>241</v>
      </c>
      <c r="ET86" s="358">
        <v>246</v>
      </c>
      <c r="EU86" s="358">
        <v>255</v>
      </c>
      <c r="EV86" s="358">
        <v>261</v>
      </c>
      <c r="EW86" s="358">
        <v>185</v>
      </c>
      <c r="EX86" s="358">
        <v>196</v>
      </c>
      <c r="EY86" s="358">
        <v>207</v>
      </c>
      <c r="EZ86" s="358">
        <v>223</v>
      </c>
      <c r="FA86" s="358">
        <v>231</v>
      </c>
      <c r="FB86" s="358">
        <v>241</v>
      </c>
      <c r="FC86" s="358">
        <v>255</v>
      </c>
      <c r="FD86" s="358">
        <v>267</v>
      </c>
      <c r="FE86" s="358">
        <v>274</v>
      </c>
      <c r="FF86" s="358">
        <v>279</v>
      </c>
      <c r="FG86" s="358">
        <v>291</v>
      </c>
      <c r="FH86" s="358">
        <v>300</v>
      </c>
      <c r="FI86" s="358">
        <v>311</v>
      </c>
      <c r="FJ86" s="358">
        <v>317</v>
      </c>
      <c r="FK86" s="358">
        <v>322</v>
      </c>
      <c r="FL86" s="358">
        <v>164</v>
      </c>
      <c r="FM86" s="358">
        <v>174</v>
      </c>
      <c r="FN86" s="358">
        <v>180</v>
      </c>
      <c r="FO86" s="358">
        <v>187</v>
      </c>
      <c r="FP86" s="358">
        <v>200</v>
      </c>
      <c r="FQ86" s="358">
        <v>215</v>
      </c>
      <c r="FR86" s="358">
        <v>223</v>
      </c>
      <c r="FS86" s="358">
        <v>230</v>
      </c>
      <c r="FT86" s="358">
        <v>237</v>
      </c>
      <c r="FU86" s="358">
        <v>244</v>
      </c>
      <c r="FV86" s="358">
        <v>254</v>
      </c>
      <c r="FW86" s="358">
        <v>29</v>
      </c>
      <c r="FX86" s="358">
        <v>76</v>
      </c>
      <c r="FY86" s="358">
        <v>83</v>
      </c>
      <c r="FZ86" s="358">
        <v>111</v>
      </c>
      <c r="GA86" s="358">
        <v>180</v>
      </c>
      <c r="GB86" s="358">
        <v>302</v>
      </c>
      <c r="GC86" s="358">
        <v>148</v>
      </c>
      <c r="GD86" s="358">
        <v>184</v>
      </c>
      <c r="GE86" s="358">
        <v>213</v>
      </c>
      <c r="GF86" s="358">
        <v>211</v>
      </c>
      <c r="GG86" s="358">
        <v>129</v>
      </c>
      <c r="GH86" s="358">
        <v>141</v>
      </c>
      <c r="GI86" s="361">
        <v>167</v>
      </c>
    </row>
    <row r="87" spans="1:191">
      <c r="A87" s="336" t="s">
        <v>412</v>
      </c>
      <c r="B87" s="358">
        <v>50</v>
      </c>
      <c r="C87" s="358">
        <v>54</v>
      </c>
      <c r="D87" s="358">
        <v>56</v>
      </c>
      <c r="E87" s="358">
        <v>57</v>
      </c>
      <c r="F87" s="358">
        <v>60</v>
      </c>
      <c r="G87" s="358">
        <v>63</v>
      </c>
      <c r="H87" s="358">
        <v>66</v>
      </c>
      <c r="I87" s="358">
        <v>68</v>
      </c>
      <c r="J87" s="358">
        <v>71</v>
      </c>
      <c r="K87" s="358">
        <v>75</v>
      </c>
      <c r="L87" s="358">
        <v>77</v>
      </c>
      <c r="M87" s="358">
        <v>80</v>
      </c>
      <c r="N87" s="358">
        <v>82</v>
      </c>
      <c r="O87" s="358">
        <v>87</v>
      </c>
      <c r="P87" s="358">
        <v>93</v>
      </c>
      <c r="Q87" s="358">
        <v>95</v>
      </c>
      <c r="R87" s="358">
        <v>98</v>
      </c>
      <c r="S87" s="358">
        <v>100</v>
      </c>
      <c r="T87" s="358">
        <v>103</v>
      </c>
      <c r="U87" s="358">
        <v>106</v>
      </c>
      <c r="V87" s="358">
        <v>52</v>
      </c>
      <c r="W87" s="358">
        <v>54</v>
      </c>
      <c r="X87" s="358">
        <v>56</v>
      </c>
      <c r="Y87" s="358">
        <v>58</v>
      </c>
      <c r="Z87" s="358">
        <v>60</v>
      </c>
      <c r="AA87" s="358">
        <v>61</v>
      </c>
      <c r="AB87" s="358">
        <v>63</v>
      </c>
      <c r="AC87" s="358">
        <v>66</v>
      </c>
      <c r="AD87" s="358">
        <v>68</v>
      </c>
      <c r="AE87" s="358">
        <v>73</v>
      </c>
      <c r="AF87" s="358">
        <v>78</v>
      </c>
      <c r="AG87" s="358">
        <v>83</v>
      </c>
      <c r="AH87" s="358">
        <v>84</v>
      </c>
      <c r="AI87" s="358">
        <v>85</v>
      </c>
      <c r="AJ87" s="358">
        <v>89</v>
      </c>
      <c r="AK87" s="358">
        <v>95</v>
      </c>
      <c r="AL87" s="358">
        <v>101</v>
      </c>
      <c r="AM87" s="358">
        <v>106</v>
      </c>
      <c r="AN87" s="358">
        <v>112</v>
      </c>
      <c r="AO87" s="358">
        <v>116</v>
      </c>
      <c r="AP87" s="358">
        <v>122</v>
      </c>
      <c r="AQ87" s="358">
        <v>128</v>
      </c>
      <c r="AR87" s="358">
        <v>132</v>
      </c>
      <c r="AS87" s="358">
        <v>144</v>
      </c>
      <c r="AT87" s="358">
        <v>152</v>
      </c>
      <c r="AU87" s="358">
        <v>162</v>
      </c>
      <c r="AV87" s="358">
        <v>171</v>
      </c>
      <c r="AW87" s="358">
        <v>179</v>
      </c>
      <c r="AX87" s="358">
        <v>47</v>
      </c>
      <c r="AY87" s="358">
        <v>51</v>
      </c>
      <c r="AZ87" s="358">
        <v>52</v>
      </c>
      <c r="BA87" s="358">
        <v>53</v>
      </c>
      <c r="BB87" s="358">
        <v>54</v>
      </c>
      <c r="BC87" s="358">
        <v>57</v>
      </c>
      <c r="BD87" s="358">
        <v>61</v>
      </c>
      <c r="BE87" s="358">
        <v>63</v>
      </c>
      <c r="BF87" s="358">
        <v>64</v>
      </c>
      <c r="BG87" s="358">
        <v>67</v>
      </c>
      <c r="BH87" s="358">
        <v>68</v>
      </c>
      <c r="BI87" s="358">
        <v>69</v>
      </c>
      <c r="BJ87" s="358">
        <v>71</v>
      </c>
      <c r="BK87" s="358">
        <v>72</v>
      </c>
      <c r="BL87" s="358">
        <v>73</v>
      </c>
      <c r="BM87" s="358">
        <v>75</v>
      </c>
      <c r="BN87" s="358">
        <v>76</v>
      </c>
      <c r="BO87" s="358">
        <v>79</v>
      </c>
      <c r="BP87" s="358">
        <v>84</v>
      </c>
      <c r="BQ87" s="358">
        <v>88</v>
      </c>
      <c r="BR87" s="358">
        <v>98</v>
      </c>
      <c r="BS87" s="358">
        <v>105</v>
      </c>
      <c r="BT87" s="358">
        <v>109</v>
      </c>
      <c r="BU87" s="358">
        <v>112</v>
      </c>
      <c r="BV87" s="358">
        <v>45</v>
      </c>
      <c r="BW87" s="358">
        <v>44</v>
      </c>
      <c r="BX87" s="358">
        <v>41</v>
      </c>
      <c r="BY87" s="358">
        <v>37</v>
      </c>
      <c r="BZ87" s="358">
        <v>32</v>
      </c>
      <c r="CA87" s="358">
        <v>28</v>
      </c>
      <c r="CB87" s="358">
        <v>21</v>
      </c>
      <c r="CC87" s="358">
        <v>16</v>
      </c>
      <c r="CD87" s="358">
        <v>13</v>
      </c>
      <c r="CE87" s="358">
        <v>9</v>
      </c>
      <c r="CF87" s="358">
        <v>7</v>
      </c>
      <c r="CH87" s="358">
        <v>2</v>
      </c>
      <c r="CI87" s="358">
        <v>6</v>
      </c>
      <c r="CJ87" s="358">
        <v>9</v>
      </c>
      <c r="CK87" s="358">
        <v>16</v>
      </c>
      <c r="CL87" s="358">
        <v>22</v>
      </c>
      <c r="CM87" s="358">
        <v>26</v>
      </c>
      <c r="CN87" s="358">
        <v>31</v>
      </c>
      <c r="CO87" s="358">
        <v>38</v>
      </c>
      <c r="CP87" s="358">
        <v>49</v>
      </c>
      <c r="CQ87" s="358">
        <v>62</v>
      </c>
      <c r="CR87" s="358">
        <v>67</v>
      </c>
      <c r="CS87" s="358">
        <v>56</v>
      </c>
      <c r="CT87" s="358">
        <v>61</v>
      </c>
      <c r="CU87" s="358">
        <v>67</v>
      </c>
      <c r="CV87" s="358">
        <v>73</v>
      </c>
      <c r="CW87" s="358">
        <v>79</v>
      </c>
      <c r="CX87" s="358">
        <v>84</v>
      </c>
      <c r="CY87" s="358">
        <v>91</v>
      </c>
      <c r="CZ87" s="358">
        <v>94</v>
      </c>
      <c r="DA87" s="358">
        <v>98</v>
      </c>
      <c r="DB87" s="358">
        <v>103</v>
      </c>
      <c r="DC87" s="358">
        <v>114</v>
      </c>
      <c r="DD87" s="358">
        <v>124</v>
      </c>
      <c r="DE87" s="358">
        <v>128</v>
      </c>
      <c r="DF87" s="358">
        <v>134</v>
      </c>
      <c r="DG87" s="358">
        <v>143</v>
      </c>
      <c r="DH87" s="358">
        <v>148</v>
      </c>
      <c r="DI87" s="358">
        <v>155</v>
      </c>
      <c r="DJ87" s="358">
        <v>164</v>
      </c>
      <c r="DK87" s="358">
        <v>171</v>
      </c>
      <c r="DL87" s="358">
        <v>179</v>
      </c>
      <c r="DM87" s="358">
        <v>191</v>
      </c>
      <c r="DN87" s="358">
        <v>194</v>
      </c>
      <c r="DO87" s="358">
        <v>205</v>
      </c>
      <c r="DP87" s="358">
        <v>214</v>
      </c>
      <c r="DQ87" s="358">
        <v>57</v>
      </c>
      <c r="DR87" s="358">
        <v>62</v>
      </c>
      <c r="DS87" s="358">
        <v>66</v>
      </c>
      <c r="DT87" s="358">
        <v>68</v>
      </c>
      <c r="DU87" s="358">
        <v>71</v>
      </c>
      <c r="DV87" s="358">
        <v>72</v>
      </c>
      <c r="DW87" s="358">
        <v>78</v>
      </c>
      <c r="DX87" s="358">
        <v>81</v>
      </c>
      <c r="DY87" s="358">
        <v>87</v>
      </c>
      <c r="DZ87" s="358">
        <v>92</v>
      </c>
      <c r="EA87" s="358">
        <v>96</v>
      </c>
      <c r="EB87" s="358">
        <v>100</v>
      </c>
      <c r="EC87" s="358">
        <v>105</v>
      </c>
      <c r="ED87" s="358">
        <v>111</v>
      </c>
      <c r="EE87" s="358">
        <v>117</v>
      </c>
      <c r="EF87" s="358">
        <v>120</v>
      </c>
      <c r="EG87" s="358">
        <v>124</v>
      </c>
      <c r="EH87" s="358">
        <v>129</v>
      </c>
      <c r="EI87" s="358">
        <v>134</v>
      </c>
      <c r="EJ87" s="358">
        <v>138</v>
      </c>
      <c r="EK87" s="358">
        <v>143</v>
      </c>
      <c r="EL87" s="358">
        <v>147</v>
      </c>
      <c r="EM87" s="358">
        <v>196</v>
      </c>
      <c r="EN87" s="358">
        <v>208</v>
      </c>
      <c r="EO87" s="358">
        <v>219</v>
      </c>
      <c r="EP87" s="358">
        <v>229</v>
      </c>
      <c r="EQ87" s="358">
        <v>236</v>
      </c>
      <c r="ES87" s="358">
        <v>248</v>
      </c>
      <c r="ET87" s="358">
        <v>253</v>
      </c>
      <c r="EU87" s="358">
        <v>262</v>
      </c>
      <c r="EV87" s="358">
        <v>268</v>
      </c>
      <c r="EW87" s="358">
        <v>192</v>
      </c>
      <c r="EX87" s="358">
        <v>203</v>
      </c>
      <c r="EY87" s="358">
        <v>214</v>
      </c>
      <c r="EZ87" s="358">
        <v>230</v>
      </c>
      <c r="FA87" s="358">
        <v>238</v>
      </c>
      <c r="FB87" s="358">
        <v>248</v>
      </c>
      <c r="FC87" s="358">
        <v>262</v>
      </c>
      <c r="FD87" s="358">
        <v>274</v>
      </c>
      <c r="FE87" s="358">
        <v>281</v>
      </c>
      <c r="FF87" s="358">
        <v>286</v>
      </c>
      <c r="FG87" s="358">
        <v>298</v>
      </c>
      <c r="FH87" s="358">
        <v>307</v>
      </c>
      <c r="FI87" s="358">
        <v>318</v>
      </c>
      <c r="FJ87" s="358">
        <v>324</v>
      </c>
      <c r="FK87" s="358">
        <v>329</v>
      </c>
      <c r="FL87" s="358">
        <v>171</v>
      </c>
      <c r="FM87" s="358">
        <v>181</v>
      </c>
      <c r="FN87" s="358">
        <v>187</v>
      </c>
      <c r="FO87" s="358">
        <v>194</v>
      </c>
      <c r="FP87" s="358">
        <v>207</v>
      </c>
      <c r="FQ87" s="358">
        <v>222</v>
      </c>
      <c r="FR87" s="358">
        <v>230</v>
      </c>
      <c r="FS87" s="358">
        <v>237</v>
      </c>
      <c r="FT87" s="358">
        <v>244</v>
      </c>
      <c r="FU87" s="358">
        <v>251</v>
      </c>
      <c r="FV87" s="358">
        <v>261</v>
      </c>
      <c r="FW87" s="358">
        <v>36</v>
      </c>
      <c r="FX87" s="358">
        <v>83</v>
      </c>
      <c r="FY87" s="358">
        <v>90</v>
      </c>
      <c r="FZ87" s="358">
        <v>118</v>
      </c>
      <c r="GA87" s="358">
        <v>187</v>
      </c>
      <c r="GB87" s="358">
        <v>309</v>
      </c>
      <c r="GC87" s="358">
        <v>155</v>
      </c>
      <c r="GD87" s="358">
        <v>191</v>
      </c>
      <c r="GE87" s="358">
        <v>220</v>
      </c>
      <c r="GF87" s="358">
        <v>218</v>
      </c>
      <c r="GG87" s="358">
        <v>136</v>
      </c>
      <c r="GH87" s="358">
        <v>148</v>
      </c>
      <c r="GI87" s="361">
        <v>174</v>
      </c>
    </row>
    <row r="88" spans="1:191">
      <c r="A88" s="336" t="s">
        <v>411</v>
      </c>
      <c r="B88" s="358">
        <v>52</v>
      </c>
      <c r="C88" s="358">
        <v>56</v>
      </c>
      <c r="D88" s="358">
        <v>58</v>
      </c>
      <c r="E88" s="358">
        <v>59</v>
      </c>
      <c r="F88" s="358">
        <v>62</v>
      </c>
      <c r="G88" s="358">
        <v>65</v>
      </c>
      <c r="H88" s="358">
        <v>68</v>
      </c>
      <c r="I88" s="358">
        <v>70</v>
      </c>
      <c r="J88" s="358">
        <v>73</v>
      </c>
      <c r="K88" s="358">
        <v>77</v>
      </c>
      <c r="L88" s="358">
        <v>79</v>
      </c>
      <c r="M88" s="358">
        <v>82</v>
      </c>
      <c r="N88" s="358">
        <v>84</v>
      </c>
      <c r="O88" s="358">
        <v>89</v>
      </c>
      <c r="P88" s="358">
        <v>95</v>
      </c>
      <c r="Q88" s="358">
        <v>97</v>
      </c>
      <c r="R88" s="358">
        <v>100</v>
      </c>
      <c r="S88" s="358">
        <v>102</v>
      </c>
      <c r="T88" s="358">
        <v>105</v>
      </c>
      <c r="U88" s="358">
        <v>108</v>
      </c>
      <c r="V88" s="358">
        <v>54</v>
      </c>
      <c r="W88" s="358">
        <v>56</v>
      </c>
      <c r="X88" s="358">
        <v>58</v>
      </c>
      <c r="Y88" s="358">
        <v>60</v>
      </c>
      <c r="Z88" s="358">
        <v>62</v>
      </c>
      <c r="AA88" s="358">
        <v>63</v>
      </c>
      <c r="AB88" s="358">
        <v>65</v>
      </c>
      <c r="AC88" s="358">
        <v>68</v>
      </c>
      <c r="AD88" s="358">
        <v>70</v>
      </c>
      <c r="AE88" s="358">
        <v>75</v>
      </c>
      <c r="AF88" s="358">
        <v>80</v>
      </c>
      <c r="AG88" s="358">
        <v>85</v>
      </c>
      <c r="AH88" s="358">
        <v>86</v>
      </c>
      <c r="AI88" s="358">
        <v>87</v>
      </c>
      <c r="AJ88" s="358">
        <v>91</v>
      </c>
      <c r="AK88" s="358">
        <v>97</v>
      </c>
      <c r="AL88" s="358">
        <v>103</v>
      </c>
      <c r="AM88" s="358">
        <v>108</v>
      </c>
      <c r="AN88" s="358">
        <v>114</v>
      </c>
      <c r="AO88" s="358">
        <v>118</v>
      </c>
      <c r="AP88" s="358">
        <v>124</v>
      </c>
      <c r="AQ88" s="358">
        <v>130</v>
      </c>
      <c r="AR88" s="358">
        <v>134</v>
      </c>
      <c r="AS88" s="358">
        <v>146</v>
      </c>
      <c r="AT88" s="358">
        <v>154</v>
      </c>
      <c r="AU88" s="358">
        <v>164</v>
      </c>
      <c r="AV88" s="358">
        <v>173</v>
      </c>
      <c r="AW88" s="358">
        <v>181</v>
      </c>
      <c r="AX88" s="358">
        <v>49</v>
      </c>
      <c r="AY88" s="358">
        <v>53</v>
      </c>
      <c r="AZ88" s="358">
        <v>54</v>
      </c>
      <c r="BA88" s="358">
        <v>55</v>
      </c>
      <c r="BB88" s="358">
        <v>56</v>
      </c>
      <c r="BC88" s="358">
        <v>59</v>
      </c>
      <c r="BD88" s="358">
        <v>63</v>
      </c>
      <c r="BE88" s="358">
        <v>65</v>
      </c>
      <c r="BF88" s="358">
        <v>66</v>
      </c>
      <c r="BG88" s="358">
        <v>69</v>
      </c>
      <c r="BH88" s="358">
        <v>70</v>
      </c>
      <c r="BI88" s="358">
        <v>71</v>
      </c>
      <c r="BJ88" s="358">
        <v>73</v>
      </c>
      <c r="BK88" s="358">
        <v>74</v>
      </c>
      <c r="BL88" s="358">
        <v>75</v>
      </c>
      <c r="BM88" s="358">
        <v>77</v>
      </c>
      <c r="BN88" s="358">
        <v>78</v>
      </c>
      <c r="BO88" s="358">
        <v>81</v>
      </c>
      <c r="BP88" s="358">
        <v>86</v>
      </c>
      <c r="BQ88" s="358">
        <v>90</v>
      </c>
      <c r="BR88" s="358">
        <v>100</v>
      </c>
      <c r="BS88" s="358">
        <v>107</v>
      </c>
      <c r="BT88" s="358">
        <v>111</v>
      </c>
      <c r="BU88" s="358">
        <v>114</v>
      </c>
      <c r="BV88" s="358">
        <v>47</v>
      </c>
      <c r="BW88" s="358">
        <v>46</v>
      </c>
      <c r="BX88" s="358">
        <v>43</v>
      </c>
      <c r="BY88" s="358">
        <v>39</v>
      </c>
      <c r="BZ88" s="358">
        <v>34</v>
      </c>
      <c r="CA88" s="358">
        <v>30</v>
      </c>
      <c r="CB88" s="358">
        <v>23</v>
      </c>
      <c r="CC88" s="358">
        <v>18</v>
      </c>
      <c r="CD88" s="358">
        <v>15</v>
      </c>
      <c r="CE88" s="358">
        <v>11</v>
      </c>
      <c r="CF88" s="358">
        <v>9</v>
      </c>
      <c r="CG88" s="358">
        <v>2</v>
      </c>
      <c r="CI88" s="358">
        <v>4</v>
      </c>
      <c r="CJ88" s="358">
        <v>7</v>
      </c>
      <c r="CK88" s="358">
        <v>14</v>
      </c>
      <c r="CL88" s="358">
        <v>20</v>
      </c>
      <c r="CM88" s="358">
        <v>24</v>
      </c>
      <c r="CN88" s="358">
        <v>29</v>
      </c>
      <c r="CO88" s="358">
        <v>36</v>
      </c>
      <c r="CP88" s="358">
        <v>47</v>
      </c>
      <c r="CQ88" s="358">
        <v>60</v>
      </c>
      <c r="CR88" s="358">
        <v>65</v>
      </c>
      <c r="CS88" s="358">
        <v>58</v>
      </c>
      <c r="CT88" s="358">
        <v>63</v>
      </c>
      <c r="CU88" s="358">
        <v>69</v>
      </c>
      <c r="CV88" s="358">
        <v>75</v>
      </c>
      <c r="CW88" s="358">
        <v>81</v>
      </c>
      <c r="CX88" s="358">
        <v>86</v>
      </c>
      <c r="CY88" s="358">
        <v>93</v>
      </c>
      <c r="CZ88" s="358">
        <v>96</v>
      </c>
      <c r="DA88" s="358">
        <v>100</v>
      </c>
      <c r="DB88" s="358">
        <v>105</v>
      </c>
      <c r="DC88" s="358">
        <v>116</v>
      </c>
      <c r="DD88" s="358">
        <v>126</v>
      </c>
      <c r="DE88" s="358">
        <v>130</v>
      </c>
      <c r="DF88" s="358">
        <v>136</v>
      </c>
      <c r="DG88" s="358">
        <v>145</v>
      </c>
      <c r="DH88" s="358">
        <v>150</v>
      </c>
      <c r="DI88" s="358">
        <v>157</v>
      </c>
      <c r="DJ88" s="358">
        <v>166</v>
      </c>
      <c r="DK88" s="358">
        <v>173</v>
      </c>
      <c r="DL88" s="358">
        <v>181</v>
      </c>
      <c r="DM88" s="358">
        <v>193</v>
      </c>
      <c r="DN88" s="358">
        <v>196</v>
      </c>
      <c r="DO88" s="358">
        <v>207</v>
      </c>
      <c r="DP88" s="358">
        <v>216</v>
      </c>
      <c r="DQ88" s="358">
        <v>59</v>
      </c>
      <c r="DR88" s="358">
        <v>64</v>
      </c>
      <c r="DS88" s="358">
        <v>68</v>
      </c>
      <c r="DT88" s="358">
        <v>70</v>
      </c>
      <c r="DU88" s="358">
        <v>73</v>
      </c>
      <c r="DV88" s="358">
        <v>74</v>
      </c>
      <c r="DW88" s="358">
        <v>80</v>
      </c>
      <c r="DX88" s="358">
        <v>83</v>
      </c>
      <c r="DY88" s="358">
        <v>89</v>
      </c>
      <c r="DZ88" s="358">
        <v>94</v>
      </c>
      <c r="EA88" s="358">
        <v>98</v>
      </c>
      <c r="EB88" s="358">
        <v>102</v>
      </c>
      <c r="EC88" s="358">
        <v>107</v>
      </c>
      <c r="ED88" s="358">
        <v>113</v>
      </c>
      <c r="EE88" s="358">
        <v>119</v>
      </c>
      <c r="EF88" s="358">
        <v>122</v>
      </c>
      <c r="EG88" s="358">
        <v>126</v>
      </c>
      <c r="EH88" s="358">
        <v>131</v>
      </c>
      <c r="EI88" s="358">
        <v>136</v>
      </c>
      <c r="EJ88" s="358">
        <v>140</v>
      </c>
      <c r="EK88" s="358">
        <v>145</v>
      </c>
      <c r="EL88" s="358">
        <v>149</v>
      </c>
      <c r="EM88" s="358">
        <v>198</v>
      </c>
      <c r="EN88" s="358">
        <v>210</v>
      </c>
      <c r="EO88" s="358">
        <v>221</v>
      </c>
      <c r="EP88" s="358">
        <v>231</v>
      </c>
      <c r="EQ88" s="358">
        <v>238</v>
      </c>
      <c r="ES88" s="358">
        <v>250</v>
      </c>
      <c r="ET88" s="358">
        <v>255</v>
      </c>
      <c r="EU88" s="358">
        <v>264</v>
      </c>
      <c r="EV88" s="358">
        <v>270</v>
      </c>
      <c r="EW88" s="358">
        <v>194</v>
      </c>
      <c r="EX88" s="358">
        <v>205</v>
      </c>
      <c r="EY88" s="358">
        <v>216</v>
      </c>
      <c r="EZ88" s="358">
        <v>232</v>
      </c>
      <c r="FA88" s="358">
        <v>240</v>
      </c>
      <c r="FB88" s="358">
        <v>250</v>
      </c>
      <c r="FC88" s="358">
        <v>264</v>
      </c>
      <c r="FD88" s="358">
        <v>276</v>
      </c>
      <c r="FE88" s="358">
        <v>283</v>
      </c>
      <c r="FF88" s="358">
        <v>288</v>
      </c>
      <c r="FG88" s="358">
        <v>300</v>
      </c>
      <c r="FH88" s="358">
        <v>309</v>
      </c>
      <c r="FI88" s="358">
        <v>320</v>
      </c>
      <c r="FJ88" s="358">
        <v>326</v>
      </c>
      <c r="FK88" s="358">
        <v>331</v>
      </c>
      <c r="FL88" s="358">
        <v>173</v>
      </c>
      <c r="FM88" s="358">
        <v>183</v>
      </c>
      <c r="FN88" s="358">
        <v>189</v>
      </c>
      <c r="FO88" s="358">
        <v>196</v>
      </c>
      <c r="FP88" s="358">
        <v>209</v>
      </c>
      <c r="FQ88" s="358">
        <v>224</v>
      </c>
      <c r="FR88" s="358">
        <v>232</v>
      </c>
      <c r="FS88" s="358">
        <v>239</v>
      </c>
      <c r="FT88" s="358">
        <v>246</v>
      </c>
      <c r="FU88" s="358">
        <v>253</v>
      </c>
      <c r="FV88" s="358">
        <v>263</v>
      </c>
      <c r="FW88" s="358">
        <v>38</v>
      </c>
      <c r="FX88" s="358">
        <v>85</v>
      </c>
      <c r="FY88" s="358">
        <v>92</v>
      </c>
      <c r="FZ88" s="358">
        <v>120</v>
      </c>
      <c r="GA88" s="358">
        <v>189</v>
      </c>
      <c r="GB88" s="358">
        <v>311</v>
      </c>
      <c r="GC88" s="358">
        <v>157</v>
      </c>
      <c r="GD88" s="358">
        <v>193</v>
      </c>
      <c r="GE88" s="358">
        <v>222</v>
      </c>
      <c r="GF88" s="358">
        <v>220</v>
      </c>
      <c r="GG88" s="358">
        <v>138</v>
      </c>
      <c r="GH88" s="358">
        <v>150</v>
      </c>
      <c r="GI88" s="361">
        <v>176</v>
      </c>
    </row>
    <row r="89" spans="1:191">
      <c r="A89" s="336" t="s">
        <v>410</v>
      </c>
      <c r="B89" s="358">
        <v>56</v>
      </c>
      <c r="C89" s="358">
        <v>60</v>
      </c>
      <c r="D89" s="358">
        <v>62</v>
      </c>
      <c r="E89" s="358">
        <v>63</v>
      </c>
      <c r="F89" s="358">
        <v>66</v>
      </c>
      <c r="G89" s="358">
        <v>69</v>
      </c>
      <c r="H89" s="358">
        <v>72</v>
      </c>
      <c r="I89" s="358">
        <v>74</v>
      </c>
      <c r="J89" s="358">
        <v>77</v>
      </c>
      <c r="K89" s="358">
        <v>81</v>
      </c>
      <c r="L89" s="358">
        <v>83</v>
      </c>
      <c r="M89" s="358">
        <v>86</v>
      </c>
      <c r="N89" s="358">
        <v>88</v>
      </c>
      <c r="O89" s="358">
        <v>93</v>
      </c>
      <c r="P89" s="358">
        <v>99</v>
      </c>
      <c r="Q89" s="358">
        <v>101</v>
      </c>
      <c r="R89" s="358">
        <v>104</v>
      </c>
      <c r="S89" s="358">
        <v>106</v>
      </c>
      <c r="T89" s="358">
        <v>109</v>
      </c>
      <c r="U89" s="358">
        <v>112</v>
      </c>
      <c r="V89" s="358">
        <v>58</v>
      </c>
      <c r="W89" s="358">
        <v>60</v>
      </c>
      <c r="X89" s="358">
        <v>62</v>
      </c>
      <c r="Y89" s="358">
        <v>64</v>
      </c>
      <c r="Z89" s="358">
        <v>66</v>
      </c>
      <c r="AA89" s="358">
        <v>67</v>
      </c>
      <c r="AB89" s="358">
        <v>69</v>
      </c>
      <c r="AC89" s="358">
        <v>72</v>
      </c>
      <c r="AD89" s="358">
        <v>74</v>
      </c>
      <c r="AE89" s="358">
        <v>79</v>
      </c>
      <c r="AF89" s="358">
        <v>84</v>
      </c>
      <c r="AG89" s="358">
        <v>89</v>
      </c>
      <c r="AH89" s="358">
        <v>90</v>
      </c>
      <c r="AI89" s="358">
        <v>91</v>
      </c>
      <c r="AJ89" s="358">
        <v>95</v>
      </c>
      <c r="AK89" s="358">
        <v>101</v>
      </c>
      <c r="AL89" s="358">
        <v>107</v>
      </c>
      <c r="AM89" s="358">
        <v>112</v>
      </c>
      <c r="AN89" s="358">
        <v>118</v>
      </c>
      <c r="AO89" s="358">
        <v>122</v>
      </c>
      <c r="AP89" s="358">
        <v>128</v>
      </c>
      <c r="AQ89" s="358">
        <v>134</v>
      </c>
      <c r="AR89" s="358">
        <v>138</v>
      </c>
      <c r="AS89" s="358">
        <v>150</v>
      </c>
      <c r="AT89" s="358">
        <v>158</v>
      </c>
      <c r="AU89" s="358">
        <v>168</v>
      </c>
      <c r="AV89" s="358">
        <v>177</v>
      </c>
      <c r="AW89" s="358">
        <v>185</v>
      </c>
      <c r="AX89" s="358">
        <v>53</v>
      </c>
      <c r="AY89" s="358">
        <v>57</v>
      </c>
      <c r="AZ89" s="358">
        <v>58</v>
      </c>
      <c r="BA89" s="358">
        <v>59</v>
      </c>
      <c r="BB89" s="358">
        <v>60</v>
      </c>
      <c r="BC89" s="358">
        <v>63</v>
      </c>
      <c r="BD89" s="358">
        <v>67</v>
      </c>
      <c r="BE89" s="358">
        <v>69</v>
      </c>
      <c r="BF89" s="358">
        <v>70</v>
      </c>
      <c r="BG89" s="358">
        <v>73</v>
      </c>
      <c r="BH89" s="358">
        <v>74</v>
      </c>
      <c r="BI89" s="358">
        <v>75</v>
      </c>
      <c r="BJ89" s="358">
        <v>77</v>
      </c>
      <c r="BK89" s="358">
        <v>78</v>
      </c>
      <c r="BL89" s="358">
        <v>79</v>
      </c>
      <c r="BM89" s="358">
        <v>81</v>
      </c>
      <c r="BN89" s="358">
        <v>82</v>
      </c>
      <c r="BO89" s="358">
        <v>85</v>
      </c>
      <c r="BP89" s="358">
        <v>90</v>
      </c>
      <c r="BQ89" s="358">
        <v>94</v>
      </c>
      <c r="BR89" s="358">
        <v>104</v>
      </c>
      <c r="BS89" s="358">
        <v>111</v>
      </c>
      <c r="BT89" s="358">
        <v>115</v>
      </c>
      <c r="BU89" s="358">
        <v>118</v>
      </c>
      <c r="BV89" s="358">
        <v>51</v>
      </c>
      <c r="BW89" s="358">
        <v>50</v>
      </c>
      <c r="BX89" s="358">
        <v>47</v>
      </c>
      <c r="BY89" s="358">
        <v>43</v>
      </c>
      <c r="BZ89" s="358">
        <v>38</v>
      </c>
      <c r="CA89" s="358">
        <v>34</v>
      </c>
      <c r="CB89" s="358">
        <v>27</v>
      </c>
      <c r="CC89" s="358">
        <v>22</v>
      </c>
      <c r="CD89" s="358">
        <v>19</v>
      </c>
      <c r="CE89" s="358">
        <v>15</v>
      </c>
      <c r="CF89" s="358">
        <v>13</v>
      </c>
      <c r="CG89" s="358">
        <v>6</v>
      </c>
      <c r="CH89" s="358">
        <v>4</v>
      </c>
      <c r="CJ89" s="358">
        <v>3</v>
      </c>
      <c r="CK89" s="358">
        <v>10</v>
      </c>
      <c r="CL89" s="358">
        <v>16</v>
      </c>
      <c r="CM89" s="358">
        <v>20</v>
      </c>
      <c r="CN89" s="358">
        <v>25</v>
      </c>
      <c r="CO89" s="358">
        <v>32</v>
      </c>
      <c r="CP89" s="358">
        <v>43</v>
      </c>
      <c r="CQ89" s="358">
        <v>56</v>
      </c>
      <c r="CR89" s="358">
        <v>61</v>
      </c>
      <c r="CS89" s="358">
        <v>62</v>
      </c>
      <c r="CT89" s="358">
        <v>67</v>
      </c>
      <c r="CU89" s="358">
        <v>73</v>
      </c>
      <c r="CV89" s="358">
        <v>79</v>
      </c>
      <c r="CW89" s="358">
        <v>85</v>
      </c>
      <c r="CX89" s="358">
        <v>90</v>
      </c>
      <c r="CY89" s="358">
        <v>97</v>
      </c>
      <c r="CZ89" s="358">
        <v>100</v>
      </c>
      <c r="DA89" s="358">
        <v>104</v>
      </c>
      <c r="DB89" s="358">
        <v>109</v>
      </c>
      <c r="DC89" s="358">
        <v>120</v>
      </c>
      <c r="DD89" s="358">
        <v>130</v>
      </c>
      <c r="DE89" s="358">
        <v>134</v>
      </c>
      <c r="DF89" s="358">
        <v>140</v>
      </c>
      <c r="DG89" s="358">
        <v>149</v>
      </c>
      <c r="DH89" s="358">
        <v>154</v>
      </c>
      <c r="DI89" s="358">
        <v>161</v>
      </c>
      <c r="DJ89" s="358">
        <v>170</v>
      </c>
      <c r="DK89" s="358">
        <v>177</v>
      </c>
      <c r="DL89" s="358">
        <v>185</v>
      </c>
      <c r="DM89" s="358">
        <v>197</v>
      </c>
      <c r="DN89" s="358">
        <v>200</v>
      </c>
      <c r="DO89" s="358">
        <v>211</v>
      </c>
      <c r="DP89" s="358">
        <v>220</v>
      </c>
      <c r="DQ89" s="358">
        <v>63</v>
      </c>
      <c r="DR89" s="358">
        <v>68</v>
      </c>
      <c r="DS89" s="358">
        <v>72</v>
      </c>
      <c r="DT89" s="358">
        <v>74</v>
      </c>
      <c r="DU89" s="358">
        <v>77</v>
      </c>
      <c r="DV89" s="358">
        <v>78</v>
      </c>
      <c r="DW89" s="358">
        <v>84</v>
      </c>
      <c r="DX89" s="358">
        <v>87</v>
      </c>
      <c r="DY89" s="358">
        <v>93</v>
      </c>
      <c r="DZ89" s="358">
        <v>98</v>
      </c>
      <c r="EA89" s="358">
        <v>102</v>
      </c>
      <c r="EB89" s="358">
        <v>106</v>
      </c>
      <c r="EC89" s="358">
        <v>111</v>
      </c>
      <c r="ED89" s="358">
        <v>117</v>
      </c>
      <c r="EE89" s="358">
        <v>123</v>
      </c>
      <c r="EF89" s="358">
        <v>126</v>
      </c>
      <c r="EG89" s="358">
        <v>130</v>
      </c>
      <c r="EH89" s="358">
        <v>135</v>
      </c>
      <c r="EI89" s="358">
        <v>140</v>
      </c>
      <c r="EJ89" s="358">
        <v>144</v>
      </c>
      <c r="EK89" s="358">
        <v>149</v>
      </c>
      <c r="EL89" s="358">
        <v>153</v>
      </c>
      <c r="EM89" s="358">
        <v>202</v>
      </c>
      <c r="EN89" s="358">
        <v>214</v>
      </c>
      <c r="EO89" s="358">
        <v>225</v>
      </c>
      <c r="EP89" s="358">
        <v>235</v>
      </c>
      <c r="EQ89" s="358">
        <v>242</v>
      </c>
      <c r="ES89" s="358">
        <v>254</v>
      </c>
      <c r="ET89" s="358">
        <v>259</v>
      </c>
      <c r="EU89" s="358">
        <v>268</v>
      </c>
      <c r="EV89" s="358">
        <v>274</v>
      </c>
      <c r="EW89" s="358">
        <v>198</v>
      </c>
      <c r="EX89" s="358">
        <v>209</v>
      </c>
      <c r="EY89" s="358">
        <v>220</v>
      </c>
      <c r="EZ89" s="358">
        <v>236</v>
      </c>
      <c r="FA89" s="358">
        <v>244</v>
      </c>
      <c r="FB89" s="358">
        <v>254</v>
      </c>
      <c r="FC89" s="358">
        <v>268</v>
      </c>
      <c r="FD89" s="358">
        <v>280</v>
      </c>
      <c r="FE89" s="358">
        <v>287</v>
      </c>
      <c r="FF89" s="358">
        <v>292</v>
      </c>
      <c r="FG89" s="358">
        <v>304</v>
      </c>
      <c r="FH89" s="358">
        <v>313</v>
      </c>
      <c r="FI89" s="358">
        <v>324</v>
      </c>
      <c r="FJ89" s="358">
        <v>330</v>
      </c>
      <c r="FK89" s="358">
        <v>335</v>
      </c>
      <c r="FL89" s="358">
        <v>177</v>
      </c>
      <c r="FM89" s="358">
        <v>187</v>
      </c>
      <c r="FN89" s="358">
        <v>193</v>
      </c>
      <c r="FO89" s="358">
        <v>200</v>
      </c>
      <c r="FP89" s="358">
        <v>213</v>
      </c>
      <c r="FQ89" s="358">
        <v>228</v>
      </c>
      <c r="FR89" s="358">
        <v>236</v>
      </c>
      <c r="FS89" s="358">
        <v>243</v>
      </c>
      <c r="FT89" s="358">
        <v>250</v>
      </c>
      <c r="FU89" s="358">
        <v>257</v>
      </c>
      <c r="FV89" s="358">
        <v>267</v>
      </c>
      <c r="FW89" s="358">
        <v>42</v>
      </c>
      <c r="FX89" s="358">
        <v>89</v>
      </c>
      <c r="FY89" s="358">
        <v>96</v>
      </c>
      <c r="FZ89" s="358">
        <v>124</v>
      </c>
      <c r="GA89" s="358">
        <v>193</v>
      </c>
      <c r="GB89" s="358">
        <v>315</v>
      </c>
      <c r="GC89" s="358">
        <v>161</v>
      </c>
      <c r="GD89" s="358">
        <v>197</v>
      </c>
      <c r="GE89" s="358">
        <v>226</v>
      </c>
      <c r="GF89" s="358">
        <v>224</v>
      </c>
      <c r="GG89" s="358">
        <v>142</v>
      </c>
      <c r="GH89" s="358">
        <v>154</v>
      </c>
      <c r="GI89" s="361">
        <v>180</v>
      </c>
    </row>
    <row r="90" spans="1:191">
      <c r="A90" s="336" t="s">
        <v>409</v>
      </c>
      <c r="B90" s="358">
        <v>59</v>
      </c>
      <c r="C90" s="358">
        <v>63</v>
      </c>
      <c r="D90" s="358">
        <v>65</v>
      </c>
      <c r="E90" s="358">
        <v>66</v>
      </c>
      <c r="F90" s="358">
        <v>69</v>
      </c>
      <c r="G90" s="358">
        <v>72</v>
      </c>
      <c r="H90" s="358">
        <v>75</v>
      </c>
      <c r="I90" s="358">
        <v>77</v>
      </c>
      <c r="J90" s="358">
        <v>80</v>
      </c>
      <c r="K90" s="358">
        <v>84</v>
      </c>
      <c r="L90" s="358">
        <v>86</v>
      </c>
      <c r="M90" s="358">
        <v>89</v>
      </c>
      <c r="N90" s="358">
        <v>91</v>
      </c>
      <c r="O90" s="358">
        <v>96</v>
      </c>
      <c r="P90" s="358">
        <v>102</v>
      </c>
      <c r="Q90" s="358">
        <v>104</v>
      </c>
      <c r="R90" s="358">
        <v>107</v>
      </c>
      <c r="S90" s="358">
        <v>109</v>
      </c>
      <c r="T90" s="358">
        <v>112</v>
      </c>
      <c r="U90" s="358">
        <v>115</v>
      </c>
      <c r="V90" s="358">
        <v>61</v>
      </c>
      <c r="W90" s="358">
        <v>63</v>
      </c>
      <c r="X90" s="358">
        <v>65</v>
      </c>
      <c r="Y90" s="358">
        <v>67</v>
      </c>
      <c r="Z90" s="358">
        <v>69</v>
      </c>
      <c r="AA90" s="358">
        <v>70</v>
      </c>
      <c r="AB90" s="358">
        <v>72</v>
      </c>
      <c r="AC90" s="358">
        <v>75</v>
      </c>
      <c r="AD90" s="358">
        <v>77</v>
      </c>
      <c r="AE90" s="358">
        <v>82</v>
      </c>
      <c r="AF90" s="358">
        <v>87</v>
      </c>
      <c r="AG90" s="358">
        <v>92</v>
      </c>
      <c r="AH90" s="358">
        <v>93</v>
      </c>
      <c r="AI90" s="358">
        <v>94</v>
      </c>
      <c r="AJ90" s="358">
        <v>98</v>
      </c>
      <c r="AK90" s="358">
        <v>104</v>
      </c>
      <c r="AL90" s="358">
        <v>110</v>
      </c>
      <c r="AM90" s="358">
        <v>115</v>
      </c>
      <c r="AN90" s="358">
        <v>121</v>
      </c>
      <c r="AO90" s="358">
        <v>125</v>
      </c>
      <c r="AP90" s="358">
        <v>131</v>
      </c>
      <c r="AQ90" s="358">
        <v>137</v>
      </c>
      <c r="AR90" s="358">
        <v>141</v>
      </c>
      <c r="AS90" s="358">
        <v>153</v>
      </c>
      <c r="AT90" s="358">
        <v>161</v>
      </c>
      <c r="AU90" s="358">
        <v>171</v>
      </c>
      <c r="AV90" s="358">
        <v>180</v>
      </c>
      <c r="AW90" s="358">
        <v>188</v>
      </c>
      <c r="AX90" s="358">
        <v>56</v>
      </c>
      <c r="AY90" s="358">
        <v>60</v>
      </c>
      <c r="AZ90" s="358">
        <v>61</v>
      </c>
      <c r="BA90" s="358">
        <v>62</v>
      </c>
      <c r="BB90" s="358">
        <v>63</v>
      </c>
      <c r="BC90" s="358">
        <v>66</v>
      </c>
      <c r="BD90" s="358">
        <v>70</v>
      </c>
      <c r="BE90" s="358">
        <v>72</v>
      </c>
      <c r="BF90" s="358">
        <v>73</v>
      </c>
      <c r="BG90" s="358">
        <v>76</v>
      </c>
      <c r="BH90" s="358">
        <v>77</v>
      </c>
      <c r="BI90" s="358">
        <v>78</v>
      </c>
      <c r="BJ90" s="358">
        <v>80</v>
      </c>
      <c r="BK90" s="358">
        <v>81</v>
      </c>
      <c r="BL90" s="358">
        <v>82</v>
      </c>
      <c r="BM90" s="358">
        <v>84</v>
      </c>
      <c r="BN90" s="358">
        <v>85</v>
      </c>
      <c r="BO90" s="358">
        <v>88</v>
      </c>
      <c r="BP90" s="358">
        <v>93</v>
      </c>
      <c r="BQ90" s="358">
        <v>97</v>
      </c>
      <c r="BR90" s="358">
        <v>107</v>
      </c>
      <c r="BS90" s="358">
        <v>114</v>
      </c>
      <c r="BT90" s="358">
        <v>118</v>
      </c>
      <c r="BU90" s="358">
        <v>121</v>
      </c>
      <c r="BV90" s="358">
        <v>54</v>
      </c>
      <c r="BW90" s="358">
        <v>53</v>
      </c>
      <c r="BX90" s="358">
        <v>50</v>
      </c>
      <c r="BY90" s="358">
        <v>46</v>
      </c>
      <c r="BZ90" s="358">
        <v>41</v>
      </c>
      <c r="CA90" s="358">
        <v>37</v>
      </c>
      <c r="CB90" s="358">
        <v>30</v>
      </c>
      <c r="CC90" s="358">
        <v>25</v>
      </c>
      <c r="CD90" s="358">
        <v>22</v>
      </c>
      <c r="CE90" s="358">
        <v>18</v>
      </c>
      <c r="CF90" s="358">
        <v>16</v>
      </c>
      <c r="CG90" s="358">
        <v>9</v>
      </c>
      <c r="CH90" s="358">
        <v>7</v>
      </c>
      <c r="CI90" s="358">
        <v>3</v>
      </c>
      <c r="CK90" s="358">
        <v>7</v>
      </c>
      <c r="CL90" s="358">
        <v>13</v>
      </c>
      <c r="CM90" s="358">
        <v>17</v>
      </c>
      <c r="CN90" s="358">
        <v>22</v>
      </c>
      <c r="CO90" s="358">
        <v>29</v>
      </c>
      <c r="CP90" s="358">
        <v>40</v>
      </c>
      <c r="CQ90" s="358">
        <v>53</v>
      </c>
      <c r="CR90" s="358">
        <v>58</v>
      </c>
      <c r="CS90" s="358">
        <v>65</v>
      </c>
      <c r="CT90" s="358">
        <v>70</v>
      </c>
      <c r="CU90" s="358">
        <v>76</v>
      </c>
      <c r="CV90" s="358">
        <v>82</v>
      </c>
      <c r="CW90" s="358">
        <v>88</v>
      </c>
      <c r="CX90" s="358">
        <v>93</v>
      </c>
      <c r="CY90" s="358">
        <v>100</v>
      </c>
      <c r="CZ90" s="358">
        <v>103</v>
      </c>
      <c r="DA90" s="358">
        <v>107</v>
      </c>
      <c r="DB90" s="358">
        <v>112</v>
      </c>
      <c r="DC90" s="358">
        <v>123</v>
      </c>
      <c r="DD90" s="358">
        <v>133</v>
      </c>
      <c r="DE90" s="358">
        <v>137</v>
      </c>
      <c r="DF90" s="358">
        <v>143</v>
      </c>
      <c r="DG90" s="358">
        <v>152</v>
      </c>
      <c r="DH90" s="358">
        <v>157</v>
      </c>
      <c r="DI90" s="358">
        <v>164</v>
      </c>
      <c r="DJ90" s="358">
        <v>173</v>
      </c>
      <c r="DK90" s="358">
        <v>180</v>
      </c>
      <c r="DL90" s="358">
        <v>188</v>
      </c>
      <c r="DM90" s="358">
        <v>200</v>
      </c>
      <c r="DN90" s="358">
        <v>203</v>
      </c>
      <c r="DO90" s="358">
        <v>214</v>
      </c>
      <c r="DP90" s="358">
        <v>223</v>
      </c>
      <c r="DQ90" s="358">
        <v>66</v>
      </c>
      <c r="DR90" s="358">
        <v>71</v>
      </c>
      <c r="DS90" s="358">
        <v>75</v>
      </c>
      <c r="DT90" s="358">
        <v>77</v>
      </c>
      <c r="DU90" s="358">
        <v>80</v>
      </c>
      <c r="DV90" s="358">
        <v>81</v>
      </c>
      <c r="DW90" s="358">
        <v>87</v>
      </c>
      <c r="DX90" s="358">
        <v>90</v>
      </c>
      <c r="DY90" s="358">
        <v>96</v>
      </c>
      <c r="DZ90" s="358">
        <v>101</v>
      </c>
      <c r="EA90" s="358">
        <v>105</v>
      </c>
      <c r="EB90" s="358">
        <v>109</v>
      </c>
      <c r="EC90" s="358">
        <v>114</v>
      </c>
      <c r="ED90" s="358">
        <v>120</v>
      </c>
      <c r="EE90" s="358">
        <v>126</v>
      </c>
      <c r="EF90" s="358">
        <v>129</v>
      </c>
      <c r="EG90" s="358">
        <v>133</v>
      </c>
      <c r="EH90" s="358">
        <v>138</v>
      </c>
      <c r="EI90" s="358">
        <v>143</v>
      </c>
      <c r="EJ90" s="358">
        <v>147</v>
      </c>
      <c r="EK90" s="358">
        <v>152</v>
      </c>
      <c r="EL90" s="358">
        <v>156</v>
      </c>
      <c r="EM90" s="358">
        <v>205</v>
      </c>
      <c r="EN90" s="358">
        <v>217</v>
      </c>
      <c r="EO90" s="358">
        <v>228</v>
      </c>
      <c r="EP90" s="358">
        <v>238</v>
      </c>
      <c r="EQ90" s="358">
        <v>245</v>
      </c>
      <c r="ES90" s="358">
        <v>257</v>
      </c>
      <c r="ET90" s="358">
        <v>262</v>
      </c>
      <c r="EU90" s="358">
        <v>271</v>
      </c>
      <c r="EV90" s="358">
        <v>277</v>
      </c>
      <c r="EW90" s="358">
        <v>201</v>
      </c>
      <c r="EX90" s="358">
        <v>212</v>
      </c>
      <c r="EY90" s="358">
        <v>223</v>
      </c>
      <c r="EZ90" s="358">
        <v>239</v>
      </c>
      <c r="FA90" s="358">
        <v>247</v>
      </c>
      <c r="FB90" s="358">
        <v>257</v>
      </c>
      <c r="FC90" s="358">
        <v>271</v>
      </c>
      <c r="FD90" s="358">
        <v>283</v>
      </c>
      <c r="FE90" s="358">
        <v>290</v>
      </c>
      <c r="FF90" s="358">
        <v>295</v>
      </c>
      <c r="FG90" s="358">
        <v>307</v>
      </c>
      <c r="FH90" s="358">
        <v>316</v>
      </c>
      <c r="FI90" s="358">
        <v>327</v>
      </c>
      <c r="FJ90" s="358">
        <v>333</v>
      </c>
      <c r="FK90" s="358">
        <v>338</v>
      </c>
      <c r="FL90" s="358">
        <v>180</v>
      </c>
      <c r="FM90" s="358">
        <v>190</v>
      </c>
      <c r="FN90" s="358">
        <v>196</v>
      </c>
      <c r="FO90" s="358">
        <v>203</v>
      </c>
      <c r="FP90" s="358">
        <v>216</v>
      </c>
      <c r="FQ90" s="358">
        <v>231</v>
      </c>
      <c r="FR90" s="358">
        <v>239</v>
      </c>
      <c r="FS90" s="358">
        <v>246</v>
      </c>
      <c r="FT90" s="358">
        <v>253</v>
      </c>
      <c r="FU90" s="358">
        <v>260</v>
      </c>
      <c r="FV90" s="358">
        <v>270</v>
      </c>
      <c r="FW90" s="358">
        <v>45</v>
      </c>
      <c r="FX90" s="358">
        <v>92</v>
      </c>
      <c r="FY90" s="358">
        <v>99</v>
      </c>
      <c r="FZ90" s="358">
        <v>127</v>
      </c>
      <c r="GA90" s="358">
        <v>196</v>
      </c>
      <c r="GB90" s="358">
        <v>318</v>
      </c>
      <c r="GC90" s="358">
        <v>164</v>
      </c>
      <c r="GD90" s="358">
        <v>200</v>
      </c>
      <c r="GE90" s="358">
        <v>229</v>
      </c>
      <c r="GF90" s="358">
        <v>227</v>
      </c>
      <c r="GG90" s="358">
        <v>145</v>
      </c>
      <c r="GH90" s="358">
        <v>157</v>
      </c>
      <c r="GI90" s="361">
        <v>183</v>
      </c>
    </row>
    <row r="91" spans="1:191">
      <c r="A91" s="336" t="s">
        <v>408</v>
      </c>
      <c r="B91" s="358">
        <v>66</v>
      </c>
      <c r="C91" s="358">
        <v>70</v>
      </c>
      <c r="D91" s="358">
        <v>72</v>
      </c>
      <c r="E91" s="358">
        <v>73</v>
      </c>
      <c r="F91" s="358">
        <v>76</v>
      </c>
      <c r="G91" s="358">
        <v>79</v>
      </c>
      <c r="H91" s="358">
        <v>82</v>
      </c>
      <c r="I91" s="358">
        <v>84</v>
      </c>
      <c r="J91" s="358">
        <v>87</v>
      </c>
      <c r="K91" s="358">
        <v>91</v>
      </c>
      <c r="L91" s="358">
        <v>93</v>
      </c>
      <c r="M91" s="358">
        <v>96</v>
      </c>
      <c r="N91" s="358">
        <v>98</v>
      </c>
      <c r="O91" s="358">
        <v>103</v>
      </c>
      <c r="P91" s="358">
        <v>109</v>
      </c>
      <c r="Q91" s="358">
        <v>111</v>
      </c>
      <c r="R91" s="358">
        <v>114</v>
      </c>
      <c r="S91" s="358">
        <v>116</v>
      </c>
      <c r="T91" s="358">
        <v>119</v>
      </c>
      <c r="U91" s="358">
        <v>122</v>
      </c>
      <c r="V91" s="358">
        <v>68</v>
      </c>
      <c r="W91" s="358">
        <v>70</v>
      </c>
      <c r="X91" s="358">
        <v>72</v>
      </c>
      <c r="Y91" s="358">
        <v>74</v>
      </c>
      <c r="Z91" s="358">
        <v>76</v>
      </c>
      <c r="AA91" s="358">
        <v>77</v>
      </c>
      <c r="AB91" s="358">
        <v>79</v>
      </c>
      <c r="AC91" s="358">
        <v>82</v>
      </c>
      <c r="AD91" s="358">
        <v>84</v>
      </c>
      <c r="AE91" s="358">
        <v>89</v>
      </c>
      <c r="AF91" s="358">
        <v>94</v>
      </c>
      <c r="AG91" s="358">
        <v>99</v>
      </c>
      <c r="AH91" s="358">
        <v>100</v>
      </c>
      <c r="AI91" s="358">
        <v>101</v>
      </c>
      <c r="AJ91" s="358">
        <v>105</v>
      </c>
      <c r="AK91" s="358">
        <v>111</v>
      </c>
      <c r="AL91" s="358">
        <v>117</v>
      </c>
      <c r="AM91" s="358">
        <v>122</v>
      </c>
      <c r="AN91" s="358">
        <v>128</v>
      </c>
      <c r="AO91" s="358">
        <v>132</v>
      </c>
      <c r="AP91" s="358">
        <v>138</v>
      </c>
      <c r="AQ91" s="358">
        <v>144</v>
      </c>
      <c r="AR91" s="358">
        <v>148</v>
      </c>
      <c r="AS91" s="358">
        <v>160</v>
      </c>
      <c r="AT91" s="358">
        <v>168</v>
      </c>
      <c r="AU91" s="358">
        <v>178</v>
      </c>
      <c r="AV91" s="358">
        <v>187</v>
      </c>
      <c r="AW91" s="358">
        <v>195</v>
      </c>
      <c r="AX91" s="358">
        <v>63</v>
      </c>
      <c r="AY91" s="358">
        <v>67</v>
      </c>
      <c r="AZ91" s="358">
        <v>68</v>
      </c>
      <c r="BA91" s="358">
        <v>69</v>
      </c>
      <c r="BB91" s="358">
        <v>70</v>
      </c>
      <c r="BC91" s="358">
        <v>73</v>
      </c>
      <c r="BD91" s="358">
        <v>77</v>
      </c>
      <c r="BE91" s="358">
        <v>79</v>
      </c>
      <c r="BF91" s="358">
        <v>80</v>
      </c>
      <c r="BG91" s="358">
        <v>83</v>
      </c>
      <c r="BH91" s="358">
        <v>84</v>
      </c>
      <c r="BI91" s="358">
        <v>85</v>
      </c>
      <c r="BJ91" s="358">
        <v>87</v>
      </c>
      <c r="BK91" s="358">
        <v>88</v>
      </c>
      <c r="BL91" s="358">
        <v>89</v>
      </c>
      <c r="BM91" s="358">
        <v>91</v>
      </c>
      <c r="BN91" s="358">
        <v>92</v>
      </c>
      <c r="BO91" s="358">
        <v>95</v>
      </c>
      <c r="BP91" s="358">
        <v>100</v>
      </c>
      <c r="BQ91" s="358">
        <v>104</v>
      </c>
      <c r="BR91" s="358">
        <v>114</v>
      </c>
      <c r="BS91" s="358">
        <v>121</v>
      </c>
      <c r="BT91" s="358">
        <v>125</v>
      </c>
      <c r="BU91" s="358">
        <v>128</v>
      </c>
      <c r="BV91" s="358">
        <v>61</v>
      </c>
      <c r="BW91" s="358">
        <v>60</v>
      </c>
      <c r="BX91" s="358">
        <v>57</v>
      </c>
      <c r="BY91" s="358">
        <v>53</v>
      </c>
      <c r="BZ91" s="358">
        <v>48</v>
      </c>
      <c r="CA91" s="358">
        <v>44</v>
      </c>
      <c r="CB91" s="358">
        <v>37</v>
      </c>
      <c r="CC91" s="358">
        <v>32</v>
      </c>
      <c r="CD91" s="358">
        <v>29</v>
      </c>
      <c r="CE91" s="358">
        <v>25</v>
      </c>
      <c r="CF91" s="358">
        <v>23</v>
      </c>
      <c r="CG91" s="358">
        <v>16</v>
      </c>
      <c r="CH91" s="358">
        <v>14</v>
      </c>
      <c r="CI91" s="358">
        <v>10</v>
      </c>
      <c r="CJ91" s="358">
        <v>7</v>
      </c>
      <c r="CL91" s="358">
        <v>6</v>
      </c>
      <c r="CM91" s="358">
        <v>10</v>
      </c>
      <c r="CN91" s="358">
        <v>15</v>
      </c>
      <c r="CO91" s="358">
        <v>22</v>
      </c>
      <c r="CP91" s="358">
        <v>33</v>
      </c>
      <c r="CQ91" s="358">
        <v>46</v>
      </c>
      <c r="CR91" s="358">
        <v>51</v>
      </c>
      <c r="CS91" s="358">
        <v>72</v>
      </c>
      <c r="CT91" s="358">
        <v>77</v>
      </c>
      <c r="CU91" s="358">
        <v>83</v>
      </c>
      <c r="CV91" s="358">
        <v>89</v>
      </c>
      <c r="CW91" s="358">
        <v>95</v>
      </c>
      <c r="CX91" s="358">
        <v>100</v>
      </c>
      <c r="CY91" s="358">
        <v>107</v>
      </c>
      <c r="CZ91" s="358">
        <v>110</v>
      </c>
      <c r="DA91" s="358">
        <v>114</v>
      </c>
      <c r="DB91" s="358">
        <v>119</v>
      </c>
      <c r="DC91" s="358">
        <v>130</v>
      </c>
      <c r="DD91" s="358">
        <v>140</v>
      </c>
      <c r="DE91" s="358">
        <v>144</v>
      </c>
      <c r="DF91" s="358">
        <v>150</v>
      </c>
      <c r="DG91" s="358">
        <v>159</v>
      </c>
      <c r="DH91" s="358">
        <v>164</v>
      </c>
      <c r="DI91" s="358">
        <v>171</v>
      </c>
      <c r="DJ91" s="358">
        <v>180</v>
      </c>
      <c r="DK91" s="358">
        <v>187</v>
      </c>
      <c r="DL91" s="358">
        <v>195</v>
      </c>
      <c r="DM91" s="358">
        <v>207</v>
      </c>
      <c r="DN91" s="358">
        <v>210</v>
      </c>
      <c r="DO91" s="358">
        <v>221</v>
      </c>
      <c r="DP91" s="358">
        <v>230</v>
      </c>
      <c r="DQ91" s="358">
        <v>73</v>
      </c>
      <c r="DR91" s="358">
        <v>78</v>
      </c>
      <c r="DS91" s="358">
        <v>82</v>
      </c>
      <c r="DT91" s="358">
        <v>84</v>
      </c>
      <c r="DU91" s="358">
        <v>87</v>
      </c>
      <c r="DV91" s="358">
        <v>88</v>
      </c>
      <c r="DW91" s="358">
        <v>94</v>
      </c>
      <c r="DX91" s="358">
        <v>97</v>
      </c>
      <c r="DY91" s="358">
        <v>103</v>
      </c>
      <c r="DZ91" s="358">
        <v>108</v>
      </c>
      <c r="EA91" s="358">
        <v>112</v>
      </c>
      <c r="EB91" s="358">
        <v>116</v>
      </c>
      <c r="EC91" s="358">
        <v>121</v>
      </c>
      <c r="ED91" s="358">
        <v>127</v>
      </c>
      <c r="EE91" s="358">
        <v>133</v>
      </c>
      <c r="EF91" s="358">
        <v>136</v>
      </c>
      <c r="EG91" s="358">
        <v>140</v>
      </c>
      <c r="EH91" s="358">
        <v>145</v>
      </c>
      <c r="EI91" s="358">
        <v>150</v>
      </c>
      <c r="EJ91" s="358">
        <v>154</v>
      </c>
      <c r="EK91" s="358">
        <v>159</v>
      </c>
      <c r="EL91" s="358">
        <v>163</v>
      </c>
      <c r="EM91" s="358">
        <v>212</v>
      </c>
      <c r="EN91" s="358">
        <v>224</v>
      </c>
      <c r="EO91" s="358">
        <v>235</v>
      </c>
      <c r="EP91" s="358">
        <v>245</v>
      </c>
      <c r="EQ91" s="358">
        <v>252</v>
      </c>
      <c r="ES91" s="358">
        <v>264</v>
      </c>
      <c r="ET91" s="358">
        <v>269</v>
      </c>
      <c r="EU91" s="358">
        <v>278</v>
      </c>
      <c r="EV91" s="358">
        <v>284</v>
      </c>
      <c r="EW91" s="358">
        <v>208</v>
      </c>
      <c r="EX91" s="358">
        <v>219</v>
      </c>
      <c r="EY91" s="358">
        <v>230</v>
      </c>
      <c r="EZ91" s="358">
        <v>246</v>
      </c>
      <c r="FA91" s="358">
        <v>254</v>
      </c>
      <c r="FB91" s="358">
        <v>264</v>
      </c>
      <c r="FC91" s="358">
        <v>278</v>
      </c>
      <c r="FD91" s="358">
        <v>290</v>
      </c>
      <c r="FE91" s="358">
        <v>297</v>
      </c>
      <c r="FF91" s="358">
        <v>302</v>
      </c>
      <c r="FG91" s="358">
        <v>314</v>
      </c>
      <c r="FH91" s="358">
        <v>323</v>
      </c>
      <c r="FI91" s="358">
        <v>334</v>
      </c>
      <c r="FJ91" s="358">
        <v>340</v>
      </c>
      <c r="FK91" s="358">
        <v>345</v>
      </c>
      <c r="FL91" s="358">
        <v>187</v>
      </c>
      <c r="FM91" s="358">
        <v>197</v>
      </c>
      <c r="FN91" s="358">
        <v>203</v>
      </c>
      <c r="FO91" s="358">
        <v>210</v>
      </c>
      <c r="FP91" s="358">
        <v>223</v>
      </c>
      <c r="FQ91" s="358">
        <v>238</v>
      </c>
      <c r="FR91" s="358">
        <v>246</v>
      </c>
      <c r="FS91" s="358">
        <v>253</v>
      </c>
      <c r="FT91" s="358">
        <v>260</v>
      </c>
      <c r="FU91" s="358">
        <v>267</v>
      </c>
      <c r="FV91" s="358">
        <v>277</v>
      </c>
      <c r="FW91" s="358">
        <v>52</v>
      </c>
      <c r="FX91" s="358">
        <v>99</v>
      </c>
      <c r="FY91" s="358">
        <v>106</v>
      </c>
      <c r="FZ91" s="358">
        <v>134</v>
      </c>
      <c r="GA91" s="358">
        <v>203</v>
      </c>
      <c r="GB91" s="358">
        <v>325</v>
      </c>
      <c r="GC91" s="358">
        <v>171</v>
      </c>
      <c r="GD91" s="358">
        <v>207</v>
      </c>
      <c r="GE91" s="358">
        <v>236</v>
      </c>
      <c r="GF91" s="358">
        <v>234</v>
      </c>
      <c r="GG91" s="358">
        <v>152</v>
      </c>
      <c r="GH91" s="358">
        <v>164</v>
      </c>
      <c r="GI91" s="361">
        <v>190</v>
      </c>
    </row>
    <row r="92" spans="1:191">
      <c r="A92" s="336" t="s">
        <v>407</v>
      </c>
      <c r="B92" s="358">
        <v>72</v>
      </c>
      <c r="C92" s="358">
        <v>76</v>
      </c>
      <c r="D92" s="358">
        <v>78</v>
      </c>
      <c r="E92" s="358">
        <v>79</v>
      </c>
      <c r="F92" s="358">
        <v>82</v>
      </c>
      <c r="G92" s="358">
        <v>85</v>
      </c>
      <c r="H92" s="358">
        <v>88</v>
      </c>
      <c r="I92" s="358">
        <v>90</v>
      </c>
      <c r="J92" s="358">
        <v>93</v>
      </c>
      <c r="K92" s="358">
        <v>97</v>
      </c>
      <c r="L92" s="358">
        <v>99</v>
      </c>
      <c r="M92" s="358">
        <v>102</v>
      </c>
      <c r="N92" s="358">
        <v>104</v>
      </c>
      <c r="O92" s="358">
        <v>109</v>
      </c>
      <c r="P92" s="358">
        <v>115</v>
      </c>
      <c r="Q92" s="358">
        <v>117</v>
      </c>
      <c r="R92" s="358">
        <v>120</v>
      </c>
      <c r="S92" s="358">
        <v>122</v>
      </c>
      <c r="T92" s="358">
        <v>125</v>
      </c>
      <c r="U92" s="358">
        <v>128</v>
      </c>
      <c r="V92" s="358">
        <v>74</v>
      </c>
      <c r="W92" s="358">
        <v>76</v>
      </c>
      <c r="X92" s="358">
        <v>78</v>
      </c>
      <c r="Y92" s="358">
        <v>80</v>
      </c>
      <c r="Z92" s="358">
        <v>82</v>
      </c>
      <c r="AA92" s="358">
        <v>83</v>
      </c>
      <c r="AB92" s="358">
        <v>85</v>
      </c>
      <c r="AC92" s="358">
        <v>88</v>
      </c>
      <c r="AD92" s="358">
        <v>90</v>
      </c>
      <c r="AE92" s="358">
        <v>95</v>
      </c>
      <c r="AF92" s="358">
        <v>100</v>
      </c>
      <c r="AG92" s="358">
        <v>105</v>
      </c>
      <c r="AH92" s="358">
        <v>106</v>
      </c>
      <c r="AI92" s="358">
        <v>107</v>
      </c>
      <c r="AJ92" s="358">
        <v>111</v>
      </c>
      <c r="AK92" s="358">
        <v>117</v>
      </c>
      <c r="AL92" s="358">
        <v>123</v>
      </c>
      <c r="AM92" s="358">
        <v>128</v>
      </c>
      <c r="AN92" s="358">
        <v>134</v>
      </c>
      <c r="AO92" s="358">
        <v>138</v>
      </c>
      <c r="AP92" s="358">
        <v>144</v>
      </c>
      <c r="AQ92" s="358">
        <v>150</v>
      </c>
      <c r="AR92" s="358">
        <v>154</v>
      </c>
      <c r="AS92" s="358">
        <v>166</v>
      </c>
      <c r="AT92" s="358">
        <v>174</v>
      </c>
      <c r="AU92" s="358">
        <v>184</v>
      </c>
      <c r="AV92" s="358">
        <v>193</v>
      </c>
      <c r="AW92" s="358">
        <v>201</v>
      </c>
      <c r="AX92" s="358">
        <v>69</v>
      </c>
      <c r="AY92" s="358">
        <v>73</v>
      </c>
      <c r="AZ92" s="358">
        <v>74</v>
      </c>
      <c r="BA92" s="358">
        <v>75</v>
      </c>
      <c r="BB92" s="358">
        <v>76</v>
      </c>
      <c r="BC92" s="358">
        <v>79</v>
      </c>
      <c r="BD92" s="358">
        <v>83</v>
      </c>
      <c r="BE92" s="358">
        <v>85</v>
      </c>
      <c r="BF92" s="358">
        <v>86</v>
      </c>
      <c r="BG92" s="358">
        <v>89</v>
      </c>
      <c r="BH92" s="358">
        <v>90</v>
      </c>
      <c r="BI92" s="358">
        <v>91</v>
      </c>
      <c r="BJ92" s="358">
        <v>93</v>
      </c>
      <c r="BK92" s="358">
        <v>94</v>
      </c>
      <c r="BL92" s="358">
        <v>95</v>
      </c>
      <c r="BM92" s="358">
        <v>97</v>
      </c>
      <c r="BN92" s="358">
        <v>98</v>
      </c>
      <c r="BO92" s="358">
        <v>101</v>
      </c>
      <c r="BP92" s="358">
        <v>106</v>
      </c>
      <c r="BQ92" s="358">
        <v>110</v>
      </c>
      <c r="BR92" s="358">
        <v>120</v>
      </c>
      <c r="BS92" s="358">
        <v>127</v>
      </c>
      <c r="BT92" s="358">
        <v>131</v>
      </c>
      <c r="BU92" s="358">
        <v>134</v>
      </c>
      <c r="BV92" s="358">
        <v>67</v>
      </c>
      <c r="BW92" s="358">
        <v>66</v>
      </c>
      <c r="BX92" s="358">
        <v>63</v>
      </c>
      <c r="BY92" s="358">
        <v>59</v>
      </c>
      <c r="BZ92" s="358">
        <v>54</v>
      </c>
      <c r="CA92" s="358">
        <v>50</v>
      </c>
      <c r="CB92" s="358">
        <v>43</v>
      </c>
      <c r="CC92" s="358">
        <v>38</v>
      </c>
      <c r="CD92" s="358">
        <v>35</v>
      </c>
      <c r="CE92" s="358">
        <v>31</v>
      </c>
      <c r="CF92" s="358">
        <v>29</v>
      </c>
      <c r="CG92" s="358">
        <v>22</v>
      </c>
      <c r="CH92" s="358">
        <v>20</v>
      </c>
      <c r="CI92" s="358">
        <v>16</v>
      </c>
      <c r="CJ92" s="358">
        <v>13</v>
      </c>
      <c r="CK92" s="358">
        <v>6</v>
      </c>
      <c r="CM92" s="358">
        <v>4</v>
      </c>
      <c r="CN92" s="358">
        <v>9</v>
      </c>
      <c r="CO92" s="358">
        <v>16</v>
      </c>
      <c r="CP92" s="358">
        <v>27</v>
      </c>
      <c r="CQ92" s="358">
        <v>40</v>
      </c>
      <c r="CR92" s="358">
        <v>45</v>
      </c>
      <c r="CS92" s="358">
        <v>78</v>
      </c>
      <c r="CT92" s="358">
        <v>83</v>
      </c>
      <c r="CU92" s="358">
        <v>89</v>
      </c>
      <c r="CV92" s="358">
        <v>95</v>
      </c>
      <c r="CW92" s="358">
        <v>101</v>
      </c>
      <c r="CX92" s="358">
        <v>106</v>
      </c>
      <c r="CY92" s="358">
        <v>113</v>
      </c>
      <c r="CZ92" s="358">
        <v>116</v>
      </c>
      <c r="DA92" s="358">
        <v>120</v>
      </c>
      <c r="DB92" s="358">
        <v>125</v>
      </c>
      <c r="DC92" s="358">
        <v>136</v>
      </c>
      <c r="DD92" s="358">
        <v>146</v>
      </c>
      <c r="DE92" s="358">
        <v>150</v>
      </c>
      <c r="DF92" s="358">
        <v>156</v>
      </c>
      <c r="DG92" s="358">
        <v>165</v>
      </c>
      <c r="DH92" s="358">
        <v>170</v>
      </c>
      <c r="DI92" s="358">
        <v>177</v>
      </c>
      <c r="DJ92" s="358">
        <v>186</v>
      </c>
      <c r="DK92" s="358">
        <v>193</v>
      </c>
      <c r="DL92" s="358">
        <v>201</v>
      </c>
      <c r="DM92" s="358">
        <v>213</v>
      </c>
      <c r="DN92" s="358">
        <v>216</v>
      </c>
      <c r="DO92" s="358">
        <v>227</v>
      </c>
      <c r="DP92" s="358">
        <v>236</v>
      </c>
      <c r="DQ92" s="358">
        <v>79</v>
      </c>
      <c r="DR92" s="358">
        <v>84</v>
      </c>
      <c r="DS92" s="358">
        <v>88</v>
      </c>
      <c r="DT92" s="358">
        <v>90</v>
      </c>
      <c r="DU92" s="358">
        <v>93</v>
      </c>
      <c r="DV92" s="358">
        <v>94</v>
      </c>
      <c r="DW92" s="358">
        <v>100</v>
      </c>
      <c r="DX92" s="358">
        <v>103</v>
      </c>
      <c r="DY92" s="358">
        <v>109</v>
      </c>
      <c r="DZ92" s="358">
        <v>114</v>
      </c>
      <c r="EA92" s="358">
        <v>118</v>
      </c>
      <c r="EB92" s="358">
        <v>122</v>
      </c>
      <c r="EC92" s="358">
        <v>127</v>
      </c>
      <c r="ED92" s="358">
        <v>133</v>
      </c>
      <c r="EE92" s="358">
        <v>139</v>
      </c>
      <c r="EF92" s="358">
        <v>142</v>
      </c>
      <c r="EG92" s="358">
        <v>146</v>
      </c>
      <c r="EH92" s="358">
        <v>151</v>
      </c>
      <c r="EI92" s="358">
        <v>156</v>
      </c>
      <c r="EJ92" s="358">
        <v>160</v>
      </c>
      <c r="EK92" s="358">
        <v>165</v>
      </c>
      <c r="EL92" s="358">
        <v>169</v>
      </c>
      <c r="EM92" s="358">
        <v>218</v>
      </c>
      <c r="EN92" s="358">
        <v>230</v>
      </c>
      <c r="EO92" s="358">
        <v>241</v>
      </c>
      <c r="EP92" s="358">
        <v>251</v>
      </c>
      <c r="EQ92" s="358">
        <v>258</v>
      </c>
      <c r="ES92" s="358">
        <v>270</v>
      </c>
      <c r="ET92" s="358">
        <v>275</v>
      </c>
      <c r="EU92" s="358">
        <v>284</v>
      </c>
      <c r="EV92" s="358">
        <v>290</v>
      </c>
      <c r="EW92" s="358">
        <v>214</v>
      </c>
      <c r="EX92" s="358">
        <v>225</v>
      </c>
      <c r="EY92" s="358">
        <v>236</v>
      </c>
      <c r="EZ92" s="358">
        <v>252</v>
      </c>
      <c r="FA92" s="358">
        <v>260</v>
      </c>
      <c r="FB92" s="358">
        <v>270</v>
      </c>
      <c r="FC92" s="358">
        <v>284</v>
      </c>
      <c r="FD92" s="358">
        <v>296</v>
      </c>
      <c r="FE92" s="358">
        <v>303</v>
      </c>
      <c r="FF92" s="358">
        <v>308</v>
      </c>
      <c r="FG92" s="358">
        <v>320</v>
      </c>
      <c r="FH92" s="358">
        <v>329</v>
      </c>
      <c r="FI92" s="358">
        <v>340</v>
      </c>
      <c r="FJ92" s="358">
        <v>346</v>
      </c>
      <c r="FK92" s="358">
        <v>351</v>
      </c>
      <c r="FL92" s="358">
        <v>193</v>
      </c>
      <c r="FM92" s="358">
        <v>203</v>
      </c>
      <c r="FN92" s="358">
        <v>209</v>
      </c>
      <c r="FO92" s="358">
        <v>216</v>
      </c>
      <c r="FP92" s="358">
        <v>229</v>
      </c>
      <c r="FQ92" s="358">
        <v>244</v>
      </c>
      <c r="FR92" s="358">
        <v>252</v>
      </c>
      <c r="FS92" s="358">
        <v>259</v>
      </c>
      <c r="FT92" s="358">
        <v>266</v>
      </c>
      <c r="FU92" s="358">
        <v>273</v>
      </c>
      <c r="FV92" s="358">
        <v>283</v>
      </c>
      <c r="FW92" s="358">
        <v>58</v>
      </c>
      <c r="FX92" s="358">
        <v>105</v>
      </c>
      <c r="FY92" s="358">
        <v>112</v>
      </c>
      <c r="FZ92" s="358">
        <v>140</v>
      </c>
      <c r="GA92" s="358">
        <v>209</v>
      </c>
      <c r="GB92" s="358">
        <v>331</v>
      </c>
      <c r="GC92" s="358">
        <v>177</v>
      </c>
      <c r="GD92" s="358">
        <v>213</v>
      </c>
      <c r="GE92" s="358">
        <v>242</v>
      </c>
      <c r="GF92" s="358">
        <v>240</v>
      </c>
      <c r="GG92" s="358">
        <v>158</v>
      </c>
      <c r="GH92" s="358">
        <v>170</v>
      </c>
      <c r="GI92" s="361">
        <v>196</v>
      </c>
    </row>
    <row r="93" spans="1:191">
      <c r="A93" s="336" t="s">
        <v>406</v>
      </c>
      <c r="B93" s="358">
        <v>76</v>
      </c>
      <c r="C93" s="358">
        <v>80</v>
      </c>
      <c r="D93" s="358">
        <v>82</v>
      </c>
      <c r="E93" s="358">
        <v>83</v>
      </c>
      <c r="F93" s="358">
        <v>86</v>
      </c>
      <c r="G93" s="358">
        <v>89</v>
      </c>
      <c r="H93" s="358">
        <v>92</v>
      </c>
      <c r="I93" s="358">
        <v>94</v>
      </c>
      <c r="J93" s="358">
        <v>97</v>
      </c>
      <c r="K93" s="358">
        <v>101</v>
      </c>
      <c r="L93" s="358">
        <v>103</v>
      </c>
      <c r="M93" s="358">
        <v>106</v>
      </c>
      <c r="N93" s="358">
        <v>108</v>
      </c>
      <c r="O93" s="358">
        <v>113</v>
      </c>
      <c r="P93" s="358">
        <v>119</v>
      </c>
      <c r="Q93" s="358">
        <v>121</v>
      </c>
      <c r="R93" s="358">
        <v>124</v>
      </c>
      <c r="S93" s="358">
        <v>126</v>
      </c>
      <c r="T93" s="358">
        <v>129</v>
      </c>
      <c r="U93" s="358">
        <v>132</v>
      </c>
      <c r="V93" s="358">
        <v>78</v>
      </c>
      <c r="W93" s="358">
        <v>80</v>
      </c>
      <c r="X93" s="358">
        <v>82</v>
      </c>
      <c r="Y93" s="358">
        <v>84</v>
      </c>
      <c r="Z93" s="358">
        <v>86</v>
      </c>
      <c r="AA93" s="358">
        <v>87</v>
      </c>
      <c r="AB93" s="358">
        <v>89</v>
      </c>
      <c r="AC93" s="358">
        <v>92</v>
      </c>
      <c r="AD93" s="358">
        <v>94</v>
      </c>
      <c r="AE93" s="358">
        <v>99</v>
      </c>
      <c r="AF93" s="358">
        <v>104</v>
      </c>
      <c r="AG93" s="358">
        <v>109</v>
      </c>
      <c r="AH93" s="358">
        <v>110</v>
      </c>
      <c r="AI93" s="358">
        <v>111</v>
      </c>
      <c r="AJ93" s="358">
        <v>115</v>
      </c>
      <c r="AK93" s="358">
        <v>121</v>
      </c>
      <c r="AL93" s="358">
        <v>127</v>
      </c>
      <c r="AM93" s="358">
        <v>132</v>
      </c>
      <c r="AN93" s="358">
        <v>138</v>
      </c>
      <c r="AO93" s="358">
        <v>142</v>
      </c>
      <c r="AP93" s="358">
        <v>148</v>
      </c>
      <c r="AQ93" s="358">
        <v>154</v>
      </c>
      <c r="AR93" s="358">
        <v>158</v>
      </c>
      <c r="AS93" s="358">
        <v>170</v>
      </c>
      <c r="AT93" s="358">
        <v>178</v>
      </c>
      <c r="AU93" s="358">
        <v>188</v>
      </c>
      <c r="AV93" s="358">
        <v>197</v>
      </c>
      <c r="AW93" s="358">
        <v>205</v>
      </c>
      <c r="AX93" s="358">
        <v>73</v>
      </c>
      <c r="AY93" s="358">
        <v>77</v>
      </c>
      <c r="AZ93" s="358">
        <v>78</v>
      </c>
      <c r="BA93" s="358">
        <v>79</v>
      </c>
      <c r="BB93" s="358">
        <v>80</v>
      </c>
      <c r="BC93" s="358">
        <v>83</v>
      </c>
      <c r="BD93" s="358">
        <v>87</v>
      </c>
      <c r="BE93" s="358">
        <v>89</v>
      </c>
      <c r="BF93" s="358">
        <v>90</v>
      </c>
      <c r="BG93" s="358">
        <v>93</v>
      </c>
      <c r="BH93" s="358">
        <v>94</v>
      </c>
      <c r="BI93" s="358">
        <v>95</v>
      </c>
      <c r="BJ93" s="358">
        <v>97</v>
      </c>
      <c r="BK93" s="358">
        <v>98</v>
      </c>
      <c r="BL93" s="358">
        <v>99</v>
      </c>
      <c r="BM93" s="358">
        <v>101</v>
      </c>
      <c r="BN93" s="358">
        <v>102</v>
      </c>
      <c r="BO93" s="358">
        <v>105</v>
      </c>
      <c r="BP93" s="358">
        <v>110</v>
      </c>
      <c r="BQ93" s="358">
        <v>114</v>
      </c>
      <c r="BR93" s="358">
        <v>124</v>
      </c>
      <c r="BS93" s="358">
        <v>131</v>
      </c>
      <c r="BT93" s="358">
        <v>135</v>
      </c>
      <c r="BU93" s="358">
        <v>138</v>
      </c>
      <c r="BV93" s="358">
        <v>71</v>
      </c>
      <c r="BW93" s="358">
        <v>70</v>
      </c>
      <c r="BX93" s="358">
        <v>67</v>
      </c>
      <c r="BY93" s="358">
        <v>63</v>
      </c>
      <c r="BZ93" s="358">
        <v>58</v>
      </c>
      <c r="CA93" s="358">
        <v>54</v>
      </c>
      <c r="CB93" s="358">
        <v>47</v>
      </c>
      <c r="CC93" s="358">
        <v>42</v>
      </c>
      <c r="CD93" s="358">
        <v>39</v>
      </c>
      <c r="CE93" s="358">
        <v>35</v>
      </c>
      <c r="CF93" s="358">
        <v>33</v>
      </c>
      <c r="CG93" s="358">
        <v>26</v>
      </c>
      <c r="CH93" s="358">
        <v>24</v>
      </c>
      <c r="CI93" s="358">
        <v>20</v>
      </c>
      <c r="CJ93" s="358">
        <v>17</v>
      </c>
      <c r="CK93" s="358">
        <v>10</v>
      </c>
      <c r="CL93" s="358">
        <v>4</v>
      </c>
      <c r="CN93" s="358">
        <v>5</v>
      </c>
      <c r="CO93" s="358">
        <v>12</v>
      </c>
      <c r="CP93" s="358">
        <v>23</v>
      </c>
      <c r="CQ93" s="358">
        <v>36</v>
      </c>
      <c r="CR93" s="358">
        <v>41</v>
      </c>
      <c r="CS93" s="358">
        <v>82</v>
      </c>
      <c r="CT93" s="358">
        <v>87</v>
      </c>
      <c r="CU93" s="358">
        <v>93</v>
      </c>
      <c r="CV93" s="358">
        <v>99</v>
      </c>
      <c r="CW93" s="358">
        <v>105</v>
      </c>
      <c r="CX93" s="358">
        <v>110</v>
      </c>
      <c r="CY93" s="358">
        <v>117</v>
      </c>
      <c r="CZ93" s="358">
        <v>120</v>
      </c>
      <c r="DA93" s="358">
        <v>124</v>
      </c>
      <c r="DB93" s="358">
        <v>129</v>
      </c>
      <c r="DC93" s="358">
        <v>140</v>
      </c>
      <c r="DD93" s="358">
        <v>150</v>
      </c>
      <c r="DE93" s="358">
        <v>154</v>
      </c>
      <c r="DF93" s="358">
        <v>160</v>
      </c>
      <c r="DG93" s="358">
        <v>169</v>
      </c>
      <c r="DH93" s="358">
        <v>174</v>
      </c>
      <c r="DI93" s="358">
        <v>181</v>
      </c>
      <c r="DJ93" s="358">
        <v>190</v>
      </c>
      <c r="DK93" s="358">
        <v>197</v>
      </c>
      <c r="DL93" s="358">
        <v>205</v>
      </c>
      <c r="DM93" s="358">
        <v>217</v>
      </c>
      <c r="DN93" s="358">
        <v>220</v>
      </c>
      <c r="DO93" s="358">
        <v>231</v>
      </c>
      <c r="DP93" s="358">
        <v>240</v>
      </c>
      <c r="DQ93" s="358">
        <v>83</v>
      </c>
      <c r="DR93" s="358">
        <v>88</v>
      </c>
      <c r="DS93" s="358">
        <v>92</v>
      </c>
      <c r="DT93" s="358">
        <v>94</v>
      </c>
      <c r="DU93" s="358">
        <v>97</v>
      </c>
      <c r="DV93" s="358">
        <v>98</v>
      </c>
      <c r="DW93" s="358">
        <v>104</v>
      </c>
      <c r="DX93" s="358">
        <v>107</v>
      </c>
      <c r="DY93" s="358">
        <v>113</v>
      </c>
      <c r="DZ93" s="358">
        <v>118</v>
      </c>
      <c r="EA93" s="358">
        <v>122</v>
      </c>
      <c r="EB93" s="358">
        <v>126</v>
      </c>
      <c r="EC93" s="358">
        <v>131</v>
      </c>
      <c r="ED93" s="358">
        <v>137</v>
      </c>
      <c r="EE93" s="358">
        <v>143</v>
      </c>
      <c r="EF93" s="358">
        <v>146</v>
      </c>
      <c r="EG93" s="358">
        <v>150</v>
      </c>
      <c r="EH93" s="358">
        <v>155</v>
      </c>
      <c r="EI93" s="358">
        <v>160</v>
      </c>
      <c r="EJ93" s="358">
        <v>164</v>
      </c>
      <c r="EK93" s="358">
        <v>169</v>
      </c>
      <c r="EL93" s="358">
        <v>173</v>
      </c>
      <c r="EM93" s="358">
        <v>222</v>
      </c>
      <c r="EN93" s="358">
        <v>234</v>
      </c>
      <c r="EO93" s="358">
        <v>245</v>
      </c>
      <c r="EP93" s="358">
        <v>255</v>
      </c>
      <c r="EQ93" s="358">
        <v>262</v>
      </c>
      <c r="ES93" s="358">
        <v>274</v>
      </c>
      <c r="ET93" s="358">
        <v>279</v>
      </c>
      <c r="EU93" s="358">
        <v>288</v>
      </c>
      <c r="EV93" s="358">
        <v>294</v>
      </c>
      <c r="EW93" s="358">
        <v>218</v>
      </c>
      <c r="EX93" s="358">
        <v>229</v>
      </c>
      <c r="EY93" s="358">
        <v>240</v>
      </c>
      <c r="EZ93" s="358">
        <v>256</v>
      </c>
      <c r="FA93" s="358">
        <v>264</v>
      </c>
      <c r="FB93" s="358">
        <v>274</v>
      </c>
      <c r="FC93" s="358">
        <v>288</v>
      </c>
      <c r="FD93" s="358">
        <v>300</v>
      </c>
      <c r="FE93" s="358">
        <v>307</v>
      </c>
      <c r="FF93" s="358">
        <v>312</v>
      </c>
      <c r="FG93" s="358">
        <v>324</v>
      </c>
      <c r="FH93" s="358">
        <v>333</v>
      </c>
      <c r="FI93" s="358">
        <v>344</v>
      </c>
      <c r="FJ93" s="358">
        <v>350</v>
      </c>
      <c r="FK93" s="358">
        <v>355</v>
      </c>
      <c r="FL93" s="358">
        <v>197</v>
      </c>
      <c r="FM93" s="358">
        <v>207</v>
      </c>
      <c r="FN93" s="358">
        <v>213</v>
      </c>
      <c r="FO93" s="358">
        <v>220</v>
      </c>
      <c r="FP93" s="358">
        <v>233</v>
      </c>
      <c r="FQ93" s="358">
        <v>248</v>
      </c>
      <c r="FR93" s="358">
        <v>256</v>
      </c>
      <c r="FS93" s="358">
        <v>263</v>
      </c>
      <c r="FT93" s="358">
        <v>270</v>
      </c>
      <c r="FU93" s="358">
        <v>277</v>
      </c>
      <c r="FV93" s="358">
        <v>287</v>
      </c>
      <c r="FW93" s="358">
        <v>62</v>
      </c>
      <c r="FX93" s="358">
        <v>109</v>
      </c>
      <c r="FY93" s="358">
        <v>116</v>
      </c>
      <c r="FZ93" s="358">
        <v>144</v>
      </c>
      <c r="GA93" s="358">
        <v>213</v>
      </c>
      <c r="GB93" s="358">
        <v>335</v>
      </c>
      <c r="GC93" s="358">
        <v>181</v>
      </c>
      <c r="GD93" s="358">
        <v>217</v>
      </c>
      <c r="GE93" s="358">
        <v>246</v>
      </c>
      <c r="GF93" s="358">
        <v>244</v>
      </c>
      <c r="GG93" s="358">
        <v>162</v>
      </c>
      <c r="GH93" s="358">
        <v>174</v>
      </c>
      <c r="GI93" s="361">
        <v>200</v>
      </c>
    </row>
    <row r="94" spans="1:191">
      <c r="A94" s="336" t="s">
        <v>405</v>
      </c>
      <c r="B94" s="358">
        <v>81</v>
      </c>
      <c r="C94" s="358">
        <v>85</v>
      </c>
      <c r="D94" s="358">
        <v>87</v>
      </c>
      <c r="E94" s="358">
        <v>88</v>
      </c>
      <c r="F94" s="358">
        <v>91</v>
      </c>
      <c r="G94" s="358">
        <v>94</v>
      </c>
      <c r="H94" s="358">
        <v>97</v>
      </c>
      <c r="I94" s="358">
        <v>99</v>
      </c>
      <c r="J94" s="358">
        <v>102</v>
      </c>
      <c r="K94" s="358">
        <v>106</v>
      </c>
      <c r="L94" s="358">
        <v>108</v>
      </c>
      <c r="M94" s="358">
        <v>111</v>
      </c>
      <c r="N94" s="358">
        <v>113</v>
      </c>
      <c r="O94" s="358">
        <v>118</v>
      </c>
      <c r="P94" s="358">
        <v>124</v>
      </c>
      <c r="Q94" s="358">
        <v>126</v>
      </c>
      <c r="R94" s="358">
        <v>129</v>
      </c>
      <c r="S94" s="358">
        <v>131</v>
      </c>
      <c r="T94" s="358">
        <v>134</v>
      </c>
      <c r="U94" s="358">
        <v>137</v>
      </c>
      <c r="V94" s="358">
        <v>83</v>
      </c>
      <c r="W94" s="358">
        <v>85</v>
      </c>
      <c r="X94" s="358">
        <v>87</v>
      </c>
      <c r="Y94" s="358">
        <v>89</v>
      </c>
      <c r="Z94" s="358">
        <v>91</v>
      </c>
      <c r="AA94" s="358">
        <v>92</v>
      </c>
      <c r="AB94" s="358">
        <v>94</v>
      </c>
      <c r="AC94" s="358">
        <v>97</v>
      </c>
      <c r="AD94" s="358">
        <v>99</v>
      </c>
      <c r="AE94" s="358">
        <v>104</v>
      </c>
      <c r="AF94" s="358">
        <v>109</v>
      </c>
      <c r="AG94" s="358">
        <v>114</v>
      </c>
      <c r="AH94" s="358">
        <v>115</v>
      </c>
      <c r="AI94" s="358">
        <v>116</v>
      </c>
      <c r="AJ94" s="358">
        <v>120</v>
      </c>
      <c r="AK94" s="358">
        <v>126</v>
      </c>
      <c r="AL94" s="358">
        <v>132</v>
      </c>
      <c r="AM94" s="358">
        <v>137</v>
      </c>
      <c r="AN94" s="358">
        <v>143</v>
      </c>
      <c r="AO94" s="358">
        <v>147</v>
      </c>
      <c r="AP94" s="358">
        <v>153</v>
      </c>
      <c r="AQ94" s="358">
        <v>159</v>
      </c>
      <c r="AR94" s="358">
        <v>163</v>
      </c>
      <c r="AS94" s="358">
        <v>175</v>
      </c>
      <c r="AT94" s="358">
        <v>183</v>
      </c>
      <c r="AU94" s="358">
        <v>193</v>
      </c>
      <c r="AV94" s="358">
        <v>202</v>
      </c>
      <c r="AW94" s="358">
        <v>210</v>
      </c>
      <c r="AX94" s="358">
        <v>78</v>
      </c>
      <c r="AY94" s="358">
        <v>82</v>
      </c>
      <c r="AZ94" s="358">
        <v>83</v>
      </c>
      <c r="BA94" s="358">
        <v>84</v>
      </c>
      <c r="BB94" s="358">
        <v>85</v>
      </c>
      <c r="BC94" s="358">
        <v>88</v>
      </c>
      <c r="BD94" s="358">
        <v>92</v>
      </c>
      <c r="BE94" s="358">
        <v>94</v>
      </c>
      <c r="BF94" s="358">
        <v>95</v>
      </c>
      <c r="BG94" s="358">
        <v>98</v>
      </c>
      <c r="BH94" s="358">
        <v>99</v>
      </c>
      <c r="BI94" s="358">
        <v>100</v>
      </c>
      <c r="BJ94" s="358">
        <v>102</v>
      </c>
      <c r="BK94" s="358">
        <v>103</v>
      </c>
      <c r="BL94" s="358">
        <v>104</v>
      </c>
      <c r="BM94" s="358">
        <v>106</v>
      </c>
      <c r="BN94" s="358">
        <v>107</v>
      </c>
      <c r="BO94" s="358">
        <v>110</v>
      </c>
      <c r="BP94" s="358">
        <v>115</v>
      </c>
      <c r="BQ94" s="358">
        <v>119</v>
      </c>
      <c r="BR94" s="358">
        <v>129</v>
      </c>
      <c r="BS94" s="358">
        <v>136</v>
      </c>
      <c r="BT94" s="358">
        <v>140</v>
      </c>
      <c r="BU94" s="358">
        <v>143</v>
      </c>
      <c r="BV94" s="358">
        <v>76</v>
      </c>
      <c r="BW94" s="358">
        <v>75</v>
      </c>
      <c r="BX94" s="358">
        <v>72</v>
      </c>
      <c r="BY94" s="358">
        <v>68</v>
      </c>
      <c r="BZ94" s="358">
        <v>63</v>
      </c>
      <c r="CA94" s="358">
        <v>59</v>
      </c>
      <c r="CB94" s="358">
        <v>52</v>
      </c>
      <c r="CC94" s="358">
        <v>47</v>
      </c>
      <c r="CD94" s="358">
        <v>44</v>
      </c>
      <c r="CE94" s="358">
        <v>40</v>
      </c>
      <c r="CF94" s="358">
        <v>38</v>
      </c>
      <c r="CG94" s="358">
        <v>31</v>
      </c>
      <c r="CH94" s="358">
        <v>29</v>
      </c>
      <c r="CI94" s="358">
        <v>25</v>
      </c>
      <c r="CJ94" s="358">
        <v>22</v>
      </c>
      <c r="CK94" s="358">
        <v>15</v>
      </c>
      <c r="CL94" s="358">
        <v>9</v>
      </c>
      <c r="CM94" s="358">
        <v>5</v>
      </c>
      <c r="CO94" s="358">
        <v>7</v>
      </c>
      <c r="CP94" s="358">
        <v>18</v>
      </c>
      <c r="CQ94" s="358">
        <v>31</v>
      </c>
      <c r="CR94" s="358">
        <v>36</v>
      </c>
      <c r="CS94" s="358">
        <v>87</v>
      </c>
      <c r="CT94" s="358">
        <v>92</v>
      </c>
      <c r="CU94" s="358">
        <v>98</v>
      </c>
      <c r="CV94" s="358">
        <v>104</v>
      </c>
      <c r="CW94" s="358">
        <v>110</v>
      </c>
      <c r="CX94" s="358">
        <v>115</v>
      </c>
      <c r="CY94" s="358">
        <v>122</v>
      </c>
      <c r="CZ94" s="358">
        <v>125</v>
      </c>
      <c r="DA94" s="358">
        <v>129</v>
      </c>
      <c r="DB94" s="358">
        <v>134</v>
      </c>
      <c r="DC94" s="358">
        <v>145</v>
      </c>
      <c r="DD94" s="358">
        <v>155</v>
      </c>
      <c r="DE94" s="358">
        <v>159</v>
      </c>
      <c r="DF94" s="358">
        <v>165</v>
      </c>
      <c r="DG94" s="358">
        <v>174</v>
      </c>
      <c r="DH94" s="358">
        <v>179</v>
      </c>
      <c r="DI94" s="358">
        <v>186</v>
      </c>
      <c r="DJ94" s="358">
        <v>195</v>
      </c>
      <c r="DK94" s="358">
        <v>202</v>
      </c>
      <c r="DL94" s="358">
        <v>210</v>
      </c>
      <c r="DM94" s="358">
        <v>222</v>
      </c>
      <c r="DN94" s="358">
        <v>225</v>
      </c>
      <c r="DO94" s="358">
        <v>236</v>
      </c>
      <c r="DP94" s="358">
        <v>245</v>
      </c>
      <c r="DQ94" s="358">
        <v>88</v>
      </c>
      <c r="DR94" s="358">
        <v>93</v>
      </c>
      <c r="DS94" s="358">
        <v>97</v>
      </c>
      <c r="DT94" s="358">
        <v>99</v>
      </c>
      <c r="DU94" s="358">
        <v>102</v>
      </c>
      <c r="DV94" s="358">
        <v>103</v>
      </c>
      <c r="DW94" s="358">
        <v>109</v>
      </c>
      <c r="DX94" s="358">
        <v>112</v>
      </c>
      <c r="DY94" s="358">
        <v>118</v>
      </c>
      <c r="DZ94" s="358">
        <v>123</v>
      </c>
      <c r="EA94" s="358">
        <v>127</v>
      </c>
      <c r="EB94" s="358">
        <v>131</v>
      </c>
      <c r="EC94" s="358">
        <v>136</v>
      </c>
      <c r="ED94" s="358">
        <v>142</v>
      </c>
      <c r="EE94" s="358">
        <v>148</v>
      </c>
      <c r="EF94" s="358">
        <v>151</v>
      </c>
      <c r="EG94" s="358">
        <v>155</v>
      </c>
      <c r="EH94" s="358">
        <v>160</v>
      </c>
      <c r="EI94" s="358">
        <v>165</v>
      </c>
      <c r="EJ94" s="358">
        <v>169</v>
      </c>
      <c r="EK94" s="358">
        <v>174</v>
      </c>
      <c r="EL94" s="358">
        <v>178</v>
      </c>
      <c r="EM94" s="358">
        <v>227</v>
      </c>
      <c r="EN94" s="358">
        <v>239</v>
      </c>
      <c r="EO94" s="358">
        <v>250</v>
      </c>
      <c r="EP94" s="358">
        <v>260</v>
      </c>
      <c r="EQ94" s="358">
        <v>267</v>
      </c>
      <c r="ES94" s="358">
        <v>279</v>
      </c>
      <c r="ET94" s="358">
        <v>284</v>
      </c>
      <c r="EU94" s="358">
        <v>293</v>
      </c>
      <c r="EV94" s="358">
        <v>299</v>
      </c>
      <c r="EW94" s="358">
        <v>223</v>
      </c>
      <c r="EX94" s="358">
        <v>234</v>
      </c>
      <c r="EY94" s="358">
        <v>245</v>
      </c>
      <c r="EZ94" s="358">
        <v>261</v>
      </c>
      <c r="FA94" s="358">
        <v>269</v>
      </c>
      <c r="FB94" s="358">
        <v>279</v>
      </c>
      <c r="FC94" s="358">
        <v>293</v>
      </c>
      <c r="FD94" s="358">
        <v>305</v>
      </c>
      <c r="FE94" s="358">
        <v>312</v>
      </c>
      <c r="FF94" s="358">
        <v>317</v>
      </c>
      <c r="FG94" s="358">
        <v>329</v>
      </c>
      <c r="FH94" s="358">
        <v>338</v>
      </c>
      <c r="FI94" s="358">
        <v>349</v>
      </c>
      <c r="FJ94" s="358">
        <v>355</v>
      </c>
      <c r="FK94" s="358">
        <v>360</v>
      </c>
      <c r="FL94" s="358">
        <v>202</v>
      </c>
      <c r="FM94" s="358">
        <v>212</v>
      </c>
      <c r="FN94" s="358">
        <v>218</v>
      </c>
      <c r="FO94" s="358">
        <v>225</v>
      </c>
      <c r="FP94" s="358">
        <v>238</v>
      </c>
      <c r="FQ94" s="358">
        <v>253</v>
      </c>
      <c r="FR94" s="358">
        <v>261</v>
      </c>
      <c r="FS94" s="358">
        <v>268</v>
      </c>
      <c r="FT94" s="358">
        <v>275</v>
      </c>
      <c r="FU94" s="358">
        <v>282</v>
      </c>
      <c r="FV94" s="358">
        <v>292</v>
      </c>
      <c r="FW94" s="358">
        <v>67</v>
      </c>
      <c r="FX94" s="358">
        <v>114</v>
      </c>
      <c r="FY94" s="358">
        <v>121</v>
      </c>
      <c r="FZ94" s="358">
        <v>149</v>
      </c>
      <c r="GA94" s="358">
        <v>218</v>
      </c>
      <c r="GB94" s="358">
        <v>340</v>
      </c>
      <c r="GC94" s="358">
        <v>186</v>
      </c>
      <c r="GD94" s="358">
        <v>222</v>
      </c>
      <c r="GE94" s="358">
        <v>251</v>
      </c>
      <c r="GF94" s="358">
        <v>249</v>
      </c>
      <c r="GG94" s="358">
        <v>167</v>
      </c>
      <c r="GH94" s="358">
        <v>179</v>
      </c>
      <c r="GI94" s="361">
        <v>205</v>
      </c>
    </row>
    <row r="95" spans="1:191">
      <c r="A95" s="336" t="s">
        <v>404</v>
      </c>
      <c r="B95" s="358">
        <v>88</v>
      </c>
      <c r="C95" s="358">
        <v>92</v>
      </c>
      <c r="D95" s="358">
        <v>94</v>
      </c>
      <c r="E95" s="358">
        <v>95</v>
      </c>
      <c r="F95" s="358">
        <v>98</v>
      </c>
      <c r="G95" s="358">
        <v>101</v>
      </c>
      <c r="H95" s="358">
        <v>104</v>
      </c>
      <c r="I95" s="358">
        <v>106</v>
      </c>
      <c r="J95" s="358">
        <v>109</v>
      </c>
      <c r="K95" s="358">
        <v>113</v>
      </c>
      <c r="L95" s="358">
        <v>115</v>
      </c>
      <c r="M95" s="358">
        <v>118</v>
      </c>
      <c r="N95" s="358">
        <v>120</v>
      </c>
      <c r="O95" s="358">
        <v>125</v>
      </c>
      <c r="P95" s="358">
        <v>131</v>
      </c>
      <c r="Q95" s="358">
        <v>133</v>
      </c>
      <c r="R95" s="358">
        <v>136</v>
      </c>
      <c r="S95" s="358">
        <v>138</v>
      </c>
      <c r="T95" s="358">
        <v>141</v>
      </c>
      <c r="U95" s="358">
        <v>144</v>
      </c>
      <c r="V95" s="358">
        <v>90</v>
      </c>
      <c r="W95" s="358">
        <v>92</v>
      </c>
      <c r="X95" s="358">
        <v>94</v>
      </c>
      <c r="Y95" s="358">
        <v>96</v>
      </c>
      <c r="Z95" s="358">
        <v>98</v>
      </c>
      <c r="AA95" s="358">
        <v>99</v>
      </c>
      <c r="AB95" s="358">
        <v>101</v>
      </c>
      <c r="AC95" s="358">
        <v>104</v>
      </c>
      <c r="AD95" s="358">
        <v>106</v>
      </c>
      <c r="AE95" s="358">
        <v>111</v>
      </c>
      <c r="AF95" s="358">
        <v>116</v>
      </c>
      <c r="AG95" s="358">
        <v>121</v>
      </c>
      <c r="AH95" s="358">
        <v>122</v>
      </c>
      <c r="AI95" s="358">
        <v>123</v>
      </c>
      <c r="AJ95" s="358">
        <v>127</v>
      </c>
      <c r="AK95" s="358">
        <v>133</v>
      </c>
      <c r="AL95" s="358">
        <v>139</v>
      </c>
      <c r="AM95" s="358">
        <v>144</v>
      </c>
      <c r="AN95" s="358">
        <v>150</v>
      </c>
      <c r="AO95" s="358">
        <v>154</v>
      </c>
      <c r="AP95" s="358">
        <v>160</v>
      </c>
      <c r="AQ95" s="358">
        <v>166</v>
      </c>
      <c r="AR95" s="358">
        <v>170</v>
      </c>
      <c r="AS95" s="358">
        <v>182</v>
      </c>
      <c r="AT95" s="358">
        <v>190</v>
      </c>
      <c r="AU95" s="358">
        <v>200</v>
      </c>
      <c r="AV95" s="358">
        <v>209</v>
      </c>
      <c r="AW95" s="358">
        <v>217</v>
      </c>
      <c r="AX95" s="358">
        <v>85</v>
      </c>
      <c r="AY95" s="358">
        <v>89</v>
      </c>
      <c r="AZ95" s="358">
        <v>90</v>
      </c>
      <c r="BA95" s="358">
        <v>91</v>
      </c>
      <c r="BB95" s="358">
        <v>92</v>
      </c>
      <c r="BC95" s="358">
        <v>95</v>
      </c>
      <c r="BD95" s="358">
        <v>99</v>
      </c>
      <c r="BE95" s="358">
        <v>101</v>
      </c>
      <c r="BF95" s="358">
        <v>102</v>
      </c>
      <c r="BG95" s="358">
        <v>105</v>
      </c>
      <c r="BH95" s="358">
        <v>106</v>
      </c>
      <c r="BI95" s="358">
        <v>107</v>
      </c>
      <c r="BJ95" s="358">
        <v>109</v>
      </c>
      <c r="BK95" s="358">
        <v>110</v>
      </c>
      <c r="BL95" s="358">
        <v>111</v>
      </c>
      <c r="BM95" s="358">
        <v>113</v>
      </c>
      <c r="BN95" s="358">
        <v>114</v>
      </c>
      <c r="BO95" s="358">
        <v>117</v>
      </c>
      <c r="BP95" s="358">
        <v>122</v>
      </c>
      <c r="BQ95" s="358">
        <v>126</v>
      </c>
      <c r="BR95" s="358">
        <v>136</v>
      </c>
      <c r="BS95" s="358">
        <v>143</v>
      </c>
      <c r="BT95" s="358">
        <v>147</v>
      </c>
      <c r="BU95" s="358">
        <v>150</v>
      </c>
      <c r="BV95" s="358">
        <v>83</v>
      </c>
      <c r="BW95" s="358">
        <v>82</v>
      </c>
      <c r="BX95" s="358">
        <v>79</v>
      </c>
      <c r="BY95" s="358">
        <v>75</v>
      </c>
      <c r="BZ95" s="358">
        <v>70</v>
      </c>
      <c r="CA95" s="358">
        <v>66</v>
      </c>
      <c r="CB95" s="358">
        <v>59</v>
      </c>
      <c r="CC95" s="358">
        <v>54</v>
      </c>
      <c r="CD95" s="358">
        <v>51</v>
      </c>
      <c r="CE95" s="358">
        <v>47</v>
      </c>
      <c r="CF95" s="358">
        <v>45</v>
      </c>
      <c r="CG95" s="358">
        <v>38</v>
      </c>
      <c r="CH95" s="358">
        <v>36</v>
      </c>
      <c r="CI95" s="358">
        <v>32</v>
      </c>
      <c r="CJ95" s="358">
        <v>29</v>
      </c>
      <c r="CK95" s="358">
        <v>22</v>
      </c>
      <c r="CL95" s="358">
        <v>16</v>
      </c>
      <c r="CM95" s="358">
        <v>12</v>
      </c>
      <c r="CN95" s="358">
        <v>7</v>
      </c>
      <c r="CP95" s="358">
        <v>11</v>
      </c>
      <c r="CQ95" s="358">
        <v>24</v>
      </c>
      <c r="CR95" s="358">
        <v>29</v>
      </c>
      <c r="CS95" s="358">
        <v>94</v>
      </c>
      <c r="CT95" s="358">
        <v>99</v>
      </c>
      <c r="CU95" s="358">
        <v>105</v>
      </c>
      <c r="CV95" s="358">
        <v>111</v>
      </c>
      <c r="CW95" s="358">
        <v>117</v>
      </c>
      <c r="CX95" s="358">
        <v>122</v>
      </c>
      <c r="CY95" s="358">
        <v>129</v>
      </c>
      <c r="CZ95" s="358">
        <v>132</v>
      </c>
      <c r="DA95" s="358">
        <v>136</v>
      </c>
      <c r="DB95" s="358">
        <v>141</v>
      </c>
      <c r="DC95" s="358">
        <v>152</v>
      </c>
      <c r="DD95" s="358">
        <v>162</v>
      </c>
      <c r="DE95" s="358">
        <v>166</v>
      </c>
      <c r="DF95" s="358">
        <v>172</v>
      </c>
      <c r="DG95" s="358">
        <v>181</v>
      </c>
      <c r="DH95" s="358">
        <v>186</v>
      </c>
      <c r="DI95" s="358">
        <v>193</v>
      </c>
      <c r="DJ95" s="358">
        <v>202</v>
      </c>
      <c r="DK95" s="358">
        <v>209</v>
      </c>
      <c r="DL95" s="358">
        <v>217</v>
      </c>
      <c r="DM95" s="358">
        <v>229</v>
      </c>
      <c r="DN95" s="358">
        <v>232</v>
      </c>
      <c r="DO95" s="358">
        <v>243</v>
      </c>
      <c r="DP95" s="358">
        <v>252</v>
      </c>
      <c r="DQ95" s="358">
        <v>95</v>
      </c>
      <c r="DR95" s="358">
        <v>100</v>
      </c>
      <c r="DS95" s="358">
        <v>104</v>
      </c>
      <c r="DT95" s="358">
        <v>106</v>
      </c>
      <c r="DU95" s="358">
        <v>109</v>
      </c>
      <c r="DV95" s="358">
        <v>110</v>
      </c>
      <c r="DW95" s="358">
        <v>116</v>
      </c>
      <c r="DX95" s="358">
        <v>119</v>
      </c>
      <c r="DY95" s="358">
        <v>125</v>
      </c>
      <c r="DZ95" s="358">
        <v>130</v>
      </c>
      <c r="EA95" s="358">
        <v>134</v>
      </c>
      <c r="EB95" s="358">
        <v>138</v>
      </c>
      <c r="EC95" s="358">
        <v>143</v>
      </c>
      <c r="ED95" s="358">
        <v>149</v>
      </c>
      <c r="EE95" s="358">
        <v>155</v>
      </c>
      <c r="EF95" s="358">
        <v>158</v>
      </c>
      <c r="EG95" s="358">
        <v>162</v>
      </c>
      <c r="EH95" s="358">
        <v>167</v>
      </c>
      <c r="EI95" s="358">
        <v>172</v>
      </c>
      <c r="EJ95" s="358">
        <v>176</v>
      </c>
      <c r="EK95" s="358">
        <v>181</v>
      </c>
      <c r="EL95" s="358">
        <v>185</v>
      </c>
      <c r="EM95" s="358">
        <v>234</v>
      </c>
      <c r="EN95" s="358">
        <v>246</v>
      </c>
      <c r="EO95" s="358">
        <v>257</v>
      </c>
      <c r="EP95" s="358">
        <v>267</v>
      </c>
      <c r="EQ95" s="358">
        <v>274</v>
      </c>
      <c r="ES95" s="358">
        <v>286</v>
      </c>
      <c r="ET95" s="358">
        <v>291</v>
      </c>
      <c r="EU95" s="358">
        <v>300</v>
      </c>
      <c r="EV95" s="358">
        <v>306</v>
      </c>
      <c r="EW95" s="358">
        <v>230</v>
      </c>
      <c r="EX95" s="358">
        <v>241</v>
      </c>
      <c r="EY95" s="358">
        <v>252</v>
      </c>
      <c r="EZ95" s="358">
        <v>268</v>
      </c>
      <c r="FA95" s="358">
        <v>276</v>
      </c>
      <c r="FB95" s="358">
        <v>286</v>
      </c>
      <c r="FC95" s="358">
        <v>300</v>
      </c>
      <c r="FD95" s="358">
        <v>312</v>
      </c>
      <c r="FE95" s="358">
        <v>319</v>
      </c>
      <c r="FF95" s="358">
        <v>324</v>
      </c>
      <c r="FG95" s="358">
        <v>336</v>
      </c>
      <c r="FH95" s="358">
        <v>345</v>
      </c>
      <c r="FI95" s="358">
        <v>356</v>
      </c>
      <c r="FJ95" s="358">
        <v>362</v>
      </c>
      <c r="FK95" s="358">
        <v>367</v>
      </c>
      <c r="FL95" s="358">
        <v>209</v>
      </c>
      <c r="FM95" s="358">
        <v>219</v>
      </c>
      <c r="FN95" s="358">
        <v>225</v>
      </c>
      <c r="FO95" s="358">
        <v>232</v>
      </c>
      <c r="FP95" s="358">
        <v>245</v>
      </c>
      <c r="FQ95" s="358">
        <v>260</v>
      </c>
      <c r="FR95" s="358">
        <v>268</v>
      </c>
      <c r="FS95" s="358">
        <v>275</v>
      </c>
      <c r="FT95" s="358">
        <v>282</v>
      </c>
      <c r="FU95" s="358">
        <v>289</v>
      </c>
      <c r="FV95" s="358">
        <v>299</v>
      </c>
      <c r="FW95" s="358">
        <v>74</v>
      </c>
      <c r="FX95" s="358">
        <v>121</v>
      </c>
      <c r="FY95" s="358">
        <v>128</v>
      </c>
      <c r="FZ95" s="358">
        <v>156</v>
      </c>
      <c r="GA95" s="358">
        <v>225</v>
      </c>
      <c r="GB95" s="358">
        <v>347</v>
      </c>
      <c r="GC95" s="358">
        <v>193</v>
      </c>
      <c r="GD95" s="358">
        <v>229</v>
      </c>
      <c r="GE95" s="358">
        <v>258</v>
      </c>
      <c r="GF95" s="358">
        <v>256</v>
      </c>
      <c r="GG95" s="358">
        <v>174</v>
      </c>
      <c r="GH95" s="358">
        <v>186</v>
      </c>
      <c r="GI95" s="361">
        <v>212</v>
      </c>
    </row>
    <row r="96" spans="1:191">
      <c r="A96" s="336" t="s">
        <v>403</v>
      </c>
      <c r="B96" s="358">
        <v>99</v>
      </c>
      <c r="C96" s="358">
        <v>103</v>
      </c>
      <c r="D96" s="358">
        <v>105</v>
      </c>
      <c r="E96" s="358">
        <v>106</v>
      </c>
      <c r="F96" s="358">
        <v>109</v>
      </c>
      <c r="G96" s="358">
        <v>112</v>
      </c>
      <c r="H96" s="358">
        <v>115</v>
      </c>
      <c r="I96" s="358">
        <v>117</v>
      </c>
      <c r="J96" s="358">
        <v>120</v>
      </c>
      <c r="K96" s="358">
        <v>124</v>
      </c>
      <c r="L96" s="358">
        <v>126</v>
      </c>
      <c r="M96" s="358">
        <v>129</v>
      </c>
      <c r="N96" s="358">
        <v>131</v>
      </c>
      <c r="O96" s="358">
        <v>136</v>
      </c>
      <c r="P96" s="358">
        <v>142</v>
      </c>
      <c r="Q96" s="358">
        <v>144</v>
      </c>
      <c r="R96" s="358">
        <v>147</v>
      </c>
      <c r="S96" s="358">
        <v>149</v>
      </c>
      <c r="T96" s="358">
        <v>152</v>
      </c>
      <c r="U96" s="358">
        <v>155</v>
      </c>
      <c r="V96" s="358">
        <v>101</v>
      </c>
      <c r="W96" s="358">
        <v>103</v>
      </c>
      <c r="X96" s="358">
        <v>105</v>
      </c>
      <c r="Y96" s="358">
        <v>107</v>
      </c>
      <c r="Z96" s="358">
        <v>109</v>
      </c>
      <c r="AA96" s="358">
        <v>110</v>
      </c>
      <c r="AB96" s="358">
        <v>112</v>
      </c>
      <c r="AC96" s="358">
        <v>115</v>
      </c>
      <c r="AD96" s="358">
        <v>117</v>
      </c>
      <c r="AE96" s="358">
        <v>122</v>
      </c>
      <c r="AF96" s="358">
        <v>127</v>
      </c>
      <c r="AG96" s="358">
        <v>132</v>
      </c>
      <c r="AH96" s="358">
        <v>133</v>
      </c>
      <c r="AI96" s="358">
        <v>134</v>
      </c>
      <c r="AJ96" s="358">
        <v>138</v>
      </c>
      <c r="AK96" s="358">
        <v>144</v>
      </c>
      <c r="AL96" s="358">
        <v>150</v>
      </c>
      <c r="AM96" s="358">
        <v>155</v>
      </c>
      <c r="AN96" s="358">
        <v>161</v>
      </c>
      <c r="AO96" s="358">
        <v>165</v>
      </c>
      <c r="AP96" s="358">
        <v>171</v>
      </c>
      <c r="AQ96" s="358">
        <v>177</v>
      </c>
      <c r="AR96" s="358">
        <v>181</v>
      </c>
      <c r="AS96" s="358">
        <v>193</v>
      </c>
      <c r="AT96" s="358">
        <v>201</v>
      </c>
      <c r="AU96" s="358">
        <v>211</v>
      </c>
      <c r="AV96" s="358">
        <v>220</v>
      </c>
      <c r="AW96" s="358">
        <v>228</v>
      </c>
      <c r="AX96" s="358">
        <v>96</v>
      </c>
      <c r="AY96" s="358">
        <v>100</v>
      </c>
      <c r="AZ96" s="358">
        <v>101</v>
      </c>
      <c r="BA96" s="358">
        <v>102</v>
      </c>
      <c r="BB96" s="358">
        <v>103</v>
      </c>
      <c r="BC96" s="358">
        <v>106</v>
      </c>
      <c r="BD96" s="358">
        <v>110</v>
      </c>
      <c r="BE96" s="358">
        <v>112</v>
      </c>
      <c r="BF96" s="358">
        <v>113</v>
      </c>
      <c r="BG96" s="358">
        <v>116</v>
      </c>
      <c r="BH96" s="358">
        <v>117</v>
      </c>
      <c r="BI96" s="358">
        <v>118</v>
      </c>
      <c r="BJ96" s="358">
        <v>120</v>
      </c>
      <c r="BK96" s="358">
        <v>121</v>
      </c>
      <c r="BL96" s="358">
        <v>122</v>
      </c>
      <c r="BM96" s="358">
        <v>124</v>
      </c>
      <c r="BN96" s="358">
        <v>125</v>
      </c>
      <c r="BO96" s="358">
        <v>128</v>
      </c>
      <c r="BP96" s="358">
        <v>133</v>
      </c>
      <c r="BQ96" s="358">
        <v>137</v>
      </c>
      <c r="BR96" s="358">
        <v>147</v>
      </c>
      <c r="BS96" s="358">
        <v>154</v>
      </c>
      <c r="BT96" s="358">
        <v>158</v>
      </c>
      <c r="BU96" s="358">
        <v>161</v>
      </c>
      <c r="BV96" s="358">
        <v>94</v>
      </c>
      <c r="BW96" s="358">
        <v>93</v>
      </c>
      <c r="BX96" s="358">
        <v>90</v>
      </c>
      <c r="BY96" s="358">
        <v>86</v>
      </c>
      <c r="BZ96" s="358">
        <v>81</v>
      </c>
      <c r="CA96" s="358">
        <v>77</v>
      </c>
      <c r="CB96" s="358">
        <v>70</v>
      </c>
      <c r="CC96" s="358">
        <v>65</v>
      </c>
      <c r="CD96" s="358">
        <v>62</v>
      </c>
      <c r="CE96" s="358">
        <v>58</v>
      </c>
      <c r="CF96" s="358">
        <v>56</v>
      </c>
      <c r="CG96" s="358">
        <v>49</v>
      </c>
      <c r="CH96" s="358">
        <v>47</v>
      </c>
      <c r="CI96" s="358">
        <v>43</v>
      </c>
      <c r="CJ96" s="358">
        <v>40</v>
      </c>
      <c r="CK96" s="358">
        <v>33</v>
      </c>
      <c r="CL96" s="358">
        <v>27</v>
      </c>
      <c r="CM96" s="358">
        <v>23</v>
      </c>
      <c r="CN96" s="358">
        <v>18</v>
      </c>
      <c r="CO96" s="358">
        <v>11</v>
      </c>
      <c r="CQ96" s="358">
        <v>13</v>
      </c>
      <c r="CR96" s="358">
        <v>18</v>
      </c>
      <c r="CS96" s="358">
        <v>105</v>
      </c>
      <c r="CT96" s="358">
        <v>110</v>
      </c>
      <c r="CU96" s="358">
        <v>116</v>
      </c>
      <c r="CV96" s="358">
        <v>122</v>
      </c>
      <c r="CW96" s="358">
        <v>128</v>
      </c>
      <c r="CX96" s="358">
        <v>133</v>
      </c>
      <c r="CY96" s="358">
        <v>140</v>
      </c>
      <c r="CZ96" s="358">
        <v>143</v>
      </c>
      <c r="DA96" s="358">
        <v>147</v>
      </c>
      <c r="DB96" s="358">
        <v>152</v>
      </c>
      <c r="DC96" s="358">
        <v>163</v>
      </c>
      <c r="DD96" s="358">
        <v>173</v>
      </c>
      <c r="DE96" s="358">
        <v>177</v>
      </c>
      <c r="DF96" s="358">
        <v>183</v>
      </c>
      <c r="DG96" s="358">
        <v>192</v>
      </c>
      <c r="DH96" s="358">
        <v>197</v>
      </c>
      <c r="DI96" s="358">
        <v>204</v>
      </c>
      <c r="DJ96" s="358">
        <v>213</v>
      </c>
      <c r="DK96" s="358">
        <v>220</v>
      </c>
      <c r="DL96" s="358">
        <v>228</v>
      </c>
      <c r="DM96" s="358">
        <v>240</v>
      </c>
      <c r="DN96" s="358">
        <v>243</v>
      </c>
      <c r="DO96" s="358">
        <v>254</v>
      </c>
      <c r="DP96" s="358">
        <v>263</v>
      </c>
      <c r="DQ96" s="358">
        <v>106</v>
      </c>
      <c r="DR96" s="358">
        <v>111</v>
      </c>
      <c r="DS96" s="358">
        <v>115</v>
      </c>
      <c r="DT96" s="358">
        <v>117</v>
      </c>
      <c r="DU96" s="358">
        <v>120</v>
      </c>
      <c r="DV96" s="358">
        <v>121</v>
      </c>
      <c r="DW96" s="358">
        <v>127</v>
      </c>
      <c r="DX96" s="358">
        <v>130</v>
      </c>
      <c r="DY96" s="358">
        <v>136</v>
      </c>
      <c r="DZ96" s="358">
        <v>141</v>
      </c>
      <c r="EA96" s="358">
        <v>145</v>
      </c>
      <c r="EB96" s="358">
        <v>149</v>
      </c>
      <c r="EC96" s="358">
        <v>154</v>
      </c>
      <c r="ED96" s="358">
        <v>160</v>
      </c>
      <c r="EE96" s="358">
        <v>166</v>
      </c>
      <c r="EF96" s="358">
        <v>169</v>
      </c>
      <c r="EG96" s="358">
        <v>173</v>
      </c>
      <c r="EH96" s="358">
        <v>178</v>
      </c>
      <c r="EI96" s="358">
        <v>183</v>
      </c>
      <c r="EJ96" s="358">
        <v>187</v>
      </c>
      <c r="EK96" s="358">
        <v>192</v>
      </c>
      <c r="EL96" s="358">
        <v>196</v>
      </c>
      <c r="EM96" s="358">
        <v>245</v>
      </c>
      <c r="EN96" s="358">
        <v>257</v>
      </c>
      <c r="EO96" s="358">
        <v>268</v>
      </c>
      <c r="EP96" s="358">
        <v>278</v>
      </c>
      <c r="EQ96" s="358">
        <v>285</v>
      </c>
      <c r="ES96" s="358">
        <v>297</v>
      </c>
      <c r="ET96" s="358">
        <v>302</v>
      </c>
      <c r="EU96" s="358">
        <v>311</v>
      </c>
      <c r="EV96" s="358">
        <v>317</v>
      </c>
      <c r="EW96" s="358">
        <v>241</v>
      </c>
      <c r="EX96" s="358">
        <v>252</v>
      </c>
      <c r="EY96" s="358">
        <v>263</v>
      </c>
      <c r="EZ96" s="358">
        <v>279</v>
      </c>
      <c r="FA96" s="358">
        <v>287</v>
      </c>
      <c r="FB96" s="358">
        <v>297</v>
      </c>
      <c r="FC96" s="358">
        <v>311</v>
      </c>
      <c r="FD96" s="358">
        <v>323</v>
      </c>
      <c r="FE96" s="358">
        <v>330</v>
      </c>
      <c r="FF96" s="358">
        <v>335</v>
      </c>
      <c r="FG96" s="358">
        <v>347</v>
      </c>
      <c r="FH96" s="358">
        <v>356</v>
      </c>
      <c r="FI96" s="358">
        <v>367</v>
      </c>
      <c r="FJ96" s="358">
        <v>373</v>
      </c>
      <c r="FK96" s="358">
        <v>378</v>
      </c>
      <c r="FL96" s="358">
        <v>220</v>
      </c>
      <c r="FM96" s="358">
        <v>230</v>
      </c>
      <c r="FN96" s="358">
        <v>236</v>
      </c>
      <c r="FO96" s="358">
        <v>243</v>
      </c>
      <c r="FP96" s="358">
        <v>256</v>
      </c>
      <c r="FQ96" s="358">
        <v>271</v>
      </c>
      <c r="FR96" s="358">
        <v>279</v>
      </c>
      <c r="FS96" s="358">
        <v>286</v>
      </c>
      <c r="FT96" s="358">
        <v>293</v>
      </c>
      <c r="FU96" s="358">
        <v>300</v>
      </c>
      <c r="FV96" s="358">
        <v>310</v>
      </c>
      <c r="FW96" s="358">
        <v>85</v>
      </c>
      <c r="FX96" s="358">
        <v>132</v>
      </c>
      <c r="FY96" s="358">
        <v>139</v>
      </c>
      <c r="FZ96" s="358">
        <v>167</v>
      </c>
      <c r="GA96" s="358">
        <v>236</v>
      </c>
      <c r="GB96" s="358">
        <v>358</v>
      </c>
      <c r="GC96" s="358">
        <v>204</v>
      </c>
      <c r="GD96" s="358">
        <v>240</v>
      </c>
      <c r="GE96" s="358">
        <v>269</v>
      </c>
      <c r="GF96" s="358">
        <v>267</v>
      </c>
      <c r="GG96" s="358">
        <v>185</v>
      </c>
      <c r="GH96" s="358">
        <v>197</v>
      </c>
      <c r="GI96" s="361">
        <v>223</v>
      </c>
    </row>
    <row r="97" spans="1:191">
      <c r="A97" s="336" t="s">
        <v>402</v>
      </c>
      <c r="B97" s="358">
        <v>112</v>
      </c>
      <c r="C97" s="358">
        <v>116</v>
      </c>
      <c r="D97" s="358">
        <v>118</v>
      </c>
      <c r="E97" s="358">
        <v>119</v>
      </c>
      <c r="F97" s="358">
        <v>122</v>
      </c>
      <c r="G97" s="358">
        <v>125</v>
      </c>
      <c r="H97" s="358">
        <v>128</v>
      </c>
      <c r="I97" s="358">
        <v>130</v>
      </c>
      <c r="J97" s="358">
        <v>133</v>
      </c>
      <c r="K97" s="358">
        <v>137</v>
      </c>
      <c r="L97" s="358">
        <v>139</v>
      </c>
      <c r="M97" s="358">
        <v>142</v>
      </c>
      <c r="N97" s="358">
        <v>144</v>
      </c>
      <c r="O97" s="358">
        <v>149</v>
      </c>
      <c r="P97" s="358">
        <v>155</v>
      </c>
      <c r="Q97" s="358">
        <v>157</v>
      </c>
      <c r="R97" s="358">
        <v>160</v>
      </c>
      <c r="S97" s="358">
        <v>162</v>
      </c>
      <c r="T97" s="358">
        <v>165</v>
      </c>
      <c r="U97" s="358">
        <v>168</v>
      </c>
      <c r="V97" s="358">
        <v>114</v>
      </c>
      <c r="W97" s="358">
        <v>116</v>
      </c>
      <c r="X97" s="358">
        <v>118</v>
      </c>
      <c r="Y97" s="358">
        <v>120</v>
      </c>
      <c r="Z97" s="358">
        <v>122</v>
      </c>
      <c r="AA97" s="358">
        <v>123</v>
      </c>
      <c r="AB97" s="358">
        <v>125</v>
      </c>
      <c r="AC97" s="358">
        <v>128</v>
      </c>
      <c r="AD97" s="358">
        <v>130</v>
      </c>
      <c r="AE97" s="358">
        <v>135</v>
      </c>
      <c r="AF97" s="358">
        <v>140</v>
      </c>
      <c r="AG97" s="358">
        <v>145</v>
      </c>
      <c r="AH97" s="358">
        <v>146</v>
      </c>
      <c r="AI97" s="358">
        <v>147</v>
      </c>
      <c r="AJ97" s="358">
        <v>151</v>
      </c>
      <c r="AK97" s="358">
        <v>157</v>
      </c>
      <c r="AL97" s="358">
        <v>163</v>
      </c>
      <c r="AM97" s="358">
        <v>168</v>
      </c>
      <c r="AN97" s="358">
        <v>174</v>
      </c>
      <c r="AO97" s="358">
        <v>178</v>
      </c>
      <c r="AP97" s="358">
        <v>184</v>
      </c>
      <c r="AQ97" s="358">
        <v>190</v>
      </c>
      <c r="AR97" s="358">
        <v>194</v>
      </c>
      <c r="AS97" s="358">
        <v>206</v>
      </c>
      <c r="AT97" s="358">
        <v>214</v>
      </c>
      <c r="AU97" s="358">
        <v>224</v>
      </c>
      <c r="AV97" s="358">
        <v>233</v>
      </c>
      <c r="AW97" s="358">
        <v>241</v>
      </c>
      <c r="AX97" s="358">
        <v>109</v>
      </c>
      <c r="AY97" s="358">
        <v>113</v>
      </c>
      <c r="AZ97" s="358">
        <v>114</v>
      </c>
      <c r="BA97" s="358">
        <v>115</v>
      </c>
      <c r="BB97" s="358">
        <v>116</v>
      </c>
      <c r="BC97" s="358">
        <v>119</v>
      </c>
      <c r="BD97" s="358">
        <v>123</v>
      </c>
      <c r="BE97" s="358">
        <v>125</v>
      </c>
      <c r="BF97" s="358">
        <v>126</v>
      </c>
      <c r="BG97" s="358">
        <v>129</v>
      </c>
      <c r="BH97" s="358">
        <v>130</v>
      </c>
      <c r="BI97" s="358">
        <v>131</v>
      </c>
      <c r="BJ97" s="358">
        <v>133</v>
      </c>
      <c r="BK97" s="358">
        <v>134</v>
      </c>
      <c r="BL97" s="358">
        <v>135</v>
      </c>
      <c r="BM97" s="358">
        <v>137</v>
      </c>
      <c r="BN97" s="358">
        <v>138</v>
      </c>
      <c r="BO97" s="358">
        <v>141</v>
      </c>
      <c r="BP97" s="358">
        <v>146</v>
      </c>
      <c r="BQ97" s="358">
        <v>150</v>
      </c>
      <c r="BR97" s="358">
        <v>160</v>
      </c>
      <c r="BS97" s="358">
        <v>167</v>
      </c>
      <c r="BT97" s="358">
        <v>171</v>
      </c>
      <c r="BU97" s="358">
        <v>174</v>
      </c>
      <c r="BV97" s="358">
        <v>107</v>
      </c>
      <c r="BW97" s="358">
        <v>106</v>
      </c>
      <c r="BX97" s="358">
        <v>103</v>
      </c>
      <c r="BY97" s="358">
        <v>99</v>
      </c>
      <c r="BZ97" s="358">
        <v>94</v>
      </c>
      <c r="CA97" s="358">
        <v>90</v>
      </c>
      <c r="CB97" s="358">
        <v>83</v>
      </c>
      <c r="CC97" s="358">
        <v>78</v>
      </c>
      <c r="CD97" s="358">
        <v>75</v>
      </c>
      <c r="CE97" s="358">
        <v>71</v>
      </c>
      <c r="CF97" s="358">
        <v>69</v>
      </c>
      <c r="CG97" s="358">
        <v>62</v>
      </c>
      <c r="CH97" s="358">
        <v>60</v>
      </c>
      <c r="CI97" s="358">
        <v>56</v>
      </c>
      <c r="CJ97" s="358">
        <v>53</v>
      </c>
      <c r="CK97" s="358">
        <v>46</v>
      </c>
      <c r="CL97" s="358">
        <v>40</v>
      </c>
      <c r="CM97" s="358">
        <v>36</v>
      </c>
      <c r="CN97" s="358">
        <v>31</v>
      </c>
      <c r="CO97" s="358">
        <v>24</v>
      </c>
      <c r="CP97" s="358">
        <v>13</v>
      </c>
      <c r="CR97" s="358">
        <v>5</v>
      </c>
      <c r="CS97" s="358">
        <v>118</v>
      </c>
      <c r="CT97" s="358">
        <v>123</v>
      </c>
      <c r="CU97" s="358">
        <v>129</v>
      </c>
      <c r="CV97" s="358">
        <v>135</v>
      </c>
      <c r="CW97" s="358">
        <v>141</v>
      </c>
      <c r="CX97" s="358">
        <v>146</v>
      </c>
      <c r="CY97" s="358">
        <v>153</v>
      </c>
      <c r="CZ97" s="358">
        <v>156</v>
      </c>
      <c r="DA97" s="358">
        <v>160</v>
      </c>
      <c r="DB97" s="358">
        <v>165</v>
      </c>
      <c r="DC97" s="358">
        <v>176</v>
      </c>
      <c r="DD97" s="358">
        <v>186</v>
      </c>
      <c r="DE97" s="358">
        <v>190</v>
      </c>
      <c r="DF97" s="358">
        <v>196</v>
      </c>
      <c r="DG97" s="358">
        <v>205</v>
      </c>
      <c r="DH97" s="358">
        <v>210</v>
      </c>
      <c r="DI97" s="358">
        <v>217</v>
      </c>
      <c r="DJ97" s="358">
        <v>226</v>
      </c>
      <c r="DK97" s="358">
        <v>233</v>
      </c>
      <c r="DL97" s="358">
        <v>241</v>
      </c>
      <c r="DM97" s="358">
        <v>253</v>
      </c>
      <c r="DN97" s="358">
        <v>256</v>
      </c>
      <c r="DO97" s="358">
        <v>267</v>
      </c>
      <c r="DP97" s="358">
        <v>276</v>
      </c>
      <c r="DQ97" s="358">
        <v>119</v>
      </c>
      <c r="DR97" s="358">
        <v>124</v>
      </c>
      <c r="DS97" s="358">
        <v>128</v>
      </c>
      <c r="DT97" s="358">
        <v>130</v>
      </c>
      <c r="DU97" s="358">
        <v>133</v>
      </c>
      <c r="DV97" s="358">
        <v>134</v>
      </c>
      <c r="DW97" s="358">
        <v>140</v>
      </c>
      <c r="DX97" s="358">
        <v>143</v>
      </c>
      <c r="DY97" s="358">
        <v>149</v>
      </c>
      <c r="DZ97" s="358">
        <v>154</v>
      </c>
      <c r="EA97" s="358">
        <v>158</v>
      </c>
      <c r="EB97" s="358">
        <v>162</v>
      </c>
      <c r="EC97" s="358">
        <v>167</v>
      </c>
      <c r="ED97" s="358">
        <v>173</v>
      </c>
      <c r="EE97" s="358">
        <v>179</v>
      </c>
      <c r="EF97" s="358">
        <v>182</v>
      </c>
      <c r="EG97" s="358">
        <v>186</v>
      </c>
      <c r="EH97" s="358">
        <v>191</v>
      </c>
      <c r="EI97" s="358">
        <v>196</v>
      </c>
      <c r="EJ97" s="358">
        <v>200</v>
      </c>
      <c r="EK97" s="358">
        <v>205</v>
      </c>
      <c r="EL97" s="358">
        <v>209</v>
      </c>
      <c r="EM97" s="358">
        <v>258</v>
      </c>
      <c r="EN97" s="358">
        <v>270</v>
      </c>
      <c r="EO97" s="358">
        <v>281</v>
      </c>
      <c r="EP97" s="358">
        <v>291</v>
      </c>
      <c r="EQ97" s="358">
        <v>298</v>
      </c>
      <c r="ES97" s="358">
        <v>310</v>
      </c>
      <c r="ET97" s="358">
        <v>315</v>
      </c>
      <c r="EU97" s="358">
        <v>324</v>
      </c>
      <c r="EV97" s="358">
        <v>330</v>
      </c>
      <c r="EW97" s="358">
        <v>254</v>
      </c>
      <c r="EX97" s="358">
        <v>265</v>
      </c>
      <c r="EY97" s="358">
        <v>276</v>
      </c>
      <c r="EZ97" s="358">
        <v>292</v>
      </c>
      <c r="FA97" s="358">
        <v>300</v>
      </c>
      <c r="FB97" s="358">
        <v>310</v>
      </c>
      <c r="FC97" s="358">
        <v>324</v>
      </c>
      <c r="FD97" s="358">
        <v>336</v>
      </c>
      <c r="FE97" s="358">
        <v>343</v>
      </c>
      <c r="FF97" s="358">
        <v>348</v>
      </c>
      <c r="FG97" s="358">
        <v>360</v>
      </c>
      <c r="FH97" s="358">
        <v>369</v>
      </c>
      <c r="FI97" s="358">
        <v>380</v>
      </c>
      <c r="FJ97" s="358">
        <v>386</v>
      </c>
      <c r="FK97" s="358">
        <v>391</v>
      </c>
      <c r="FL97" s="358">
        <v>233</v>
      </c>
      <c r="FM97" s="358">
        <v>243</v>
      </c>
      <c r="FN97" s="358">
        <v>249</v>
      </c>
      <c r="FO97" s="358">
        <v>256</v>
      </c>
      <c r="FP97" s="358">
        <v>269</v>
      </c>
      <c r="FQ97" s="358">
        <v>284</v>
      </c>
      <c r="FR97" s="358">
        <v>292</v>
      </c>
      <c r="FS97" s="358">
        <v>299</v>
      </c>
      <c r="FT97" s="358">
        <v>306</v>
      </c>
      <c r="FU97" s="358">
        <v>313</v>
      </c>
      <c r="FV97" s="358">
        <v>323</v>
      </c>
      <c r="FW97" s="358">
        <v>98</v>
      </c>
      <c r="FX97" s="358">
        <v>145</v>
      </c>
      <c r="FY97" s="358">
        <v>152</v>
      </c>
      <c r="FZ97" s="358">
        <v>180</v>
      </c>
      <c r="GA97" s="358">
        <v>249</v>
      </c>
      <c r="GB97" s="358">
        <v>371</v>
      </c>
      <c r="GC97" s="358">
        <v>217</v>
      </c>
      <c r="GD97" s="358">
        <v>253</v>
      </c>
      <c r="GE97" s="358">
        <v>282</v>
      </c>
      <c r="GF97" s="358">
        <v>280</v>
      </c>
      <c r="GG97" s="358">
        <v>198</v>
      </c>
      <c r="GH97" s="358">
        <v>210</v>
      </c>
      <c r="GI97" s="361">
        <v>236</v>
      </c>
    </row>
    <row r="98" spans="1:191">
      <c r="A98" s="336" t="s">
        <v>401</v>
      </c>
      <c r="B98" s="358">
        <v>117</v>
      </c>
      <c r="C98" s="358">
        <v>121</v>
      </c>
      <c r="D98" s="358">
        <v>123</v>
      </c>
      <c r="E98" s="358">
        <v>124</v>
      </c>
      <c r="F98" s="358">
        <v>127</v>
      </c>
      <c r="G98" s="358">
        <v>130</v>
      </c>
      <c r="H98" s="358">
        <v>133</v>
      </c>
      <c r="I98" s="358">
        <v>135</v>
      </c>
      <c r="J98" s="358">
        <v>138</v>
      </c>
      <c r="K98" s="358">
        <v>142</v>
      </c>
      <c r="L98" s="358">
        <v>144</v>
      </c>
      <c r="M98" s="358">
        <v>147</v>
      </c>
      <c r="N98" s="358">
        <v>149</v>
      </c>
      <c r="O98" s="358">
        <v>154</v>
      </c>
      <c r="P98" s="358">
        <v>160</v>
      </c>
      <c r="Q98" s="358">
        <v>162</v>
      </c>
      <c r="R98" s="358">
        <v>165</v>
      </c>
      <c r="S98" s="358">
        <v>167</v>
      </c>
      <c r="T98" s="358">
        <v>170</v>
      </c>
      <c r="U98" s="358">
        <v>173</v>
      </c>
      <c r="V98" s="358">
        <v>119</v>
      </c>
      <c r="W98" s="358">
        <v>121</v>
      </c>
      <c r="X98" s="358">
        <v>123</v>
      </c>
      <c r="Y98" s="358">
        <v>125</v>
      </c>
      <c r="Z98" s="358">
        <v>127</v>
      </c>
      <c r="AA98" s="358">
        <v>128</v>
      </c>
      <c r="AB98" s="358">
        <v>130</v>
      </c>
      <c r="AC98" s="358">
        <v>133</v>
      </c>
      <c r="AD98" s="358">
        <v>135</v>
      </c>
      <c r="AE98" s="358">
        <v>140</v>
      </c>
      <c r="AF98" s="358">
        <v>145</v>
      </c>
      <c r="AG98" s="358">
        <v>150</v>
      </c>
      <c r="AH98" s="358">
        <v>151</v>
      </c>
      <c r="AI98" s="358">
        <v>152</v>
      </c>
      <c r="AJ98" s="358">
        <v>156</v>
      </c>
      <c r="AK98" s="358">
        <v>162</v>
      </c>
      <c r="AL98" s="358">
        <v>168</v>
      </c>
      <c r="AM98" s="358">
        <v>173</v>
      </c>
      <c r="AN98" s="358">
        <v>179</v>
      </c>
      <c r="AO98" s="358">
        <v>183</v>
      </c>
      <c r="AP98" s="358">
        <v>189</v>
      </c>
      <c r="AQ98" s="358">
        <v>195</v>
      </c>
      <c r="AR98" s="358">
        <v>199</v>
      </c>
      <c r="AS98" s="358">
        <v>211</v>
      </c>
      <c r="AT98" s="358">
        <v>219</v>
      </c>
      <c r="AU98" s="358">
        <v>229</v>
      </c>
      <c r="AV98" s="358">
        <v>238</v>
      </c>
      <c r="AW98" s="358">
        <v>246</v>
      </c>
      <c r="AX98" s="358">
        <v>114</v>
      </c>
      <c r="AY98" s="358">
        <v>118</v>
      </c>
      <c r="AZ98" s="358">
        <v>119</v>
      </c>
      <c r="BA98" s="358">
        <v>120</v>
      </c>
      <c r="BB98" s="358">
        <v>121</v>
      </c>
      <c r="BC98" s="358">
        <v>124</v>
      </c>
      <c r="BD98" s="358">
        <v>128</v>
      </c>
      <c r="BE98" s="358">
        <v>130</v>
      </c>
      <c r="BF98" s="358">
        <v>131</v>
      </c>
      <c r="BG98" s="358">
        <v>134</v>
      </c>
      <c r="BH98" s="358">
        <v>135</v>
      </c>
      <c r="BI98" s="358">
        <v>136</v>
      </c>
      <c r="BJ98" s="358">
        <v>138</v>
      </c>
      <c r="BK98" s="358">
        <v>139</v>
      </c>
      <c r="BL98" s="358">
        <v>140</v>
      </c>
      <c r="BM98" s="358">
        <v>142</v>
      </c>
      <c r="BN98" s="358">
        <v>143</v>
      </c>
      <c r="BO98" s="358">
        <v>146</v>
      </c>
      <c r="BP98" s="358">
        <v>151</v>
      </c>
      <c r="BQ98" s="358">
        <v>155</v>
      </c>
      <c r="BR98" s="358">
        <v>165</v>
      </c>
      <c r="BS98" s="358">
        <v>172</v>
      </c>
      <c r="BT98" s="358">
        <v>176</v>
      </c>
      <c r="BU98" s="358">
        <v>179</v>
      </c>
      <c r="BV98" s="358">
        <v>112</v>
      </c>
      <c r="BW98" s="358">
        <v>111</v>
      </c>
      <c r="BX98" s="358">
        <v>108</v>
      </c>
      <c r="BY98" s="358">
        <v>104</v>
      </c>
      <c r="BZ98" s="358">
        <v>99</v>
      </c>
      <c r="CA98" s="358">
        <v>95</v>
      </c>
      <c r="CB98" s="358">
        <v>88</v>
      </c>
      <c r="CC98" s="358">
        <v>83</v>
      </c>
      <c r="CD98" s="358">
        <v>80</v>
      </c>
      <c r="CE98" s="358">
        <v>76</v>
      </c>
      <c r="CF98" s="358">
        <v>74</v>
      </c>
      <c r="CG98" s="358">
        <v>67</v>
      </c>
      <c r="CH98" s="358">
        <v>65</v>
      </c>
      <c r="CI98" s="358">
        <v>61</v>
      </c>
      <c r="CJ98" s="358">
        <v>58</v>
      </c>
      <c r="CK98" s="358">
        <v>51</v>
      </c>
      <c r="CL98" s="358">
        <v>45</v>
      </c>
      <c r="CM98" s="358">
        <v>41</v>
      </c>
      <c r="CN98" s="358">
        <v>36</v>
      </c>
      <c r="CO98" s="358">
        <v>29</v>
      </c>
      <c r="CP98" s="358">
        <v>18</v>
      </c>
      <c r="CQ98" s="358">
        <v>5</v>
      </c>
      <c r="CS98" s="358">
        <v>123</v>
      </c>
      <c r="CT98" s="358">
        <v>128</v>
      </c>
      <c r="CU98" s="358">
        <v>134</v>
      </c>
      <c r="CV98" s="358">
        <v>140</v>
      </c>
      <c r="CW98" s="358">
        <v>146</v>
      </c>
      <c r="CX98" s="358">
        <v>151</v>
      </c>
      <c r="CY98" s="358">
        <v>158</v>
      </c>
      <c r="CZ98" s="358">
        <v>161</v>
      </c>
      <c r="DA98" s="358">
        <v>165</v>
      </c>
      <c r="DB98" s="358">
        <v>170</v>
      </c>
      <c r="DC98" s="358">
        <v>181</v>
      </c>
      <c r="DD98" s="358">
        <v>191</v>
      </c>
      <c r="DE98" s="358">
        <v>195</v>
      </c>
      <c r="DF98" s="358">
        <v>201</v>
      </c>
      <c r="DG98" s="358">
        <v>210</v>
      </c>
      <c r="DH98" s="358">
        <v>215</v>
      </c>
      <c r="DI98" s="358">
        <v>222</v>
      </c>
      <c r="DJ98" s="358">
        <v>231</v>
      </c>
      <c r="DK98" s="358">
        <v>238</v>
      </c>
      <c r="DL98" s="358">
        <v>246</v>
      </c>
      <c r="DM98" s="358">
        <v>258</v>
      </c>
      <c r="DN98" s="358">
        <v>261</v>
      </c>
      <c r="DO98" s="358">
        <v>272</v>
      </c>
      <c r="DP98" s="358">
        <v>281</v>
      </c>
      <c r="DQ98" s="358">
        <v>124</v>
      </c>
      <c r="DR98" s="358">
        <v>129</v>
      </c>
      <c r="DS98" s="358">
        <v>133</v>
      </c>
      <c r="DT98" s="358">
        <v>135</v>
      </c>
      <c r="DU98" s="358">
        <v>138</v>
      </c>
      <c r="DV98" s="358">
        <v>139</v>
      </c>
      <c r="DW98" s="358">
        <v>145</v>
      </c>
      <c r="DX98" s="358">
        <v>148</v>
      </c>
      <c r="DY98" s="358">
        <v>154</v>
      </c>
      <c r="DZ98" s="358">
        <v>159</v>
      </c>
      <c r="EA98" s="358">
        <v>163</v>
      </c>
      <c r="EB98" s="358">
        <v>167</v>
      </c>
      <c r="EC98" s="358">
        <v>172</v>
      </c>
      <c r="ED98" s="358">
        <v>178</v>
      </c>
      <c r="EE98" s="358">
        <v>184</v>
      </c>
      <c r="EF98" s="358">
        <v>187</v>
      </c>
      <c r="EG98" s="358">
        <v>191</v>
      </c>
      <c r="EH98" s="358">
        <v>196</v>
      </c>
      <c r="EI98" s="358">
        <v>201</v>
      </c>
      <c r="EJ98" s="358">
        <v>205</v>
      </c>
      <c r="EK98" s="358">
        <v>210</v>
      </c>
      <c r="EL98" s="358">
        <v>214</v>
      </c>
      <c r="EM98" s="358">
        <v>263</v>
      </c>
      <c r="EN98" s="358">
        <v>275</v>
      </c>
      <c r="EO98" s="358">
        <v>286</v>
      </c>
      <c r="EP98" s="358">
        <v>296</v>
      </c>
      <c r="EQ98" s="358">
        <v>303</v>
      </c>
      <c r="ES98" s="358">
        <v>315</v>
      </c>
      <c r="ET98" s="358">
        <v>320</v>
      </c>
      <c r="EU98" s="358">
        <v>329</v>
      </c>
      <c r="EV98" s="358">
        <v>335</v>
      </c>
      <c r="EW98" s="358">
        <v>259</v>
      </c>
      <c r="EX98" s="358">
        <v>270</v>
      </c>
      <c r="EY98" s="358">
        <v>281</v>
      </c>
      <c r="EZ98" s="358">
        <v>297</v>
      </c>
      <c r="FA98" s="358">
        <v>305</v>
      </c>
      <c r="FB98" s="358">
        <v>315</v>
      </c>
      <c r="FC98" s="358">
        <v>329</v>
      </c>
      <c r="FD98" s="358">
        <v>341</v>
      </c>
      <c r="FE98" s="358">
        <v>348</v>
      </c>
      <c r="FF98" s="358">
        <v>353</v>
      </c>
      <c r="FG98" s="358">
        <v>365</v>
      </c>
      <c r="FH98" s="358">
        <v>374</v>
      </c>
      <c r="FI98" s="358">
        <v>385</v>
      </c>
      <c r="FJ98" s="358">
        <v>391</v>
      </c>
      <c r="FK98" s="358">
        <v>396</v>
      </c>
      <c r="FL98" s="358">
        <v>238</v>
      </c>
      <c r="FM98" s="358">
        <v>248</v>
      </c>
      <c r="FN98" s="358">
        <v>254</v>
      </c>
      <c r="FO98" s="358">
        <v>261</v>
      </c>
      <c r="FP98" s="358">
        <v>274</v>
      </c>
      <c r="FQ98" s="358">
        <v>289</v>
      </c>
      <c r="FR98" s="358">
        <v>297</v>
      </c>
      <c r="FS98" s="358">
        <v>304</v>
      </c>
      <c r="FT98" s="358">
        <v>311</v>
      </c>
      <c r="FU98" s="358">
        <v>318</v>
      </c>
      <c r="FV98" s="358">
        <v>328</v>
      </c>
      <c r="FW98" s="358">
        <v>103</v>
      </c>
      <c r="FX98" s="358">
        <v>150</v>
      </c>
      <c r="FY98" s="358">
        <v>157</v>
      </c>
      <c r="FZ98" s="358">
        <v>185</v>
      </c>
      <c r="GA98" s="358">
        <v>254</v>
      </c>
      <c r="GB98" s="358">
        <v>376</v>
      </c>
      <c r="GC98" s="358">
        <v>222</v>
      </c>
      <c r="GD98" s="358">
        <v>258</v>
      </c>
      <c r="GE98" s="358">
        <v>287</v>
      </c>
      <c r="GF98" s="358">
        <v>285</v>
      </c>
      <c r="GG98" s="358">
        <v>203</v>
      </c>
      <c r="GH98" s="358">
        <v>215</v>
      </c>
      <c r="GI98" s="361">
        <v>241</v>
      </c>
    </row>
    <row r="99" spans="1:191">
      <c r="A99" s="336" t="s">
        <v>400</v>
      </c>
      <c r="B99" s="358">
        <v>6</v>
      </c>
      <c r="C99" s="358">
        <v>2</v>
      </c>
      <c r="D99" s="358">
        <v>4</v>
      </c>
      <c r="E99" s="358">
        <v>5</v>
      </c>
      <c r="F99" s="358">
        <v>8</v>
      </c>
      <c r="G99" s="358">
        <v>11</v>
      </c>
      <c r="H99" s="358">
        <v>14</v>
      </c>
      <c r="I99" s="358">
        <v>16</v>
      </c>
      <c r="J99" s="358">
        <v>19</v>
      </c>
      <c r="K99" s="358">
        <v>23</v>
      </c>
      <c r="L99" s="358">
        <v>25</v>
      </c>
      <c r="M99" s="358">
        <v>28</v>
      </c>
      <c r="N99" s="358">
        <v>30</v>
      </c>
      <c r="O99" s="358">
        <v>35</v>
      </c>
      <c r="P99" s="358">
        <v>41</v>
      </c>
      <c r="Q99" s="358">
        <v>43</v>
      </c>
      <c r="R99" s="358">
        <v>46</v>
      </c>
      <c r="S99" s="358">
        <v>48</v>
      </c>
      <c r="T99" s="358">
        <v>51</v>
      </c>
      <c r="U99" s="358">
        <v>54</v>
      </c>
      <c r="V99" s="358">
        <v>8</v>
      </c>
      <c r="W99" s="358">
        <v>10</v>
      </c>
      <c r="X99" s="358">
        <v>12</v>
      </c>
      <c r="Y99" s="358">
        <v>14</v>
      </c>
      <c r="Z99" s="358">
        <v>16</v>
      </c>
      <c r="AA99" s="358">
        <v>17</v>
      </c>
      <c r="AB99" s="358">
        <v>19</v>
      </c>
      <c r="AC99" s="358">
        <v>22</v>
      </c>
      <c r="AD99" s="358">
        <v>24</v>
      </c>
      <c r="AE99" s="358">
        <v>29</v>
      </c>
      <c r="AF99" s="358">
        <v>34</v>
      </c>
      <c r="AG99" s="358">
        <v>39</v>
      </c>
      <c r="AH99" s="358">
        <v>40</v>
      </c>
      <c r="AI99" s="358">
        <v>41</v>
      </c>
      <c r="AJ99" s="358">
        <v>45</v>
      </c>
      <c r="AK99" s="358">
        <v>51</v>
      </c>
      <c r="AL99" s="358">
        <v>57</v>
      </c>
      <c r="AM99" s="358">
        <v>62</v>
      </c>
      <c r="AN99" s="358">
        <v>68</v>
      </c>
      <c r="AO99" s="358">
        <v>72</v>
      </c>
      <c r="AP99" s="358">
        <v>78</v>
      </c>
      <c r="AQ99" s="358">
        <v>84</v>
      </c>
      <c r="AR99" s="358">
        <v>88</v>
      </c>
      <c r="AS99" s="358">
        <v>100</v>
      </c>
      <c r="AT99" s="358">
        <v>108</v>
      </c>
      <c r="AU99" s="358">
        <v>118</v>
      </c>
      <c r="AV99" s="358">
        <v>127</v>
      </c>
      <c r="AW99" s="358">
        <v>135</v>
      </c>
      <c r="AX99" s="358">
        <v>9</v>
      </c>
      <c r="AY99" s="358">
        <v>13</v>
      </c>
      <c r="AZ99" s="358">
        <v>14</v>
      </c>
      <c r="BA99" s="358">
        <v>15</v>
      </c>
      <c r="BB99" s="358">
        <v>16</v>
      </c>
      <c r="BC99" s="358">
        <v>19</v>
      </c>
      <c r="BD99" s="358">
        <v>23</v>
      </c>
      <c r="BE99" s="358">
        <v>25</v>
      </c>
      <c r="BF99" s="358">
        <v>26</v>
      </c>
      <c r="BG99" s="358">
        <v>29</v>
      </c>
      <c r="BH99" s="358">
        <v>30</v>
      </c>
      <c r="BI99" s="358">
        <v>31</v>
      </c>
      <c r="BJ99" s="358">
        <v>33</v>
      </c>
      <c r="BK99" s="358">
        <v>34</v>
      </c>
      <c r="BL99" s="358">
        <v>35</v>
      </c>
      <c r="BM99" s="358">
        <v>37</v>
      </c>
      <c r="BN99" s="358">
        <v>38</v>
      </c>
      <c r="BO99" s="358">
        <v>41</v>
      </c>
      <c r="BP99" s="358">
        <v>46</v>
      </c>
      <c r="BQ99" s="358">
        <v>50</v>
      </c>
      <c r="BR99" s="358">
        <v>60</v>
      </c>
      <c r="BS99" s="358">
        <v>67</v>
      </c>
      <c r="BT99" s="358">
        <v>71</v>
      </c>
      <c r="BU99" s="358">
        <v>74</v>
      </c>
      <c r="BV99" s="358">
        <v>11</v>
      </c>
      <c r="BW99" s="358">
        <v>12</v>
      </c>
      <c r="BX99" s="358">
        <v>15</v>
      </c>
      <c r="BY99" s="358">
        <v>19</v>
      </c>
      <c r="BZ99" s="358">
        <v>24</v>
      </c>
      <c r="CA99" s="358">
        <v>28</v>
      </c>
      <c r="CB99" s="358">
        <v>35</v>
      </c>
      <c r="CC99" s="358">
        <v>40</v>
      </c>
      <c r="CD99" s="358">
        <v>43</v>
      </c>
      <c r="CE99" s="358">
        <v>47</v>
      </c>
      <c r="CF99" s="358">
        <v>49</v>
      </c>
      <c r="CG99" s="358">
        <v>56</v>
      </c>
      <c r="CH99" s="358">
        <v>58</v>
      </c>
      <c r="CI99" s="358">
        <v>62</v>
      </c>
      <c r="CJ99" s="358">
        <v>65</v>
      </c>
      <c r="CK99" s="358">
        <v>72</v>
      </c>
      <c r="CL99" s="358">
        <v>78</v>
      </c>
      <c r="CM99" s="358">
        <v>82</v>
      </c>
      <c r="CN99" s="358">
        <v>87</v>
      </c>
      <c r="CO99" s="358">
        <v>94</v>
      </c>
      <c r="CP99" s="358">
        <v>105</v>
      </c>
      <c r="CQ99" s="358">
        <v>118</v>
      </c>
      <c r="CR99" s="358">
        <v>123</v>
      </c>
      <c r="CT99" s="358">
        <v>5</v>
      </c>
      <c r="CU99" s="358">
        <v>11</v>
      </c>
      <c r="CV99" s="358">
        <v>17</v>
      </c>
      <c r="CW99" s="358">
        <v>23</v>
      </c>
      <c r="CX99" s="358">
        <v>28</v>
      </c>
      <c r="CY99" s="358">
        <v>35</v>
      </c>
      <c r="CZ99" s="358">
        <v>38</v>
      </c>
      <c r="DA99" s="358">
        <v>42</v>
      </c>
      <c r="DB99" s="358">
        <v>47</v>
      </c>
      <c r="DC99" s="358">
        <v>58</v>
      </c>
      <c r="DD99" s="358">
        <v>68</v>
      </c>
      <c r="DE99" s="358">
        <v>72</v>
      </c>
      <c r="DF99" s="358">
        <v>78</v>
      </c>
      <c r="DG99" s="358">
        <v>87</v>
      </c>
      <c r="DH99" s="358">
        <v>92</v>
      </c>
      <c r="DI99" s="358">
        <v>99</v>
      </c>
      <c r="DJ99" s="358">
        <v>108</v>
      </c>
      <c r="DK99" s="358">
        <v>115</v>
      </c>
      <c r="DL99" s="358">
        <v>123</v>
      </c>
      <c r="DM99" s="358">
        <v>135</v>
      </c>
      <c r="DN99" s="358">
        <v>138</v>
      </c>
      <c r="DO99" s="358">
        <v>149</v>
      </c>
      <c r="DP99" s="358">
        <v>158</v>
      </c>
      <c r="DQ99" s="358">
        <v>13</v>
      </c>
      <c r="DR99" s="358">
        <v>18</v>
      </c>
      <c r="DS99" s="358">
        <v>22</v>
      </c>
      <c r="DT99" s="358">
        <v>24</v>
      </c>
      <c r="DU99" s="358">
        <v>27</v>
      </c>
      <c r="DV99" s="358">
        <v>28</v>
      </c>
      <c r="DW99" s="358">
        <v>34</v>
      </c>
      <c r="DX99" s="358">
        <v>37</v>
      </c>
      <c r="DY99" s="358">
        <v>43</v>
      </c>
      <c r="DZ99" s="358">
        <v>48</v>
      </c>
      <c r="EA99" s="358">
        <v>52</v>
      </c>
      <c r="EB99" s="358">
        <v>56</v>
      </c>
      <c r="EC99" s="358">
        <v>61</v>
      </c>
      <c r="ED99" s="358">
        <v>67</v>
      </c>
      <c r="EE99" s="358">
        <v>73</v>
      </c>
      <c r="EF99" s="358">
        <v>76</v>
      </c>
      <c r="EG99" s="358">
        <v>80</v>
      </c>
      <c r="EH99" s="358">
        <v>85</v>
      </c>
      <c r="EI99" s="358">
        <v>90</v>
      </c>
      <c r="EJ99" s="358">
        <v>94</v>
      </c>
      <c r="EK99" s="358">
        <v>99</v>
      </c>
      <c r="EL99" s="358">
        <v>103</v>
      </c>
      <c r="EM99" s="358">
        <v>152</v>
      </c>
      <c r="EN99" s="358">
        <v>164</v>
      </c>
      <c r="EO99" s="358">
        <v>175</v>
      </c>
      <c r="EP99" s="358">
        <v>185</v>
      </c>
      <c r="EQ99" s="358">
        <v>192</v>
      </c>
      <c r="ES99" s="358">
        <v>204</v>
      </c>
      <c r="ET99" s="358">
        <v>209</v>
      </c>
      <c r="EU99" s="358">
        <v>218</v>
      </c>
      <c r="EV99" s="358">
        <v>224</v>
      </c>
      <c r="EW99" s="358">
        <v>148</v>
      </c>
      <c r="EX99" s="358">
        <v>159</v>
      </c>
      <c r="EY99" s="358">
        <v>170</v>
      </c>
      <c r="EZ99" s="358">
        <v>186</v>
      </c>
      <c r="FA99" s="358">
        <v>194</v>
      </c>
      <c r="FB99" s="358">
        <v>204</v>
      </c>
      <c r="FC99" s="358">
        <v>218</v>
      </c>
      <c r="FD99" s="358">
        <v>230</v>
      </c>
      <c r="FE99" s="358">
        <v>237</v>
      </c>
      <c r="FF99" s="358">
        <v>242</v>
      </c>
      <c r="FG99" s="358">
        <v>254</v>
      </c>
      <c r="FH99" s="358">
        <v>263</v>
      </c>
      <c r="FI99" s="358">
        <v>274</v>
      </c>
      <c r="FJ99" s="358">
        <v>280</v>
      </c>
      <c r="FK99" s="358">
        <v>285</v>
      </c>
      <c r="FL99" s="358">
        <v>127</v>
      </c>
      <c r="FM99" s="358">
        <v>137</v>
      </c>
      <c r="FN99" s="358">
        <v>143</v>
      </c>
      <c r="FO99" s="358">
        <v>150</v>
      </c>
      <c r="FP99" s="358">
        <v>163</v>
      </c>
      <c r="FQ99" s="358">
        <v>178</v>
      </c>
      <c r="FR99" s="358">
        <v>186</v>
      </c>
      <c r="FS99" s="358">
        <v>193</v>
      </c>
      <c r="FT99" s="358">
        <v>200</v>
      </c>
      <c r="FU99" s="358">
        <v>207</v>
      </c>
      <c r="FV99" s="358">
        <v>217</v>
      </c>
      <c r="FW99" s="358">
        <v>78</v>
      </c>
      <c r="FX99" s="358">
        <v>125</v>
      </c>
      <c r="FY99" s="358">
        <v>132</v>
      </c>
      <c r="FZ99" s="358">
        <v>160</v>
      </c>
      <c r="GA99" s="358">
        <v>229</v>
      </c>
      <c r="GB99" s="358">
        <v>265</v>
      </c>
      <c r="GC99" s="358">
        <v>117</v>
      </c>
      <c r="GD99" s="358">
        <v>153</v>
      </c>
      <c r="GE99" s="358">
        <v>182</v>
      </c>
      <c r="GF99" s="358">
        <v>162</v>
      </c>
      <c r="GG99" s="358">
        <v>98</v>
      </c>
      <c r="GH99" s="358">
        <v>110</v>
      </c>
      <c r="GI99" s="361">
        <v>136</v>
      </c>
    </row>
    <row r="100" spans="1:191">
      <c r="A100" s="336" t="s">
        <v>399</v>
      </c>
      <c r="B100" s="358">
        <v>11</v>
      </c>
      <c r="C100" s="358">
        <v>7</v>
      </c>
      <c r="D100" s="358">
        <v>9</v>
      </c>
      <c r="E100" s="358">
        <v>10</v>
      </c>
      <c r="F100" s="358">
        <v>13</v>
      </c>
      <c r="G100" s="358">
        <v>16</v>
      </c>
      <c r="H100" s="358">
        <v>19</v>
      </c>
      <c r="I100" s="358">
        <v>21</v>
      </c>
      <c r="J100" s="358">
        <v>24</v>
      </c>
      <c r="K100" s="358">
        <v>28</v>
      </c>
      <c r="L100" s="358">
        <v>30</v>
      </c>
      <c r="M100" s="358">
        <v>33</v>
      </c>
      <c r="N100" s="358">
        <v>35</v>
      </c>
      <c r="O100" s="358">
        <v>40</v>
      </c>
      <c r="P100" s="358">
        <v>46</v>
      </c>
      <c r="Q100" s="358">
        <v>48</v>
      </c>
      <c r="R100" s="358">
        <v>51</v>
      </c>
      <c r="S100" s="358">
        <v>53</v>
      </c>
      <c r="T100" s="358">
        <v>56</v>
      </c>
      <c r="U100" s="358">
        <v>59</v>
      </c>
      <c r="V100" s="358">
        <v>13</v>
      </c>
      <c r="W100" s="358">
        <v>15</v>
      </c>
      <c r="X100" s="358">
        <v>17</v>
      </c>
      <c r="Y100" s="358">
        <v>19</v>
      </c>
      <c r="Z100" s="358">
        <v>21</v>
      </c>
      <c r="AA100" s="358">
        <v>22</v>
      </c>
      <c r="AB100" s="358">
        <v>24</v>
      </c>
      <c r="AC100" s="358">
        <v>27</v>
      </c>
      <c r="AD100" s="358">
        <v>29</v>
      </c>
      <c r="AE100" s="358">
        <v>34</v>
      </c>
      <c r="AF100" s="358">
        <v>39</v>
      </c>
      <c r="AG100" s="358">
        <v>44</v>
      </c>
      <c r="AH100" s="358">
        <v>45</v>
      </c>
      <c r="AI100" s="358">
        <v>46</v>
      </c>
      <c r="AJ100" s="358">
        <v>50</v>
      </c>
      <c r="AK100" s="358">
        <v>56</v>
      </c>
      <c r="AL100" s="358">
        <v>62</v>
      </c>
      <c r="AM100" s="358">
        <v>67</v>
      </c>
      <c r="AN100" s="358">
        <v>73</v>
      </c>
      <c r="AO100" s="358">
        <v>77</v>
      </c>
      <c r="AP100" s="358">
        <v>83</v>
      </c>
      <c r="AQ100" s="358">
        <v>89</v>
      </c>
      <c r="AR100" s="358">
        <v>93</v>
      </c>
      <c r="AS100" s="358">
        <v>105</v>
      </c>
      <c r="AT100" s="358">
        <v>113</v>
      </c>
      <c r="AU100" s="358">
        <v>123</v>
      </c>
      <c r="AV100" s="358">
        <v>132</v>
      </c>
      <c r="AW100" s="358">
        <v>140</v>
      </c>
      <c r="AX100" s="358">
        <v>14</v>
      </c>
      <c r="AY100" s="358">
        <v>18</v>
      </c>
      <c r="AZ100" s="358">
        <v>19</v>
      </c>
      <c r="BA100" s="358">
        <v>20</v>
      </c>
      <c r="BB100" s="358">
        <v>21</v>
      </c>
      <c r="BC100" s="358">
        <v>24</v>
      </c>
      <c r="BD100" s="358">
        <v>28</v>
      </c>
      <c r="BE100" s="358">
        <v>30</v>
      </c>
      <c r="BF100" s="358">
        <v>31</v>
      </c>
      <c r="BG100" s="358">
        <v>34</v>
      </c>
      <c r="BH100" s="358">
        <v>35</v>
      </c>
      <c r="BI100" s="358">
        <v>36</v>
      </c>
      <c r="BJ100" s="358">
        <v>38</v>
      </c>
      <c r="BK100" s="358">
        <v>39</v>
      </c>
      <c r="BL100" s="358">
        <v>40</v>
      </c>
      <c r="BM100" s="358">
        <v>42</v>
      </c>
      <c r="BN100" s="358">
        <v>43</v>
      </c>
      <c r="BO100" s="358">
        <v>46</v>
      </c>
      <c r="BP100" s="358">
        <v>51</v>
      </c>
      <c r="BQ100" s="358">
        <v>55</v>
      </c>
      <c r="BR100" s="358">
        <v>65</v>
      </c>
      <c r="BS100" s="358">
        <v>72</v>
      </c>
      <c r="BT100" s="358">
        <v>76</v>
      </c>
      <c r="BU100" s="358">
        <v>79</v>
      </c>
      <c r="BV100" s="358">
        <v>16</v>
      </c>
      <c r="BW100" s="358">
        <v>17</v>
      </c>
      <c r="BX100" s="358">
        <v>20</v>
      </c>
      <c r="BY100" s="358">
        <v>24</v>
      </c>
      <c r="BZ100" s="358">
        <v>29</v>
      </c>
      <c r="CA100" s="358">
        <v>33</v>
      </c>
      <c r="CB100" s="358">
        <v>40</v>
      </c>
      <c r="CC100" s="358">
        <v>45</v>
      </c>
      <c r="CD100" s="358">
        <v>48</v>
      </c>
      <c r="CE100" s="358">
        <v>52</v>
      </c>
      <c r="CF100" s="358">
        <v>54</v>
      </c>
      <c r="CG100" s="358">
        <v>61</v>
      </c>
      <c r="CH100" s="358">
        <v>63</v>
      </c>
      <c r="CI100" s="358">
        <v>67</v>
      </c>
      <c r="CJ100" s="358">
        <v>70</v>
      </c>
      <c r="CK100" s="358">
        <v>77</v>
      </c>
      <c r="CL100" s="358">
        <v>83</v>
      </c>
      <c r="CM100" s="358">
        <v>87</v>
      </c>
      <c r="CN100" s="358">
        <v>92</v>
      </c>
      <c r="CO100" s="358">
        <v>99</v>
      </c>
      <c r="CP100" s="358">
        <v>110</v>
      </c>
      <c r="CQ100" s="358">
        <v>123</v>
      </c>
      <c r="CR100" s="358">
        <v>128</v>
      </c>
      <c r="CS100" s="358">
        <v>5</v>
      </c>
      <c r="CU100" s="358">
        <v>6</v>
      </c>
      <c r="CV100" s="358">
        <v>12</v>
      </c>
      <c r="CW100" s="358">
        <v>18</v>
      </c>
      <c r="CX100" s="358">
        <v>23</v>
      </c>
      <c r="CY100" s="358">
        <v>30</v>
      </c>
      <c r="CZ100" s="358">
        <v>33</v>
      </c>
      <c r="DA100" s="358">
        <v>37</v>
      </c>
      <c r="DB100" s="358">
        <v>42</v>
      </c>
      <c r="DC100" s="358">
        <v>53</v>
      </c>
      <c r="DD100" s="358">
        <v>63</v>
      </c>
      <c r="DE100" s="358">
        <v>67</v>
      </c>
      <c r="DF100" s="358">
        <v>73</v>
      </c>
      <c r="DG100" s="358">
        <v>82</v>
      </c>
      <c r="DH100" s="358">
        <v>87</v>
      </c>
      <c r="DI100" s="358">
        <v>94</v>
      </c>
      <c r="DJ100" s="358">
        <v>103</v>
      </c>
      <c r="DK100" s="358">
        <v>110</v>
      </c>
      <c r="DL100" s="358">
        <v>118</v>
      </c>
      <c r="DM100" s="358">
        <v>130</v>
      </c>
      <c r="DN100" s="358">
        <v>133</v>
      </c>
      <c r="DO100" s="358">
        <v>144</v>
      </c>
      <c r="DP100" s="358">
        <v>153</v>
      </c>
      <c r="DQ100" s="358">
        <v>18</v>
      </c>
      <c r="DR100" s="358">
        <v>23</v>
      </c>
      <c r="DS100" s="358">
        <v>27</v>
      </c>
      <c r="DT100" s="358">
        <v>29</v>
      </c>
      <c r="DU100" s="358">
        <v>32</v>
      </c>
      <c r="DV100" s="358">
        <v>33</v>
      </c>
      <c r="DW100" s="358">
        <v>39</v>
      </c>
      <c r="DX100" s="358">
        <v>42</v>
      </c>
      <c r="DY100" s="358">
        <v>48</v>
      </c>
      <c r="DZ100" s="358">
        <v>53</v>
      </c>
      <c r="EA100" s="358">
        <v>57</v>
      </c>
      <c r="EB100" s="358">
        <v>61</v>
      </c>
      <c r="EC100" s="358">
        <v>66</v>
      </c>
      <c r="ED100" s="358">
        <v>72</v>
      </c>
      <c r="EE100" s="358">
        <v>78</v>
      </c>
      <c r="EF100" s="358">
        <v>81</v>
      </c>
      <c r="EG100" s="358">
        <v>85</v>
      </c>
      <c r="EH100" s="358">
        <v>90</v>
      </c>
      <c r="EI100" s="358">
        <v>95</v>
      </c>
      <c r="EJ100" s="358">
        <v>99</v>
      </c>
      <c r="EK100" s="358">
        <v>104</v>
      </c>
      <c r="EL100" s="358">
        <v>108</v>
      </c>
      <c r="EM100" s="358">
        <v>157</v>
      </c>
      <c r="EN100" s="358">
        <v>169</v>
      </c>
      <c r="EO100" s="358">
        <v>180</v>
      </c>
      <c r="EP100" s="358">
        <v>190</v>
      </c>
      <c r="EQ100" s="358">
        <v>197</v>
      </c>
      <c r="ES100" s="358">
        <v>209</v>
      </c>
      <c r="ET100" s="358">
        <v>214</v>
      </c>
      <c r="EU100" s="358">
        <v>223</v>
      </c>
      <c r="EV100" s="358">
        <v>229</v>
      </c>
      <c r="EW100" s="358">
        <v>153</v>
      </c>
      <c r="EX100" s="358">
        <v>164</v>
      </c>
      <c r="EY100" s="358">
        <v>175</v>
      </c>
      <c r="EZ100" s="358">
        <v>191</v>
      </c>
      <c r="FA100" s="358">
        <v>199</v>
      </c>
      <c r="FB100" s="358">
        <v>209</v>
      </c>
      <c r="FC100" s="358">
        <v>223</v>
      </c>
      <c r="FD100" s="358">
        <v>235</v>
      </c>
      <c r="FE100" s="358">
        <v>242</v>
      </c>
      <c r="FF100" s="358">
        <v>247</v>
      </c>
      <c r="FG100" s="358">
        <v>259</v>
      </c>
      <c r="FH100" s="358">
        <v>268</v>
      </c>
      <c r="FI100" s="358">
        <v>279</v>
      </c>
      <c r="FJ100" s="358">
        <v>285</v>
      </c>
      <c r="FK100" s="358">
        <v>290</v>
      </c>
      <c r="FL100" s="358">
        <v>132</v>
      </c>
      <c r="FM100" s="358">
        <v>142</v>
      </c>
      <c r="FN100" s="358">
        <v>148</v>
      </c>
      <c r="FO100" s="358">
        <v>155</v>
      </c>
      <c r="FP100" s="358">
        <v>168</v>
      </c>
      <c r="FQ100" s="358">
        <v>183</v>
      </c>
      <c r="FR100" s="358">
        <v>191</v>
      </c>
      <c r="FS100" s="358">
        <v>198</v>
      </c>
      <c r="FT100" s="358">
        <v>205</v>
      </c>
      <c r="FU100" s="358">
        <v>212</v>
      </c>
      <c r="FV100" s="358">
        <v>222</v>
      </c>
      <c r="FW100" s="358">
        <v>83</v>
      </c>
      <c r="FX100" s="358">
        <v>130</v>
      </c>
      <c r="FY100" s="358">
        <v>137</v>
      </c>
      <c r="FZ100" s="358">
        <v>165</v>
      </c>
      <c r="GA100" s="358">
        <v>234</v>
      </c>
      <c r="GB100" s="358">
        <v>270</v>
      </c>
      <c r="GC100" s="358">
        <v>122</v>
      </c>
      <c r="GD100" s="358">
        <v>158</v>
      </c>
      <c r="GE100" s="358">
        <v>187</v>
      </c>
      <c r="GF100" s="358">
        <v>157</v>
      </c>
      <c r="GG100" s="358">
        <v>103</v>
      </c>
      <c r="GH100" s="358">
        <v>115</v>
      </c>
      <c r="GI100" s="361">
        <v>141</v>
      </c>
    </row>
    <row r="101" spans="1:191">
      <c r="A101" s="336" t="s">
        <v>398</v>
      </c>
      <c r="B101" s="358">
        <v>17</v>
      </c>
      <c r="C101" s="358">
        <v>13</v>
      </c>
      <c r="D101" s="358">
        <v>15</v>
      </c>
      <c r="E101" s="358">
        <v>16</v>
      </c>
      <c r="F101" s="358">
        <v>19</v>
      </c>
      <c r="G101" s="358">
        <v>22</v>
      </c>
      <c r="H101" s="358">
        <v>25</v>
      </c>
      <c r="I101" s="358">
        <v>27</v>
      </c>
      <c r="J101" s="358">
        <v>30</v>
      </c>
      <c r="K101" s="358">
        <v>34</v>
      </c>
      <c r="L101" s="358">
        <v>36</v>
      </c>
      <c r="M101" s="358">
        <v>39</v>
      </c>
      <c r="N101" s="358">
        <v>41</v>
      </c>
      <c r="O101" s="358">
        <v>46</v>
      </c>
      <c r="P101" s="358">
        <v>52</v>
      </c>
      <c r="Q101" s="358">
        <v>54</v>
      </c>
      <c r="R101" s="358">
        <v>57</v>
      </c>
      <c r="S101" s="358">
        <v>59</v>
      </c>
      <c r="T101" s="358">
        <v>62</v>
      </c>
      <c r="U101" s="358">
        <v>65</v>
      </c>
      <c r="V101" s="358">
        <v>19</v>
      </c>
      <c r="W101" s="358">
        <v>21</v>
      </c>
      <c r="X101" s="358">
        <v>23</v>
      </c>
      <c r="Y101" s="358">
        <v>25</v>
      </c>
      <c r="Z101" s="358">
        <v>27</v>
      </c>
      <c r="AA101" s="358">
        <v>28</v>
      </c>
      <c r="AB101" s="358">
        <v>30</v>
      </c>
      <c r="AC101" s="358">
        <v>33</v>
      </c>
      <c r="AD101" s="358">
        <v>35</v>
      </c>
      <c r="AE101" s="358">
        <v>40</v>
      </c>
      <c r="AF101" s="358">
        <v>45</v>
      </c>
      <c r="AG101" s="358">
        <v>50</v>
      </c>
      <c r="AH101" s="358">
        <v>51</v>
      </c>
      <c r="AI101" s="358">
        <v>52</v>
      </c>
      <c r="AJ101" s="358">
        <v>56</v>
      </c>
      <c r="AK101" s="358">
        <v>62</v>
      </c>
      <c r="AL101" s="358">
        <v>68</v>
      </c>
      <c r="AM101" s="358">
        <v>73</v>
      </c>
      <c r="AN101" s="358">
        <v>79</v>
      </c>
      <c r="AO101" s="358">
        <v>83</v>
      </c>
      <c r="AP101" s="358">
        <v>89</v>
      </c>
      <c r="AQ101" s="358">
        <v>95</v>
      </c>
      <c r="AR101" s="358">
        <v>99</v>
      </c>
      <c r="AS101" s="358">
        <v>111</v>
      </c>
      <c r="AT101" s="358">
        <v>119</v>
      </c>
      <c r="AU101" s="358">
        <v>129</v>
      </c>
      <c r="AV101" s="358">
        <v>138</v>
      </c>
      <c r="AW101" s="358">
        <v>146</v>
      </c>
      <c r="AX101" s="358">
        <v>20</v>
      </c>
      <c r="AY101" s="358">
        <v>24</v>
      </c>
      <c r="AZ101" s="358">
        <v>25</v>
      </c>
      <c r="BA101" s="358">
        <v>26</v>
      </c>
      <c r="BB101" s="358">
        <v>27</v>
      </c>
      <c r="BC101" s="358">
        <v>30</v>
      </c>
      <c r="BD101" s="358">
        <v>34</v>
      </c>
      <c r="BE101" s="358">
        <v>36</v>
      </c>
      <c r="BF101" s="358">
        <v>37</v>
      </c>
      <c r="BG101" s="358">
        <v>40</v>
      </c>
      <c r="BH101" s="358">
        <v>41</v>
      </c>
      <c r="BI101" s="358">
        <v>42</v>
      </c>
      <c r="BJ101" s="358">
        <v>44</v>
      </c>
      <c r="BK101" s="358">
        <v>45</v>
      </c>
      <c r="BL101" s="358">
        <v>46</v>
      </c>
      <c r="BM101" s="358">
        <v>48</v>
      </c>
      <c r="BN101" s="358">
        <v>49</v>
      </c>
      <c r="BO101" s="358">
        <v>52</v>
      </c>
      <c r="BP101" s="358">
        <v>57</v>
      </c>
      <c r="BQ101" s="358">
        <v>61</v>
      </c>
      <c r="BR101" s="358">
        <v>71</v>
      </c>
      <c r="BS101" s="358">
        <v>78</v>
      </c>
      <c r="BT101" s="358">
        <v>82</v>
      </c>
      <c r="BU101" s="358">
        <v>85</v>
      </c>
      <c r="BV101" s="358">
        <v>22</v>
      </c>
      <c r="BW101" s="358">
        <v>23</v>
      </c>
      <c r="BX101" s="358">
        <v>26</v>
      </c>
      <c r="BY101" s="358">
        <v>30</v>
      </c>
      <c r="BZ101" s="358">
        <v>35</v>
      </c>
      <c r="CA101" s="358">
        <v>39</v>
      </c>
      <c r="CB101" s="358">
        <v>46</v>
      </c>
      <c r="CC101" s="358">
        <v>51</v>
      </c>
      <c r="CD101" s="358">
        <v>54</v>
      </c>
      <c r="CE101" s="358">
        <v>58</v>
      </c>
      <c r="CF101" s="358">
        <v>60</v>
      </c>
      <c r="CG101" s="358">
        <v>67</v>
      </c>
      <c r="CH101" s="358">
        <v>69</v>
      </c>
      <c r="CI101" s="358">
        <v>73</v>
      </c>
      <c r="CJ101" s="358">
        <v>76</v>
      </c>
      <c r="CK101" s="358">
        <v>83</v>
      </c>
      <c r="CL101" s="358">
        <v>89</v>
      </c>
      <c r="CM101" s="358">
        <v>93</v>
      </c>
      <c r="CN101" s="358">
        <v>98</v>
      </c>
      <c r="CO101" s="358">
        <v>105</v>
      </c>
      <c r="CP101" s="358">
        <v>116</v>
      </c>
      <c r="CQ101" s="358">
        <v>129</v>
      </c>
      <c r="CR101" s="358">
        <v>134</v>
      </c>
      <c r="CS101" s="358">
        <v>11</v>
      </c>
      <c r="CT101" s="358">
        <v>6</v>
      </c>
      <c r="CV101" s="358">
        <v>6</v>
      </c>
      <c r="CW101" s="358">
        <v>12</v>
      </c>
      <c r="CX101" s="358">
        <v>17</v>
      </c>
      <c r="CY101" s="358">
        <v>24</v>
      </c>
      <c r="CZ101" s="358">
        <v>27</v>
      </c>
      <c r="DA101" s="358">
        <v>31</v>
      </c>
      <c r="DB101" s="358">
        <v>36</v>
      </c>
      <c r="DC101" s="358">
        <v>47</v>
      </c>
      <c r="DD101" s="358">
        <v>57</v>
      </c>
      <c r="DE101" s="358">
        <v>61</v>
      </c>
      <c r="DF101" s="358">
        <v>67</v>
      </c>
      <c r="DG101" s="358">
        <v>76</v>
      </c>
      <c r="DH101" s="358">
        <v>81</v>
      </c>
      <c r="DI101" s="358">
        <v>88</v>
      </c>
      <c r="DJ101" s="358">
        <v>97</v>
      </c>
      <c r="DK101" s="358">
        <v>104</v>
      </c>
      <c r="DL101" s="358">
        <v>112</v>
      </c>
      <c r="DM101" s="358">
        <v>124</v>
      </c>
      <c r="DN101" s="358">
        <v>127</v>
      </c>
      <c r="DO101" s="358">
        <v>138</v>
      </c>
      <c r="DP101" s="358">
        <v>147</v>
      </c>
      <c r="DQ101" s="358">
        <v>24</v>
      </c>
      <c r="DR101" s="358">
        <v>29</v>
      </c>
      <c r="DS101" s="358">
        <v>33</v>
      </c>
      <c r="DT101" s="358">
        <v>35</v>
      </c>
      <c r="DU101" s="358">
        <v>38</v>
      </c>
      <c r="DV101" s="358">
        <v>39</v>
      </c>
      <c r="DW101" s="358">
        <v>45</v>
      </c>
      <c r="DX101" s="358">
        <v>48</v>
      </c>
      <c r="DY101" s="358">
        <v>54</v>
      </c>
      <c r="DZ101" s="358">
        <v>59</v>
      </c>
      <c r="EA101" s="358">
        <v>63</v>
      </c>
      <c r="EB101" s="358">
        <v>67</v>
      </c>
      <c r="EC101" s="358">
        <v>72</v>
      </c>
      <c r="ED101" s="358">
        <v>78</v>
      </c>
      <c r="EE101" s="358">
        <v>84</v>
      </c>
      <c r="EF101" s="358">
        <v>87</v>
      </c>
      <c r="EG101" s="358">
        <v>91</v>
      </c>
      <c r="EH101" s="358">
        <v>96</v>
      </c>
      <c r="EI101" s="358">
        <v>101</v>
      </c>
      <c r="EJ101" s="358">
        <v>105</v>
      </c>
      <c r="EK101" s="358">
        <v>110</v>
      </c>
      <c r="EL101" s="358">
        <v>114</v>
      </c>
      <c r="EM101" s="358">
        <v>163</v>
      </c>
      <c r="EN101" s="358">
        <v>175</v>
      </c>
      <c r="EO101" s="358">
        <v>186</v>
      </c>
      <c r="EP101" s="358">
        <v>196</v>
      </c>
      <c r="EQ101" s="358">
        <v>203</v>
      </c>
      <c r="ES101" s="358">
        <v>215</v>
      </c>
      <c r="ET101" s="358">
        <v>220</v>
      </c>
      <c r="EU101" s="358">
        <v>229</v>
      </c>
      <c r="EV101" s="358">
        <v>235</v>
      </c>
      <c r="EW101" s="358">
        <v>159</v>
      </c>
      <c r="EX101" s="358">
        <v>170</v>
      </c>
      <c r="EY101" s="358">
        <v>181</v>
      </c>
      <c r="EZ101" s="358">
        <v>197</v>
      </c>
      <c r="FA101" s="358">
        <v>205</v>
      </c>
      <c r="FB101" s="358">
        <v>215</v>
      </c>
      <c r="FC101" s="358">
        <v>229</v>
      </c>
      <c r="FD101" s="358">
        <v>241</v>
      </c>
      <c r="FE101" s="358">
        <v>248</v>
      </c>
      <c r="FF101" s="358">
        <v>253</v>
      </c>
      <c r="FG101" s="358">
        <v>265</v>
      </c>
      <c r="FH101" s="358">
        <v>274</v>
      </c>
      <c r="FI101" s="358">
        <v>285</v>
      </c>
      <c r="FJ101" s="358">
        <v>291</v>
      </c>
      <c r="FK101" s="358">
        <v>296</v>
      </c>
      <c r="FL101" s="358">
        <v>138</v>
      </c>
      <c r="FM101" s="358">
        <v>148</v>
      </c>
      <c r="FN101" s="358">
        <v>154</v>
      </c>
      <c r="FO101" s="358">
        <v>161</v>
      </c>
      <c r="FP101" s="358">
        <v>174</v>
      </c>
      <c r="FQ101" s="358">
        <v>189</v>
      </c>
      <c r="FR101" s="358">
        <v>197</v>
      </c>
      <c r="FS101" s="358">
        <v>204</v>
      </c>
      <c r="FT101" s="358">
        <v>211</v>
      </c>
      <c r="FU101" s="358">
        <v>218</v>
      </c>
      <c r="FV101" s="358">
        <v>228</v>
      </c>
      <c r="FW101" s="358">
        <v>89</v>
      </c>
      <c r="FX101" s="358">
        <v>136</v>
      </c>
      <c r="FY101" s="358">
        <v>143</v>
      </c>
      <c r="FZ101" s="358">
        <v>171</v>
      </c>
      <c r="GA101" s="358">
        <v>240</v>
      </c>
      <c r="GB101" s="358">
        <v>276</v>
      </c>
      <c r="GC101" s="358">
        <v>128</v>
      </c>
      <c r="GD101" s="358">
        <v>164</v>
      </c>
      <c r="GE101" s="358">
        <v>193</v>
      </c>
      <c r="GF101" s="358">
        <v>151</v>
      </c>
      <c r="GG101" s="358">
        <v>109</v>
      </c>
      <c r="GH101" s="358">
        <v>121</v>
      </c>
      <c r="GI101" s="361">
        <v>147</v>
      </c>
    </row>
    <row r="102" spans="1:191">
      <c r="A102" s="336" t="s">
        <v>397</v>
      </c>
      <c r="B102" s="358">
        <v>23</v>
      </c>
      <c r="C102" s="358">
        <v>19</v>
      </c>
      <c r="D102" s="358">
        <v>21</v>
      </c>
      <c r="E102" s="358">
        <v>22</v>
      </c>
      <c r="F102" s="358">
        <v>25</v>
      </c>
      <c r="G102" s="358">
        <v>28</v>
      </c>
      <c r="H102" s="358">
        <v>31</v>
      </c>
      <c r="I102" s="358">
        <v>33</v>
      </c>
      <c r="J102" s="358">
        <v>36</v>
      </c>
      <c r="K102" s="358">
        <v>40</v>
      </c>
      <c r="L102" s="358">
        <v>42</v>
      </c>
      <c r="M102" s="358">
        <v>45</v>
      </c>
      <c r="N102" s="358">
        <v>47</v>
      </c>
      <c r="O102" s="358">
        <v>52</v>
      </c>
      <c r="P102" s="358">
        <v>58</v>
      </c>
      <c r="Q102" s="358">
        <v>60</v>
      </c>
      <c r="R102" s="358">
        <v>63</v>
      </c>
      <c r="S102" s="358">
        <v>65</v>
      </c>
      <c r="T102" s="358">
        <v>68</v>
      </c>
      <c r="U102" s="358">
        <v>71</v>
      </c>
      <c r="V102" s="358">
        <v>25</v>
      </c>
      <c r="W102" s="358">
        <v>27</v>
      </c>
      <c r="X102" s="358">
        <v>29</v>
      </c>
      <c r="Y102" s="358">
        <v>31</v>
      </c>
      <c r="Z102" s="358">
        <v>33</v>
      </c>
      <c r="AA102" s="358">
        <v>34</v>
      </c>
      <c r="AB102" s="358">
        <v>36</v>
      </c>
      <c r="AC102" s="358">
        <v>39</v>
      </c>
      <c r="AD102" s="358">
        <v>41</v>
      </c>
      <c r="AE102" s="358">
        <v>46</v>
      </c>
      <c r="AF102" s="358">
        <v>51</v>
      </c>
      <c r="AG102" s="358">
        <v>56</v>
      </c>
      <c r="AH102" s="358">
        <v>57</v>
      </c>
      <c r="AI102" s="358">
        <v>58</v>
      </c>
      <c r="AJ102" s="358">
        <v>62</v>
      </c>
      <c r="AK102" s="358">
        <v>68</v>
      </c>
      <c r="AL102" s="358">
        <v>74</v>
      </c>
      <c r="AM102" s="358">
        <v>79</v>
      </c>
      <c r="AN102" s="358">
        <v>85</v>
      </c>
      <c r="AO102" s="358">
        <v>89</v>
      </c>
      <c r="AP102" s="358">
        <v>95</v>
      </c>
      <c r="AQ102" s="358">
        <v>101</v>
      </c>
      <c r="AR102" s="358">
        <v>105</v>
      </c>
      <c r="AS102" s="358">
        <v>117</v>
      </c>
      <c r="AT102" s="358">
        <v>125</v>
      </c>
      <c r="AU102" s="358">
        <v>135</v>
      </c>
      <c r="AV102" s="358">
        <v>144</v>
      </c>
      <c r="AW102" s="358">
        <v>152</v>
      </c>
      <c r="AX102" s="358">
        <v>26</v>
      </c>
      <c r="AY102" s="358">
        <v>30</v>
      </c>
      <c r="AZ102" s="358">
        <v>31</v>
      </c>
      <c r="BA102" s="358">
        <v>32</v>
      </c>
      <c r="BB102" s="358">
        <v>33</v>
      </c>
      <c r="BC102" s="358">
        <v>36</v>
      </c>
      <c r="BD102" s="358">
        <v>40</v>
      </c>
      <c r="BE102" s="358">
        <v>42</v>
      </c>
      <c r="BF102" s="358">
        <v>43</v>
      </c>
      <c r="BG102" s="358">
        <v>46</v>
      </c>
      <c r="BH102" s="358">
        <v>47</v>
      </c>
      <c r="BI102" s="358">
        <v>48</v>
      </c>
      <c r="BJ102" s="358">
        <v>50</v>
      </c>
      <c r="BK102" s="358">
        <v>51</v>
      </c>
      <c r="BL102" s="358">
        <v>52</v>
      </c>
      <c r="BM102" s="358">
        <v>54</v>
      </c>
      <c r="BN102" s="358">
        <v>55</v>
      </c>
      <c r="BO102" s="358">
        <v>58</v>
      </c>
      <c r="BP102" s="358">
        <v>63</v>
      </c>
      <c r="BQ102" s="358">
        <v>67</v>
      </c>
      <c r="BR102" s="358">
        <v>77</v>
      </c>
      <c r="BS102" s="358">
        <v>84</v>
      </c>
      <c r="BT102" s="358">
        <v>88</v>
      </c>
      <c r="BU102" s="358">
        <v>91</v>
      </c>
      <c r="BV102" s="358">
        <v>28</v>
      </c>
      <c r="BW102" s="358">
        <v>29</v>
      </c>
      <c r="BX102" s="358">
        <v>32</v>
      </c>
      <c r="BY102" s="358">
        <v>36</v>
      </c>
      <c r="BZ102" s="358">
        <v>41</v>
      </c>
      <c r="CA102" s="358">
        <v>45</v>
      </c>
      <c r="CB102" s="358">
        <v>52</v>
      </c>
      <c r="CC102" s="358">
        <v>57</v>
      </c>
      <c r="CD102" s="358">
        <v>60</v>
      </c>
      <c r="CE102" s="358">
        <v>64</v>
      </c>
      <c r="CF102" s="358">
        <v>66</v>
      </c>
      <c r="CG102" s="358">
        <v>73</v>
      </c>
      <c r="CH102" s="358">
        <v>75</v>
      </c>
      <c r="CI102" s="358">
        <v>79</v>
      </c>
      <c r="CJ102" s="358">
        <v>82</v>
      </c>
      <c r="CK102" s="358">
        <v>89</v>
      </c>
      <c r="CL102" s="358">
        <v>95</v>
      </c>
      <c r="CM102" s="358">
        <v>99</v>
      </c>
      <c r="CN102" s="358">
        <v>104</v>
      </c>
      <c r="CO102" s="358">
        <v>111</v>
      </c>
      <c r="CP102" s="358">
        <v>122</v>
      </c>
      <c r="CQ102" s="358">
        <v>135</v>
      </c>
      <c r="CR102" s="358">
        <v>140</v>
      </c>
      <c r="CS102" s="358">
        <v>17</v>
      </c>
      <c r="CT102" s="358">
        <v>12</v>
      </c>
      <c r="CU102" s="358">
        <v>6</v>
      </c>
      <c r="CW102" s="358">
        <v>6</v>
      </c>
      <c r="CX102" s="358">
        <v>11</v>
      </c>
      <c r="CY102" s="358">
        <v>18</v>
      </c>
      <c r="CZ102" s="358">
        <v>21</v>
      </c>
      <c r="DA102" s="358">
        <v>25</v>
      </c>
      <c r="DB102" s="358">
        <v>30</v>
      </c>
      <c r="DC102" s="358">
        <v>41</v>
      </c>
      <c r="DD102" s="358">
        <v>51</v>
      </c>
      <c r="DE102" s="358">
        <v>55</v>
      </c>
      <c r="DF102" s="358">
        <v>61</v>
      </c>
      <c r="DG102" s="358">
        <v>70</v>
      </c>
      <c r="DH102" s="358">
        <v>75</v>
      </c>
      <c r="DI102" s="358">
        <v>82</v>
      </c>
      <c r="DJ102" s="358">
        <v>91</v>
      </c>
      <c r="DK102" s="358">
        <v>98</v>
      </c>
      <c r="DL102" s="358">
        <v>106</v>
      </c>
      <c r="DM102" s="358">
        <v>118</v>
      </c>
      <c r="DN102" s="358">
        <v>121</v>
      </c>
      <c r="DO102" s="358">
        <v>132</v>
      </c>
      <c r="DP102" s="358">
        <v>141</v>
      </c>
      <c r="DQ102" s="358">
        <v>30</v>
      </c>
      <c r="DR102" s="358">
        <v>35</v>
      </c>
      <c r="DS102" s="358">
        <v>39</v>
      </c>
      <c r="DT102" s="358">
        <v>41</v>
      </c>
      <c r="DU102" s="358">
        <v>44</v>
      </c>
      <c r="DV102" s="358">
        <v>45</v>
      </c>
      <c r="DW102" s="358">
        <v>51</v>
      </c>
      <c r="DX102" s="358">
        <v>54</v>
      </c>
      <c r="DY102" s="358">
        <v>60</v>
      </c>
      <c r="DZ102" s="358">
        <v>65</v>
      </c>
      <c r="EA102" s="358">
        <v>69</v>
      </c>
      <c r="EB102" s="358">
        <v>73</v>
      </c>
      <c r="EC102" s="358">
        <v>78</v>
      </c>
      <c r="ED102" s="358">
        <v>84</v>
      </c>
      <c r="EE102" s="358">
        <v>90</v>
      </c>
      <c r="EF102" s="358">
        <v>93</v>
      </c>
      <c r="EG102" s="358">
        <v>97</v>
      </c>
      <c r="EH102" s="358">
        <v>102</v>
      </c>
      <c r="EI102" s="358">
        <v>107</v>
      </c>
      <c r="EJ102" s="358">
        <v>111</v>
      </c>
      <c r="EK102" s="358">
        <v>116</v>
      </c>
      <c r="EL102" s="358">
        <v>120</v>
      </c>
      <c r="EM102" s="358">
        <v>169</v>
      </c>
      <c r="EN102" s="358">
        <v>181</v>
      </c>
      <c r="EO102" s="358">
        <v>192</v>
      </c>
      <c r="EP102" s="358">
        <v>202</v>
      </c>
      <c r="EQ102" s="358">
        <v>209</v>
      </c>
      <c r="ES102" s="358">
        <v>221</v>
      </c>
      <c r="ET102" s="358">
        <v>226</v>
      </c>
      <c r="EU102" s="358">
        <v>235</v>
      </c>
      <c r="EV102" s="358">
        <v>241</v>
      </c>
      <c r="EW102" s="358">
        <v>165</v>
      </c>
      <c r="EX102" s="358">
        <v>176</v>
      </c>
      <c r="EY102" s="358">
        <v>187</v>
      </c>
      <c r="EZ102" s="358">
        <v>203</v>
      </c>
      <c r="FA102" s="358">
        <v>211</v>
      </c>
      <c r="FB102" s="358">
        <v>221</v>
      </c>
      <c r="FC102" s="358">
        <v>235</v>
      </c>
      <c r="FD102" s="358">
        <v>247</v>
      </c>
      <c r="FE102" s="358">
        <v>254</v>
      </c>
      <c r="FF102" s="358">
        <v>259</v>
      </c>
      <c r="FG102" s="358">
        <v>271</v>
      </c>
      <c r="FH102" s="358">
        <v>280</v>
      </c>
      <c r="FI102" s="358">
        <v>291</v>
      </c>
      <c r="FJ102" s="358">
        <v>297</v>
      </c>
      <c r="FK102" s="358">
        <v>302</v>
      </c>
      <c r="FL102" s="358">
        <v>144</v>
      </c>
      <c r="FM102" s="358">
        <v>154</v>
      </c>
      <c r="FN102" s="358">
        <v>160</v>
      </c>
      <c r="FO102" s="358">
        <v>167</v>
      </c>
      <c r="FP102" s="358">
        <v>180</v>
      </c>
      <c r="FQ102" s="358">
        <v>195</v>
      </c>
      <c r="FR102" s="358">
        <v>203</v>
      </c>
      <c r="FS102" s="358">
        <v>210</v>
      </c>
      <c r="FT102" s="358">
        <v>217</v>
      </c>
      <c r="FU102" s="358">
        <v>224</v>
      </c>
      <c r="FV102" s="358">
        <v>234</v>
      </c>
      <c r="FW102" s="358">
        <v>95</v>
      </c>
      <c r="FX102" s="358">
        <v>142</v>
      </c>
      <c r="FY102" s="358">
        <v>149</v>
      </c>
      <c r="FZ102" s="358">
        <v>177</v>
      </c>
      <c r="GA102" s="358">
        <v>246</v>
      </c>
      <c r="GB102" s="358">
        <v>282</v>
      </c>
      <c r="GC102" s="358">
        <v>134</v>
      </c>
      <c r="GD102" s="358">
        <v>170</v>
      </c>
      <c r="GE102" s="358">
        <v>199</v>
      </c>
      <c r="GF102" s="358">
        <v>145</v>
      </c>
      <c r="GG102" s="358">
        <v>115</v>
      </c>
      <c r="GH102" s="358">
        <v>127</v>
      </c>
      <c r="GI102" s="361">
        <v>153</v>
      </c>
    </row>
    <row r="103" spans="1:191">
      <c r="A103" s="336" t="s">
        <v>396</v>
      </c>
      <c r="B103" s="358">
        <v>29</v>
      </c>
      <c r="C103" s="358">
        <v>25</v>
      </c>
      <c r="D103" s="358">
        <v>27</v>
      </c>
      <c r="E103" s="358">
        <v>28</v>
      </c>
      <c r="F103" s="358">
        <v>31</v>
      </c>
      <c r="G103" s="358">
        <v>34</v>
      </c>
      <c r="H103" s="358">
        <v>37</v>
      </c>
      <c r="I103" s="358">
        <v>39</v>
      </c>
      <c r="J103" s="358">
        <v>42</v>
      </c>
      <c r="K103" s="358">
        <v>46</v>
      </c>
      <c r="L103" s="358">
        <v>48</v>
      </c>
      <c r="M103" s="358">
        <v>51</v>
      </c>
      <c r="N103" s="358">
        <v>53</v>
      </c>
      <c r="O103" s="358">
        <v>58</v>
      </c>
      <c r="P103" s="358">
        <v>64</v>
      </c>
      <c r="Q103" s="358">
        <v>66</v>
      </c>
      <c r="R103" s="358">
        <v>69</v>
      </c>
      <c r="S103" s="358">
        <v>71</v>
      </c>
      <c r="T103" s="358">
        <v>74</v>
      </c>
      <c r="U103" s="358">
        <v>77</v>
      </c>
      <c r="V103" s="358">
        <v>31</v>
      </c>
      <c r="W103" s="358">
        <v>33</v>
      </c>
      <c r="X103" s="358">
        <v>35</v>
      </c>
      <c r="Y103" s="358">
        <v>37</v>
      </c>
      <c r="Z103" s="358">
        <v>39</v>
      </c>
      <c r="AA103" s="358">
        <v>40</v>
      </c>
      <c r="AB103" s="358">
        <v>42</v>
      </c>
      <c r="AC103" s="358">
        <v>45</v>
      </c>
      <c r="AD103" s="358">
        <v>47</v>
      </c>
      <c r="AE103" s="358">
        <v>52</v>
      </c>
      <c r="AF103" s="358">
        <v>57</v>
      </c>
      <c r="AG103" s="358">
        <v>62</v>
      </c>
      <c r="AH103" s="358">
        <v>63</v>
      </c>
      <c r="AI103" s="358">
        <v>64</v>
      </c>
      <c r="AJ103" s="358">
        <v>68</v>
      </c>
      <c r="AK103" s="358">
        <v>74</v>
      </c>
      <c r="AL103" s="358">
        <v>80</v>
      </c>
      <c r="AM103" s="358">
        <v>85</v>
      </c>
      <c r="AN103" s="358">
        <v>91</v>
      </c>
      <c r="AO103" s="358">
        <v>95</v>
      </c>
      <c r="AP103" s="358">
        <v>101</v>
      </c>
      <c r="AQ103" s="358">
        <v>107</v>
      </c>
      <c r="AR103" s="358">
        <v>111</v>
      </c>
      <c r="AS103" s="358">
        <v>123</v>
      </c>
      <c r="AT103" s="358">
        <v>131</v>
      </c>
      <c r="AU103" s="358">
        <v>141</v>
      </c>
      <c r="AV103" s="358">
        <v>150</v>
      </c>
      <c r="AW103" s="358">
        <v>158</v>
      </c>
      <c r="AX103" s="358">
        <v>32</v>
      </c>
      <c r="AY103" s="358">
        <v>36</v>
      </c>
      <c r="AZ103" s="358">
        <v>37</v>
      </c>
      <c r="BA103" s="358">
        <v>38</v>
      </c>
      <c r="BB103" s="358">
        <v>39</v>
      </c>
      <c r="BC103" s="358">
        <v>42</v>
      </c>
      <c r="BD103" s="358">
        <v>46</v>
      </c>
      <c r="BE103" s="358">
        <v>48</v>
      </c>
      <c r="BF103" s="358">
        <v>49</v>
      </c>
      <c r="BG103" s="358">
        <v>52</v>
      </c>
      <c r="BH103" s="358">
        <v>53</v>
      </c>
      <c r="BI103" s="358">
        <v>54</v>
      </c>
      <c r="BJ103" s="358">
        <v>56</v>
      </c>
      <c r="BK103" s="358">
        <v>57</v>
      </c>
      <c r="BL103" s="358">
        <v>58</v>
      </c>
      <c r="BM103" s="358">
        <v>60</v>
      </c>
      <c r="BN103" s="358">
        <v>61</v>
      </c>
      <c r="BO103" s="358">
        <v>64</v>
      </c>
      <c r="BP103" s="358">
        <v>69</v>
      </c>
      <c r="BQ103" s="358">
        <v>73</v>
      </c>
      <c r="BR103" s="358">
        <v>83</v>
      </c>
      <c r="BS103" s="358">
        <v>90</v>
      </c>
      <c r="BT103" s="358">
        <v>94</v>
      </c>
      <c r="BU103" s="358">
        <v>97</v>
      </c>
      <c r="BV103" s="358">
        <v>34</v>
      </c>
      <c r="BW103" s="358">
        <v>35</v>
      </c>
      <c r="BX103" s="358">
        <v>38</v>
      </c>
      <c r="BY103" s="358">
        <v>42</v>
      </c>
      <c r="BZ103" s="358">
        <v>47</v>
      </c>
      <c r="CA103" s="358">
        <v>51</v>
      </c>
      <c r="CB103" s="358">
        <v>58</v>
      </c>
      <c r="CC103" s="358">
        <v>63</v>
      </c>
      <c r="CD103" s="358">
        <v>66</v>
      </c>
      <c r="CE103" s="358">
        <v>70</v>
      </c>
      <c r="CF103" s="358">
        <v>72</v>
      </c>
      <c r="CG103" s="358">
        <v>79</v>
      </c>
      <c r="CH103" s="358">
        <v>81</v>
      </c>
      <c r="CI103" s="358">
        <v>85</v>
      </c>
      <c r="CJ103" s="358">
        <v>88</v>
      </c>
      <c r="CK103" s="358">
        <v>95</v>
      </c>
      <c r="CL103" s="358">
        <v>101</v>
      </c>
      <c r="CM103" s="358">
        <v>105</v>
      </c>
      <c r="CN103" s="358">
        <v>110</v>
      </c>
      <c r="CO103" s="358">
        <v>117</v>
      </c>
      <c r="CP103" s="358">
        <v>128</v>
      </c>
      <c r="CQ103" s="358">
        <v>141</v>
      </c>
      <c r="CR103" s="358">
        <v>146</v>
      </c>
      <c r="CS103" s="358">
        <v>23</v>
      </c>
      <c r="CT103" s="358">
        <v>18</v>
      </c>
      <c r="CU103" s="358">
        <v>12</v>
      </c>
      <c r="CV103" s="358">
        <v>6</v>
      </c>
      <c r="CX103" s="358">
        <v>5</v>
      </c>
      <c r="CY103" s="358">
        <v>12</v>
      </c>
      <c r="CZ103" s="358">
        <v>15</v>
      </c>
      <c r="DA103" s="358">
        <v>19</v>
      </c>
      <c r="DB103" s="358">
        <v>24</v>
      </c>
      <c r="DC103" s="358">
        <v>35</v>
      </c>
      <c r="DD103" s="358">
        <v>45</v>
      </c>
      <c r="DE103" s="358">
        <v>49</v>
      </c>
      <c r="DF103" s="358">
        <v>55</v>
      </c>
      <c r="DG103" s="358">
        <v>64</v>
      </c>
      <c r="DH103" s="358">
        <v>69</v>
      </c>
      <c r="DI103" s="358">
        <v>76</v>
      </c>
      <c r="DJ103" s="358">
        <v>85</v>
      </c>
      <c r="DK103" s="358">
        <v>92</v>
      </c>
      <c r="DL103" s="358">
        <v>100</v>
      </c>
      <c r="DM103" s="358">
        <v>112</v>
      </c>
      <c r="DN103" s="358">
        <v>115</v>
      </c>
      <c r="DO103" s="358">
        <v>126</v>
      </c>
      <c r="DP103" s="358">
        <v>135</v>
      </c>
      <c r="DQ103" s="358">
        <v>36</v>
      </c>
      <c r="DR103" s="358">
        <v>41</v>
      </c>
      <c r="DS103" s="358">
        <v>45</v>
      </c>
      <c r="DT103" s="358">
        <v>47</v>
      </c>
      <c r="DU103" s="358">
        <v>50</v>
      </c>
      <c r="DV103" s="358">
        <v>51</v>
      </c>
      <c r="DW103" s="358">
        <v>57</v>
      </c>
      <c r="DX103" s="358">
        <v>60</v>
      </c>
      <c r="DY103" s="358">
        <v>66</v>
      </c>
      <c r="DZ103" s="358">
        <v>71</v>
      </c>
      <c r="EA103" s="358">
        <v>75</v>
      </c>
      <c r="EB103" s="358">
        <v>79</v>
      </c>
      <c r="EC103" s="358">
        <v>84</v>
      </c>
      <c r="ED103" s="358">
        <v>90</v>
      </c>
      <c r="EE103" s="358">
        <v>96</v>
      </c>
      <c r="EF103" s="358">
        <v>99</v>
      </c>
      <c r="EG103" s="358">
        <v>103</v>
      </c>
      <c r="EH103" s="358">
        <v>108</v>
      </c>
      <c r="EI103" s="358">
        <v>113</v>
      </c>
      <c r="EJ103" s="358">
        <v>117</v>
      </c>
      <c r="EK103" s="358">
        <v>122</v>
      </c>
      <c r="EL103" s="358">
        <v>126</v>
      </c>
      <c r="EM103" s="358">
        <v>175</v>
      </c>
      <c r="EN103" s="358">
        <v>187</v>
      </c>
      <c r="EO103" s="358">
        <v>198</v>
      </c>
      <c r="EP103" s="358">
        <v>208</v>
      </c>
      <c r="EQ103" s="358">
        <v>215</v>
      </c>
      <c r="ES103" s="358">
        <v>227</v>
      </c>
      <c r="ET103" s="358">
        <v>232</v>
      </c>
      <c r="EU103" s="358">
        <v>241</v>
      </c>
      <c r="EV103" s="358">
        <v>247</v>
      </c>
      <c r="EW103" s="358">
        <v>171</v>
      </c>
      <c r="EX103" s="358">
        <v>182</v>
      </c>
      <c r="EY103" s="358">
        <v>193</v>
      </c>
      <c r="EZ103" s="358">
        <v>209</v>
      </c>
      <c r="FA103" s="358">
        <v>217</v>
      </c>
      <c r="FB103" s="358">
        <v>227</v>
      </c>
      <c r="FC103" s="358">
        <v>241</v>
      </c>
      <c r="FD103" s="358">
        <v>253</v>
      </c>
      <c r="FE103" s="358">
        <v>260</v>
      </c>
      <c r="FF103" s="358">
        <v>265</v>
      </c>
      <c r="FG103" s="358">
        <v>277</v>
      </c>
      <c r="FH103" s="358">
        <v>286</v>
      </c>
      <c r="FI103" s="358">
        <v>297</v>
      </c>
      <c r="FJ103" s="358">
        <v>303</v>
      </c>
      <c r="FK103" s="358">
        <v>308</v>
      </c>
      <c r="FL103" s="358">
        <v>150</v>
      </c>
      <c r="FM103" s="358">
        <v>160</v>
      </c>
      <c r="FN103" s="358">
        <v>166</v>
      </c>
      <c r="FO103" s="358">
        <v>173</v>
      </c>
      <c r="FP103" s="358">
        <v>186</v>
      </c>
      <c r="FQ103" s="358">
        <v>201</v>
      </c>
      <c r="FR103" s="358">
        <v>209</v>
      </c>
      <c r="FS103" s="358">
        <v>216</v>
      </c>
      <c r="FT103" s="358">
        <v>223</v>
      </c>
      <c r="FU103" s="358">
        <v>230</v>
      </c>
      <c r="FV103" s="358">
        <v>240</v>
      </c>
      <c r="FW103" s="358">
        <v>101</v>
      </c>
      <c r="FX103" s="358">
        <v>148</v>
      </c>
      <c r="FY103" s="358">
        <v>155</v>
      </c>
      <c r="FZ103" s="358">
        <v>183</v>
      </c>
      <c r="GA103" s="358">
        <v>252</v>
      </c>
      <c r="GB103" s="358">
        <v>288</v>
      </c>
      <c r="GC103" s="358">
        <v>140</v>
      </c>
      <c r="GD103" s="358">
        <v>176</v>
      </c>
      <c r="GE103" s="358">
        <v>205</v>
      </c>
      <c r="GF103" s="358">
        <v>139</v>
      </c>
      <c r="GG103" s="358">
        <v>121</v>
      </c>
      <c r="GH103" s="358">
        <v>133</v>
      </c>
      <c r="GI103" s="361">
        <v>159</v>
      </c>
    </row>
    <row r="104" spans="1:191">
      <c r="A104" s="336" t="s">
        <v>395</v>
      </c>
      <c r="B104" s="358">
        <v>34</v>
      </c>
      <c r="C104" s="358">
        <v>30</v>
      </c>
      <c r="D104" s="358">
        <v>32</v>
      </c>
      <c r="E104" s="358">
        <v>33</v>
      </c>
      <c r="F104" s="358">
        <v>36</v>
      </c>
      <c r="G104" s="358">
        <v>39</v>
      </c>
      <c r="H104" s="358">
        <v>42</v>
      </c>
      <c r="I104" s="358">
        <v>44</v>
      </c>
      <c r="J104" s="358">
        <v>47</v>
      </c>
      <c r="K104" s="358">
        <v>51</v>
      </c>
      <c r="L104" s="358">
        <v>53</v>
      </c>
      <c r="M104" s="358">
        <v>56</v>
      </c>
      <c r="N104" s="358">
        <v>58</v>
      </c>
      <c r="O104" s="358">
        <v>63</v>
      </c>
      <c r="P104" s="358">
        <v>69</v>
      </c>
      <c r="Q104" s="358">
        <v>71</v>
      </c>
      <c r="R104" s="358">
        <v>74</v>
      </c>
      <c r="S104" s="358">
        <v>76</v>
      </c>
      <c r="T104" s="358">
        <v>79</v>
      </c>
      <c r="U104" s="358">
        <v>82</v>
      </c>
      <c r="V104" s="358">
        <v>36</v>
      </c>
      <c r="W104" s="358">
        <v>38</v>
      </c>
      <c r="X104" s="358">
        <v>40</v>
      </c>
      <c r="Y104" s="358">
        <v>42</v>
      </c>
      <c r="Z104" s="358">
        <v>44</v>
      </c>
      <c r="AA104" s="358">
        <v>45</v>
      </c>
      <c r="AB104" s="358">
        <v>47</v>
      </c>
      <c r="AC104" s="358">
        <v>50</v>
      </c>
      <c r="AD104" s="358">
        <v>52</v>
      </c>
      <c r="AE104" s="358">
        <v>57</v>
      </c>
      <c r="AF104" s="358">
        <v>62</v>
      </c>
      <c r="AG104" s="358">
        <v>67</v>
      </c>
      <c r="AH104" s="358">
        <v>68</v>
      </c>
      <c r="AI104" s="358">
        <v>69</v>
      </c>
      <c r="AJ104" s="358">
        <v>73</v>
      </c>
      <c r="AK104" s="358">
        <v>79</v>
      </c>
      <c r="AL104" s="358">
        <v>85</v>
      </c>
      <c r="AM104" s="358">
        <v>90</v>
      </c>
      <c r="AN104" s="358">
        <v>96</v>
      </c>
      <c r="AO104" s="358">
        <v>100</v>
      </c>
      <c r="AP104" s="358">
        <v>106</v>
      </c>
      <c r="AQ104" s="358">
        <v>112</v>
      </c>
      <c r="AR104" s="358">
        <v>116</v>
      </c>
      <c r="AS104" s="358">
        <v>128</v>
      </c>
      <c r="AT104" s="358">
        <v>136</v>
      </c>
      <c r="AU104" s="358">
        <v>146</v>
      </c>
      <c r="AV104" s="358">
        <v>155</v>
      </c>
      <c r="AW104" s="358">
        <v>163</v>
      </c>
      <c r="AX104" s="358">
        <v>37</v>
      </c>
      <c r="AY104" s="358">
        <v>41</v>
      </c>
      <c r="AZ104" s="358">
        <v>42</v>
      </c>
      <c r="BA104" s="358">
        <v>43</v>
      </c>
      <c r="BB104" s="358">
        <v>44</v>
      </c>
      <c r="BC104" s="358">
        <v>47</v>
      </c>
      <c r="BD104" s="358">
        <v>51</v>
      </c>
      <c r="BE104" s="358">
        <v>53</v>
      </c>
      <c r="BF104" s="358">
        <v>54</v>
      </c>
      <c r="BG104" s="358">
        <v>57</v>
      </c>
      <c r="BH104" s="358">
        <v>58</v>
      </c>
      <c r="BI104" s="358">
        <v>59</v>
      </c>
      <c r="BJ104" s="358">
        <v>61</v>
      </c>
      <c r="BK104" s="358">
        <v>62</v>
      </c>
      <c r="BL104" s="358">
        <v>63</v>
      </c>
      <c r="BM104" s="358">
        <v>65</v>
      </c>
      <c r="BN104" s="358">
        <v>66</v>
      </c>
      <c r="BO104" s="358">
        <v>69</v>
      </c>
      <c r="BP104" s="358">
        <v>74</v>
      </c>
      <c r="BQ104" s="358">
        <v>78</v>
      </c>
      <c r="BR104" s="358">
        <v>88</v>
      </c>
      <c r="BS104" s="358">
        <v>95</v>
      </c>
      <c r="BT104" s="358">
        <v>99</v>
      </c>
      <c r="BU104" s="358">
        <v>102</v>
      </c>
      <c r="BV104" s="358">
        <v>39</v>
      </c>
      <c r="BW104" s="358">
        <v>40</v>
      </c>
      <c r="BX104" s="358">
        <v>43</v>
      </c>
      <c r="BY104" s="358">
        <v>47</v>
      </c>
      <c r="BZ104" s="358">
        <v>52</v>
      </c>
      <c r="CA104" s="358">
        <v>56</v>
      </c>
      <c r="CB104" s="358">
        <v>63</v>
      </c>
      <c r="CC104" s="358">
        <v>68</v>
      </c>
      <c r="CD104" s="358">
        <v>71</v>
      </c>
      <c r="CE104" s="358">
        <v>75</v>
      </c>
      <c r="CF104" s="358">
        <v>77</v>
      </c>
      <c r="CG104" s="358">
        <v>84</v>
      </c>
      <c r="CH104" s="358">
        <v>86</v>
      </c>
      <c r="CI104" s="358">
        <v>90</v>
      </c>
      <c r="CJ104" s="358">
        <v>93</v>
      </c>
      <c r="CK104" s="358">
        <v>100</v>
      </c>
      <c r="CL104" s="358">
        <v>106</v>
      </c>
      <c r="CM104" s="358">
        <v>110</v>
      </c>
      <c r="CN104" s="358">
        <v>115</v>
      </c>
      <c r="CO104" s="358">
        <v>122</v>
      </c>
      <c r="CP104" s="358">
        <v>133</v>
      </c>
      <c r="CQ104" s="358">
        <v>146</v>
      </c>
      <c r="CR104" s="358">
        <v>151</v>
      </c>
      <c r="CS104" s="358">
        <v>28</v>
      </c>
      <c r="CT104" s="358">
        <v>23</v>
      </c>
      <c r="CU104" s="358">
        <v>17</v>
      </c>
      <c r="CV104" s="358">
        <v>11</v>
      </c>
      <c r="CW104" s="358">
        <v>5</v>
      </c>
      <c r="CY104" s="358">
        <v>7</v>
      </c>
      <c r="CZ104" s="358">
        <v>10</v>
      </c>
      <c r="DA104" s="358">
        <v>14</v>
      </c>
      <c r="DB104" s="358">
        <v>19</v>
      </c>
      <c r="DC104" s="358">
        <v>30</v>
      </c>
      <c r="DD104" s="358">
        <v>40</v>
      </c>
      <c r="DE104" s="358">
        <v>44</v>
      </c>
      <c r="DF104" s="358">
        <v>50</v>
      </c>
      <c r="DG104" s="358">
        <v>59</v>
      </c>
      <c r="DH104" s="358">
        <v>64</v>
      </c>
      <c r="DI104" s="358">
        <v>71</v>
      </c>
      <c r="DJ104" s="358">
        <v>80</v>
      </c>
      <c r="DK104" s="358">
        <v>87</v>
      </c>
      <c r="DL104" s="358">
        <v>95</v>
      </c>
      <c r="DM104" s="358">
        <v>107</v>
      </c>
      <c r="DN104" s="358">
        <v>110</v>
      </c>
      <c r="DO104" s="358">
        <v>121</v>
      </c>
      <c r="DP104" s="358">
        <v>130</v>
      </c>
      <c r="DQ104" s="358">
        <v>41</v>
      </c>
      <c r="DR104" s="358">
        <v>46</v>
      </c>
      <c r="DS104" s="358">
        <v>50</v>
      </c>
      <c r="DT104" s="358">
        <v>52</v>
      </c>
      <c r="DU104" s="358">
        <v>55</v>
      </c>
      <c r="DV104" s="358">
        <v>56</v>
      </c>
      <c r="DW104" s="358">
        <v>62</v>
      </c>
      <c r="DX104" s="358">
        <v>65</v>
      </c>
      <c r="DY104" s="358">
        <v>71</v>
      </c>
      <c r="DZ104" s="358">
        <v>76</v>
      </c>
      <c r="EA104" s="358">
        <v>80</v>
      </c>
      <c r="EB104" s="358">
        <v>84</v>
      </c>
      <c r="EC104" s="358">
        <v>89</v>
      </c>
      <c r="ED104" s="358">
        <v>95</v>
      </c>
      <c r="EE104" s="358">
        <v>101</v>
      </c>
      <c r="EF104" s="358">
        <v>104</v>
      </c>
      <c r="EG104" s="358">
        <v>108</v>
      </c>
      <c r="EH104" s="358">
        <v>113</v>
      </c>
      <c r="EI104" s="358">
        <v>118</v>
      </c>
      <c r="EJ104" s="358">
        <v>122</v>
      </c>
      <c r="EK104" s="358">
        <v>127</v>
      </c>
      <c r="EL104" s="358">
        <v>131</v>
      </c>
      <c r="EM104" s="358">
        <v>180</v>
      </c>
      <c r="EN104" s="358">
        <v>192</v>
      </c>
      <c r="EO104" s="358">
        <v>203</v>
      </c>
      <c r="EP104" s="358">
        <v>213</v>
      </c>
      <c r="EQ104" s="358">
        <v>220</v>
      </c>
      <c r="ES104" s="358">
        <v>232</v>
      </c>
      <c r="ET104" s="358">
        <v>237</v>
      </c>
      <c r="EU104" s="358">
        <v>246</v>
      </c>
      <c r="EV104" s="358">
        <v>252</v>
      </c>
      <c r="EW104" s="358">
        <v>176</v>
      </c>
      <c r="EX104" s="358">
        <v>187</v>
      </c>
      <c r="EY104" s="358">
        <v>198</v>
      </c>
      <c r="EZ104" s="358">
        <v>214</v>
      </c>
      <c r="FA104" s="358">
        <v>222</v>
      </c>
      <c r="FB104" s="358">
        <v>232</v>
      </c>
      <c r="FC104" s="358">
        <v>246</v>
      </c>
      <c r="FD104" s="358">
        <v>258</v>
      </c>
      <c r="FE104" s="358">
        <v>265</v>
      </c>
      <c r="FF104" s="358">
        <v>270</v>
      </c>
      <c r="FG104" s="358">
        <v>282</v>
      </c>
      <c r="FH104" s="358">
        <v>291</v>
      </c>
      <c r="FI104" s="358">
        <v>302</v>
      </c>
      <c r="FJ104" s="358">
        <v>308</v>
      </c>
      <c r="FK104" s="358">
        <v>313</v>
      </c>
      <c r="FL104" s="358">
        <v>155</v>
      </c>
      <c r="FM104" s="358">
        <v>165</v>
      </c>
      <c r="FN104" s="358">
        <v>171</v>
      </c>
      <c r="FO104" s="358">
        <v>178</v>
      </c>
      <c r="FP104" s="358">
        <v>191</v>
      </c>
      <c r="FQ104" s="358">
        <v>206</v>
      </c>
      <c r="FR104" s="358">
        <v>214</v>
      </c>
      <c r="FS104" s="358">
        <v>221</v>
      </c>
      <c r="FT104" s="358">
        <v>228</v>
      </c>
      <c r="FU104" s="358">
        <v>235</v>
      </c>
      <c r="FV104" s="358">
        <v>245</v>
      </c>
      <c r="FW104" s="358">
        <v>106</v>
      </c>
      <c r="FX104" s="358">
        <v>153</v>
      </c>
      <c r="FY104" s="358">
        <v>160</v>
      </c>
      <c r="FZ104" s="358">
        <v>188</v>
      </c>
      <c r="GA104" s="358">
        <v>257</v>
      </c>
      <c r="GB104" s="358">
        <v>293</v>
      </c>
      <c r="GC104" s="358">
        <v>145</v>
      </c>
      <c r="GD104" s="358">
        <v>181</v>
      </c>
      <c r="GE104" s="358">
        <v>210</v>
      </c>
      <c r="GF104" s="358">
        <v>134</v>
      </c>
      <c r="GG104" s="358">
        <v>126</v>
      </c>
      <c r="GH104" s="358">
        <v>138</v>
      </c>
      <c r="GI104" s="361">
        <v>164</v>
      </c>
    </row>
    <row r="105" spans="1:191">
      <c r="A105" s="336" t="s">
        <v>394</v>
      </c>
      <c r="B105" s="358">
        <v>41</v>
      </c>
      <c r="C105" s="358">
        <v>37</v>
      </c>
      <c r="D105" s="358">
        <v>39</v>
      </c>
      <c r="E105" s="358">
        <v>40</v>
      </c>
      <c r="F105" s="358">
        <v>43</v>
      </c>
      <c r="G105" s="358">
        <v>46</v>
      </c>
      <c r="H105" s="358">
        <v>49</v>
      </c>
      <c r="I105" s="358">
        <v>51</v>
      </c>
      <c r="J105" s="358">
        <v>54</v>
      </c>
      <c r="K105" s="358">
        <v>58</v>
      </c>
      <c r="L105" s="358">
        <v>60</v>
      </c>
      <c r="M105" s="358">
        <v>63</v>
      </c>
      <c r="N105" s="358">
        <v>65</v>
      </c>
      <c r="O105" s="358">
        <v>70</v>
      </c>
      <c r="P105" s="358">
        <v>76</v>
      </c>
      <c r="Q105" s="358">
        <v>78</v>
      </c>
      <c r="R105" s="358">
        <v>81</v>
      </c>
      <c r="S105" s="358">
        <v>83</v>
      </c>
      <c r="T105" s="358">
        <v>86</v>
      </c>
      <c r="U105" s="358">
        <v>89</v>
      </c>
      <c r="V105" s="358">
        <v>43</v>
      </c>
      <c r="W105" s="358">
        <v>45</v>
      </c>
      <c r="X105" s="358">
        <v>47</v>
      </c>
      <c r="Y105" s="358">
        <v>49</v>
      </c>
      <c r="Z105" s="358">
        <v>51</v>
      </c>
      <c r="AA105" s="358">
        <v>52</v>
      </c>
      <c r="AB105" s="358">
        <v>54</v>
      </c>
      <c r="AC105" s="358">
        <v>57</v>
      </c>
      <c r="AD105" s="358">
        <v>59</v>
      </c>
      <c r="AE105" s="358">
        <v>64</v>
      </c>
      <c r="AF105" s="358">
        <v>69</v>
      </c>
      <c r="AG105" s="358">
        <v>74</v>
      </c>
      <c r="AH105" s="358">
        <v>75</v>
      </c>
      <c r="AI105" s="358">
        <v>76</v>
      </c>
      <c r="AJ105" s="358">
        <v>80</v>
      </c>
      <c r="AK105" s="358">
        <v>86</v>
      </c>
      <c r="AL105" s="358">
        <v>92</v>
      </c>
      <c r="AM105" s="358">
        <v>97</v>
      </c>
      <c r="AN105" s="358">
        <v>103</v>
      </c>
      <c r="AO105" s="358">
        <v>107</v>
      </c>
      <c r="AP105" s="358">
        <v>113</v>
      </c>
      <c r="AQ105" s="358">
        <v>119</v>
      </c>
      <c r="AR105" s="358">
        <v>123</v>
      </c>
      <c r="AS105" s="358">
        <v>135</v>
      </c>
      <c r="AT105" s="358">
        <v>143</v>
      </c>
      <c r="AU105" s="358">
        <v>153</v>
      </c>
      <c r="AV105" s="358">
        <v>162</v>
      </c>
      <c r="AW105" s="358">
        <v>170</v>
      </c>
      <c r="AX105" s="358">
        <v>44</v>
      </c>
      <c r="AY105" s="358">
        <v>48</v>
      </c>
      <c r="AZ105" s="358">
        <v>49</v>
      </c>
      <c r="BA105" s="358">
        <v>50</v>
      </c>
      <c r="BB105" s="358">
        <v>51</v>
      </c>
      <c r="BC105" s="358">
        <v>54</v>
      </c>
      <c r="BD105" s="358">
        <v>58</v>
      </c>
      <c r="BE105" s="358">
        <v>60</v>
      </c>
      <c r="BF105" s="358">
        <v>61</v>
      </c>
      <c r="BG105" s="358">
        <v>64</v>
      </c>
      <c r="BH105" s="358">
        <v>65</v>
      </c>
      <c r="BI105" s="358">
        <v>66</v>
      </c>
      <c r="BJ105" s="358">
        <v>68</v>
      </c>
      <c r="BK105" s="358">
        <v>69</v>
      </c>
      <c r="BL105" s="358">
        <v>70</v>
      </c>
      <c r="BM105" s="358">
        <v>72</v>
      </c>
      <c r="BN105" s="358">
        <v>73</v>
      </c>
      <c r="BO105" s="358">
        <v>76</v>
      </c>
      <c r="BP105" s="358">
        <v>81</v>
      </c>
      <c r="BQ105" s="358">
        <v>85</v>
      </c>
      <c r="BR105" s="358">
        <v>95</v>
      </c>
      <c r="BS105" s="358">
        <v>102</v>
      </c>
      <c r="BT105" s="358">
        <v>106</v>
      </c>
      <c r="BU105" s="358">
        <v>109</v>
      </c>
      <c r="BV105" s="358">
        <v>46</v>
      </c>
      <c r="BW105" s="358">
        <v>47</v>
      </c>
      <c r="BX105" s="358">
        <v>50</v>
      </c>
      <c r="BY105" s="358">
        <v>54</v>
      </c>
      <c r="BZ105" s="358">
        <v>59</v>
      </c>
      <c r="CA105" s="358">
        <v>63</v>
      </c>
      <c r="CB105" s="358">
        <v>70</v>
      </c>
      <c r="CC105" s="358">
        <v>75</v>
      </c>
      <c r="CD105" s="358">
        <v>78</v>
      </c>
      <c r="CE105" s="358">
        <v>82</v>
      </c>
      <c r="CF105" s="358">
        <v>84</v>
      </c>
      <c r="CG105" s="358">
        <v>91</v>
      </c>
      <c r="CH105" s="358">
        <v>93</v>
      </c>
      <c r="CI105" s="358">
        <v>97</v>
      </c>
      <c r="CJ105" s="358">
        <v>100</v>
      </c>
      <c r="CK105" s="358">
        <v>107</v>
      </c>
      <c r="CL105" s="358">
        <v>113</v>
      </c>
      <c r="CM105" s="358">
        <v>117</v>
      </c>
      <c r="CN105" s="358">
        <v>122</v>
      </c>
      <c r="CO105" s="358">
        <v>129</v>
      </c>
      <c r="CP105" s="358">
        <v>140</v>
      </c>
      <c r="CQ105" s="358">
        <v>153</v>
      </c>
      <c r="CR105" s="358">
        <v>158</v>
      </c>
      <c r="CS105" s="358">
        <v>35</v>
      </c>
      <c r="CT105" s="358">
        <v>30</v>
      </c>
      <c r="CU105" s="358">
        <v>24</v>
      </c>
      <c r="CV105" s="358">
        <v>18</v>
      </c>
      <c r="CW105" s="358">
        <v>12</v>
      </c>
      <c r="CX105" s="358">
        <v>7</v>
      </c>
      <c r="CZ105" s="358">
        <v>3</v>
      </c>
      <c r="DA105" s="358">
        <v>7</v>
      </c>
      <c r="DB105" s="358">
        <v>12</v>
      </c>
      <c r="DC105" s="358">
        <v>23</v>
      </c>
      <c r="DD105" s="358">
        <v>33</v>
      </c>
      <c r="DE105" s="358">
        <v>37</v>
      </c>
      <c r="DF105" s="358">
        <v>43</v>
      </c>
      <c r="DG105" s="358">
        <v>52</v>
      </c>
      <c r="DH105" s="358">
        <v>57</v>
      </c>
      <c r="DI105" s="358">
        <v>64</v>
      </c>
      <c r="DJ105" s="358">
        <v>73</v>
      </c>
      <c r="DK105" s="358">
        <v>80</v>
      </c>
      <c r="DL105" s="358">
        <v>88</v>
      </c>
      <c r="DM105" s="358">
        <v>100</v>
      </c>
      <c r="DN105" s="358">
        <v>103</v>
      </c>
      <c r="DO105" s="358">
        <v>114</v>
      </c>
      <c r="DP105" s="358">
        <v>123</v>
      </c>
      <c r="DQ105" s="358">
        <v>48</v>
      </c>
      <c r="DR105" s="358">
        <v>53</v>
      </c>
      <c r="DS105" s="358">
        <v>57</v>
      </c>
      <c r="DT105" s="358">
        <v>59</v>
      </c>
      <c r="DU105" s="358">
        <v>62</v>
      </c>
      <c r="DV105" s="358">
        <v>63</v>
      </c>
      <c r="DW105" s="358">
        <v>69</v>
      </c>
      <c r="DX105" s="358">
        <v>72</v>
      </c>
      <c r="DY105" s="358">
        <v>78</v>
      </c>
      <c r="DZ105" s="358">
        <v>83</v>
      </c>
      <c r="EA105" s="358">
        <v>87</v>
      </c>
      <c r="EB105" s="358">
        <v>91</v>
      </c>
      <c r="EC105" s="358">
        <v>96</v>
      </c>
      <c r="ED105" s="358">
        <v>102</v>
      </c>
      <c r="EE105" s="358">
        <v>108</v>
      </c>
      <c r="EF105" s="358">
        <v>111</v>
      </c>
      <c r="EG105" s="358">
        <v>115</v>
      </c>
      <c r="EH105" s="358">
        <v>120</v>
      </c>
      <c r="EI105" s="358">
        <v>125</v>
      </c>
      <c r="EJ105" s="358">
        <v>129</v>
      </c>
      <c r="EK105" s="358">
        <v>134</v>
      </c>
      <c r="EL105" s="358">
        <v>138</v>
      </c>
      <c r="EM105" s="358">
        <v>187</v>
      </c>
      <c r="EN105" s="358">
        <v>199</v>
      </c>
      <c r="EO105" s="358">
        <v>210</v>
      </c>
      <c r="EP105" s="358">
        <v>220</v>
      </c>
      <c r="EQ105" s="358">
        <v>227</v>
      </c>
      <c r="ES105" s="358">
        <v>239</v>
      </c>
      <c r="ET105" s="358">
        <v>244</v>
      </c>
      <c r="EU105" s="358">
        <v>253</v>
      </c>
      <c r="EV105" s="358">
        <v>259</v>
      </c>
      <c r="EW105" s="358">
        <v>183</v>
      </c>
      <c r="EX105" s="358">
        <v>194</v>
      </c>
      <c r="EY105" s="358">
        <v>205</v>
      </c>
      <c r="EZ105" s="358">
        <v>221</v>
      </c>
      <c r="FA105" s="358">
        <v>229</v>
      </c>
      <c r="FB105" s="358">
        <v>239</v>
      </c>
      <c r="FC105" s="358">
        <v>253</v>
      </c>
      <c r="FD105" s="358">
        <v>265</v>
      </c>
      <c r="FE105" s="358">
        <v>272</v>
      </c>
      <c r="FF105" s="358">
        <v>277</v>
      </c>
      <c r="FG105" s="358">
        <v>289</v>
      </c>
      <c r="FH105" s="358">
        <v>298</v>
      </c>
      <c r="FI105" s="358">
        <v>309</v>
      </c>
      <c r="FJ105" s="358">
        <v>315</v>
      </c>
      <c r="FK105" s="358">
        <v>320</v>
      </c>
      <c r="FL105" s="358">
        <v>162</v>
      </c>
      <c r="FM105" s="358">
        <v>172</v>
      </c>
      <c r="FN105" s="358">
        <v>178</v>
      </c>
      <c r="FO105" s="358">
        <v>185</v>
      </c>
      <c r="FP105" s="358">
        <v>198</v>
      </c>
      <c r="FQ105" s="358">
        <v>213</v>
      </c>
      <c r="FR105" s="358">
        <v>221</v>
      </c>
      <c r="FS105" s="358">
        <v>228</v>
      </c>
      <c r="FT105" s="358">
        <v>235</v>
      </c>
      <c r="FU105" s="358">
        <v>242</v>
      </c>
      <c r="FV105" s="358">
        <v>252</v>
      </c>
      <c r="FW105" s="358">
        <v>113</v>
      </c>
      <c r="FX105" s="358">
        <v>160</v>
      </c>
      <c r="FY105" s="358">
        <v>167</v>
      </c>
      <c r="FZ105" s="358">
        <v>195</v>
      </c>
      <c r="GA105" s="358">
        <v>264</v>
      </c>
      <c r="GB105" s="358">
        <v>300</v>
      </c>
      <c r="GC105" s="358">
        <v>152</v>
      </c>
      <c r="GD105" s="358">
        <v>188</v>
      </c>
      <c r="GE105" s="358">
        <v>217</v>
      </c>
      <c r="GF105" s="358">
        <v>127</v>
      </c>
      <c r="GG105" s="358">
        <v>133</v>
      </c>
      <c r="GH105" s="358">
        <v>145</v>
      </c>
      <c r="GI105" s="361">
        <v>171</v>
      </c>
    </row>
    <row r="106" spans="1:191">
      <c r="A106" s="336" t="s">
        <v>393</v>
      </c>
      <c r="B106" s="358">
        <v>44</v>
      </c>
      <c r="C106" s="358">
        <v>40</v>
      </c>
      <c r="D106" s="358">
        <v>42</v>
      </c>
      <c r="E106" s="358">
        <v>43</v>
      </c>
      <c r="F106" s="358">
        <v>46</v>
      </c>
      <c r="G106" s="358">
        <v>49</v>
      </c>
      <c r="H106" s="358">
        <v>52</v>
      </c>
      <c r="I106" s="358">
        <v>54</v>
      </c>
      <c r="J106" s="358">
        <v>57</v>
      </c>
      <c r="K106" s="358">
        <v>61</v>
      </c>
      <c r="L106" s="358">
        <v>63</v>
      </c>
      <c r="M106" s="358">
        <v>66</v>
      </c>
      <c r="N106" s="358">
        <v>68</v>
      </c>
      <c r="O106" s="358">
        <v>73</v>
      </c>
      <c r="P106" s="358">
        <v>79</v>
      </c>
      <c r="Q106" s="358">
        <v>81</v>
      </c>
      <c r="R106" s="358">
        <v>84</v>
      </c>
      <c r="S106" s="358">
        <v>86</v>
      </c>
      <c r="T106" s="358">
        <v>89</v>
      </c>
      <c r="U106" s="358">
        <v>92</v>
      </c>
      <c r="V106" s="358">
        <v>46</v>
      </c>
      <c r="W106" s="358">
        <v>48</v>
      </c>
      <c r="X106" s="358">
        <v>50</v>
      </c>
      <c r="Y106" s="358">
        <v>52</v>
      </c>
      <c r="Z106" s="358">
        <v>54</v>
      </c>
      <c r="AA106" s="358">
        <v>55</v>
      </c>
      <c r="AB106" s="358">
        <v>57</v>
      </c>
      <c r="AC106" s="358">
        <v>60</v>
      </c>
      <c r="AD106" s="358">
        <v>62</v>
      </c>
      <c r="AE106" s="358">
        <v>67</v>
      </c>
      <c r="AF106" s="358">
        <v>72</v>
      </c>
      <c r="AG106" s="358">
        <v>77</v>
      </c>
      <c r="AH106" s="358">
        <v>78</v>
      </c>
      <c r="AI106" s="358">
        <v>79</v>
      </c>
      <c r="AJ106" s="358">
        <v>83</v>
      </c>
      <c r="AK106" s="358">
        <v>89</v>
      </c>
      <c r="AL106" s="358">
        <v>95</v>
      </c>
      <c r="AM106" s="358">
        <v>100</v>
      </c>
      <c r="AN106" s="358">
        <v>106</v>
      </c>
      <c r="AO106" s="358">
        <v>110</v>
      </c>
      <c r="AP106" s="358">
        <v>116</v>
      </c>
      <c r="AQ106" s="358">
        <v>122</v>
      </c>
      <c r="AR106" s="358">
        <v>126</v>
      </c>
      <c r="AS106" s="358">
        <v>138</v>
      </c>
      <c r="AT106" s="358">
        <v>146</v>
      </c>
      <c r="AU106" s="358">
        <v>156</v>
      </c>
      <c r="AV106" s="358">
        <v>165</v>
      </c>
      <c r="AW106" s="358">
        <v>173</v>
      </c>
      <c r="AX106" s="358">
        <v>47</v>
      </c>
      <c r="AY106" s="358">
        <v>51</v>
      </c>
      <c r="AZ106" s="358">
        <v>52</v>
      </c>
      <c r="BA106" s="358">
        <v>53</v>
      </c>
      <c r="BB106" s="358">
        <v>54</v>
      </c>
      <c r="BC106" s="358">
        <v>57</v>
      </c>
      <c r="BD106" s="358">
        <v>61</v>
      </c>
      <c r="BE106" s="358">
        <v>63</v>
      </c>
      <c r="BF106" s="358">
        <v>64</v>
      </c>
      <c r="BG106" s="358">
        <v>67</v>
      </c>
      <c r="BH106" s="358">
        <v>68</v>
      </c>
      <c r="BI106" s="358">
        <v>69</v>
      </c>
      <c r="BJ106" s="358">
        <v>71</v>
      </c>
      <c r="BK106" s="358">
        <v>72</v>
      </c>
      <c r="BL106" s="358">
        <v>73</v>
      </c>
      <c r="BM106" s="358">
        <v>75</v>
      </c>
      <c r="BN106" s="358">
        <v>76</v>
      </c>
      <c r="BO106" s="358">
        <v>79</v>
      </c>
      <c r="BP106" s="358">
        <v>84</v>
      </c>
      <c r="BQ106" s="358">
        <v>88</v>
      </c>
      <c r="BR106" s="358">
        <v>98</v>
      </c>
      <c r="BS106" s="358">
        <v>105</v>
      </c>
      <c r="BT106" s="358">
        <v>109</v>
      </c>
      <c r="BU106" s="358">
        <v>112</v>
      </c>
      <c r="BV106" s="358">
        <v>49</v>
      </c>
      <c r="BW106" s="358">
        <v>50</v>
      </c>
      <c r="BX106" s="358">
        <v>53</v>
      </c>
      <c r="BY106" s="358">
        <v>57</v>
      </c>
      <c r="BZ106" s="358">
        <v>62</v>
      </c>
      <c r="CA106" s="358">
        <v>66</v>
      </c>
      <c r="CB106" s="358">
        <v>73</v>
      </c>
      <c r="CC106" s="358">
        <v>78</v>
      </c>
      <c r="CD106" s="358">
        <v>81</v>
      </c>
      <c r="CE106" s="358">
        <v>85</v>
      </c>
      <c r="CF106" s="358">
        <v>87</v>
      </c>
      <c r="CG106" s="358">
        <v>94</v>
      </c>
      <c r="CH106" s="358">
        <v>96</v>
      </c>
      <c r="CI106" s="358">
        <v>100</v>
      </c>
      <c r="CJ106" s="358">
        <v>103</v>
      </c>
      <c r="CK106" s="358">
        <v>110</v>
      </c>
      <c r="CL106" s="358">
        <v>116</v>
      </c>
      <c r="CM106" s="358">
        <v>120</v>
      </c>
      <c r="CN106" s="358">
        <v>125</v>
      </c>
      <c r="CO106" s="358">
        <v>132</v>
      </c>
      <c r="CP106" s="358">
        <v>143</v>
      </c>
      <c r="CQ106" s="358">
        <v>156</v>
      </c>
      <c r="CR106" s="358">
        <v>161</v>
      </c>
      <c r="CS106" s="358">
        <v>38</v>
      </c>
      <c r="CT106" s="358">
        <v>33</v>
      </c>
      <c r="CU106" s="358">
        <v>27</v>
      </c>
      <c r="CV106" s="358">
        <v>21</v>
      </c>
      <c r="CW106" s="358">
        <v>15</v>
      </c>
      <c r="CX106" s="358">
        <v>10</v>
      </c>
      <c r="CY106" s="358">
        <v>3</v>
      </c>
      <c r="DA106" s="358">
        <v>4</v>
      </c>
      <c r="DB106" s="358">
        <v>9</v>
      </c>
      <c r="DC106" s="358">
        <v>20</v>
      </c>
      <c r="DD106" s="358">
        <v>30</v>
      </c>
      <c r="DE106" s="358">
        <v>34</v>
      </c>
      <c r="DF106" s="358">
        <v>40</v>
      </c>
      <c r="DG106" s="358">
        <v>49</v>
      </c>
      <c r="DH106" s="358">
        <v>54</v>
      </c>
      <c r="DI106" s="358">
        <v>61</v>
      </c>
      <c r="DJ106" s="358">
        <v>70</v>
      </c>
      <c r="DK106" s="358">
        <v>77</v>
      </c>
      <c r="DL106" s="358">
        <v>85</v>
      </c>
      <c r="DM106" s="358">
        <v>97</v>
      </c>
      <c r="DN106" s="358">
        <v>100</v>
      </c>
      <c r="DO106" s="358">
        <v>111</v>
      </c>
      <c r="DP106" s="358">
        <v>120</v>
      </c>
      <c r="DQ106" s="358">
        <v>51</v>
      </c>
      <c r="DR106" s="358">
        <v>56</v>
      </c>
      <c r="DS106" s="358">
        <v>60</v>
      </c>
      <c r="DT106" s="358">
        <v>62</v>
      </c>
      <c r="DU106" s="358">
        <v>65</v>
      </c>
      <c r="DV106" s="358">
        <v>66</v>
      </c>
      <c r="DW106" s="358">
        <v>72</v>
      </c>
      <c r="DX106" s="358">
        <v>75</v>
      </c>
      <c r="DY106" s="358">
        <v>81</v>
      </c>
      <c r="DZ106" s="358">
        <v>86</v>
      </c>
      <c r="EA106" s="358">
        <v>90</v>
      </c>
      <c r="EB106" s="358">
        <v>94</v>
      </c>
      <c r="EC106" s="358">
        <v>99</v>
      </c>
      <c r="ED106" s="358">
        <v>105</v>
      </c>
      <c r="EE106" s="358">
        <v>111</v>
      </c>
      <c r="EF106" s="358">
        <v>114</v>
      </c>
      <c r="EG106" s="358">
        <v>118</v>
      </c>
      <c r="EH106" s="358">
        <v>123</v>
      </c>
      <c r="EI106" s="358">
        <v>128</v>
      </c>
      <c r="EJ106" s="358">
        <v>132</v>
      </c>
      <c r="EK106" s="358">
        <v>137</v>
      </c>
      <c r="EL106" s="358">
        <v>141</v>
      </c>
      <c r="EM106" s="358">
        <v>190</v>
      </c>
      <c r="EN106" s="358">
        <v>202</v>
      </c>
      <c r="EO106" s="358">
        <v>213</v>
      </c>
      <c r="EP106" s="358">
        <v>223</v>
      </c>
      <c r="EQ106" s="358">
        <v>230</v>
      </c>
      <c r="ES106" s="358">
        <v>242</v>
      </c>
      <c r="ET106" s="358">
        <v>247</v>
      </c>
      <c r="EU106" s="358">
        <v>256</v>
      </c>
      <c r="EV106" s="358">
        <v>262</v>
      </c>
      <c r="EW106" s="358">
        <v>186</v>
      </c>
      <c r="EX106" s="358">
        <v>197</v>
      </c>
      <c r="EY106" s="358">
        <v>208</v>
      </c>
      <c r="EZ106" s="358">
        <v>224</v>
      </c>
      <c r="FA106" s="358">
        <v>232</v>
      </c>
      <c r="FB106" s="358">
        <v>242</v>
      </c>
      <c r="FC106" s="358">
        <v>256</v>
      </c>
      <c r="FD106" s="358">
        <v>268</v>
      </c>
      <c r="FE106" s="358">
        <v>275</v>
      </c>
      <c r="FF106" s="358">
        <v>280</v>
      </c>
      <c r="FG106" s="358">
        <v>292</v>
      </c>
      <c r="FH106" s="358">
        <v>301</v>
      </c>
      <c r="FI106" s="358">
        <v>312</v>
      </c>
      <c r="FJ106" s="358">
        <v>318</v>
      </c>
      <c r="FK106" s="358">
        <v>323</v>
      </c>
      <c r="FL106" s="358">
        <v>165</v>
      </c>
      <c r="FM106" s="358">
        <v>175</v>
      </c>
      <c r="FN106" s="358">
        <v>181</v>
      </c>
      <c r="FO106" s="358">
        <v>188</v>
      </c>
      <c r="FP106" s="358">
        <v>201</v>
      </c>
      <c r="FQ106" s="358">
        <v>216</v>
      </c>
      <c r="FR106" s="358">
        <v>224</v>
      </c>
      <c r="FS106" s="358">
        <v>231</v>
      </c>
      <c r="FT106" s="358">
        <v>238</v>
      </c>
      <c r="FU106" s="358">
        <v>245</v>
      </c>
      <c r="FV106" s="358">
        <v>255</v>
      </c>
      <c r="FW106" s="358">
        <v>116</v>
      </c>
      <c r="FX106" s="358">
        <v>163</v>
      </c>
      <c r="FY106" s="358">
        <v>170</v>
      </c>
      <c r="FZ106" s="358">
        <v>198</v>
      </c>
      <c r="GA106" s="358">
        <v>267</v>
      </c>
      <c r="GB106" s="358">
        <v>303</v>
      </c>
      <c r="GC106" s="358">
        <v>155</v>
      </c>
      <c r="GD106" s="358">
        <v>191</v>
      </c>
      <c r="GE106" s="358">
        <v>220</v>
      </c>
      <c r="GF106" s="358">
        <v>124</v>
      </c>
      <c r="GG106" s="358">
        <v>136</v>
      </c>
      <c r="GH106" s="358">
        <v>148</v>
      </c>
      <c r="GI106" s="361">
        <v>174</v>
      </c>
    </row>
    <row r="107" spans="1:191">
      <c r="A107" s="336" t="s">
        <v>392</v>
      </c>
      <c r="B107" s="358">
        <v>48</v>
      </c>
      <c r="C107" s="358">
        <v>44</v>
      </c>
      <c r="D107" s="358">
        <v>46</v>
      </c>
      <c r="E107" s="358">
        <v>47</v>
      </c>
      <c r="F107" s="358">
        <v>50</v>
      </c>
      <c r="G107" s="358">
        <v>53</v>
      </c>
      <c r="H107" s="358">
        <v>56</v>
      </c>
      <c r="I107" s="358">
        <v>58</v>
      </c>
      <c r="J107" s="358">
        <v>61</v>
      </c>
      <c r="K107" s="358">
        <v>65</v>
      </c>
      <c r="L107" s="358">
        <v>67</v>
      </c>
      <c r="M107" s="358">
        <v>70</v>
      </c>
      <c r="N107" s="358">
        <v>72</v>
      </c>
      <c r="O107" s="358">
        <v>77</v>
      </c>
      <c r="P107" s="358">
        <v>83</v>
      </c>
      <c r="Q107" s="358">
        <v>85</v>
      </c>
      <c r="R107" s="358">
        <v>88</v>
      </c>
      <c r="S107" s="358">
        <v>90</v>
      </c>
      <c r="T107" s="358">
        <v>93</v>
      </c>
      <c r="U107" s="358">
        <v>96</v>
      </c>
      <c r="V107" s="358">
        <v>50</v>
      </c>
      <c r="W107" s="358">
        <v>52</v>
      </c>
      <c r="X107" s="358">
        <v>54</v>
      </c>
      <c r="Y107" s="358">
        <v>56</v>
      </c>
      <c r="Z107" s="358">
        <v>58</v>
      </c>
      <c r="AA107" s="358">
        <v>59</v>
      </c>
      <c r="AB107" s="358">
        <v>61</v>
      </c>
      <c r="AC107" s="358">
        <v>64</v>
      </c>
      <c r="AD107" s="358">
        <v>66</v>
      </c>
      <c r="AE107" s="358">
        <v>71</v>
      </c>
      <c r="AF107" s="358">
        <v>76</v>
      </c>
      <c r="AG107" s="358">
        <v>81</v>
      </c>
      <c r="AH107" s="358">
        <v>82</v>
      </c>
      <c r="AI107" s="358">
        <v>83</v>
      </c>
      <c r="AJ107" s="358">
        <v>87</v>
      </c>
      <c r="AK107" s="358">
        <v>93</v>
      </c>
      <c r="AL107" s="358">
        <v>99</v>
      </c>
      <c r="AM107" s="358">
        <v>104</v>
      </c>
      <c r="AN107" s="358">
        <v>110</v>
      </c>
      <c r="AO107" s="358">
        <v>114</v>
      </c>
      <c r="AP107" s="358">
        <v>120</v>
      </c>
      <c r="AQ107" s="358">
        <v>126</v>
      </c>
      <c r="AR107" s="358">
        <v>130</v>
      </c>
      <c r="AS107" s="358">
        <v>142</v>
      </c>
      <c r="AT107" s="358">
        <v>150</v>
      </c>
      <c r="AU107" s="358">
        <v>160</v>
      </c>
      <c r="AV107" s="358">
        <v>169</v>
      </c>
      <c r="AW107" s="358">
        <v>177</v>
      </c>
      <c r="AX107" s="358">
        <v>51</v>
      </c>
      <c r="AY107" s="358">
        <v>55</v>
      </c>
      <c r="AZ107" s="358">
        <v>56</v>
      </c>
      <c r="BA107" s="358">
        <v>57</v>
      </c>
      <c r="BB107" s="358">
        <v>58</v>
      </c>
      <c r="BC107" s="358">
        <v>61</v>
      </c>
      <c r="BD107" s="358">
        <v>65</v>
      </c>
      <c r="BE107" s="358">
        <v>67</v>
      </c>
      <c r="BF107" s="358">
        <v>68</v>
      </c>
      <c r="BG107" s="358">
        <v>71</v>
      </c>
      <c r="BH107" s="358">
        <v>72</v>
      </c>
      <c r="BI107" s="358">
        <v>73</v>
      </c>
      <c r="BJ107" s="358">
        <v>75</v>
      </c>
      <c r="BK107" s="358">
        <v>76</v>
      </c>
      <c r="BL107" s="358">
        <v>77</v>
      </c>
      <c r="BM107" s="358">
        <v>79</v>
      </c>
      <c r="BN107" s="358">
        <v>80</v>
      </c>
      <c r="BO107" s="358">
        <v>83</v>
      </c>
      <c r="BP107" s="358">
        <v>88</v>
      </c>
      <c r="BQ107" s="358">
        <v>92</v>
      </c>
      <c r="BR107" s="358">
        <v>102</v>
      </c>
      <c r="BS107" s="358">
        <v>109</v>
      </c>
      <c r="BT107" s="358">
        <v>113</v>
      </c>
      <c r="BU107" s="358">
        <v>116</v>
      </c>
      <c r="BV107" s="358">
        <v>53</v>
      </c>
      <c r="BW107" s="358">
        <v>54</v>
      </c>
      <c r="BX107" s="358">
        <v>57</v>
      </c>
      <c r="BY107" s="358">
        <v>61</v>
      </c>
      <c r="BZ107" s="358">
        <v>66</v>
      </c>
      <c r="CA107" s="358">
        <v>70</v>
      </c>
      <c r="CB107" s="358">
        <v>77</v>
      </c>
      <c r="CC107" s="358">
        <v>82</v>
      </c>
      <c r="CD107" s="358">
        <v>85</v>
      </c>
      <c r="CE107" s="358">
        <v>89</v>
      </c>
      <c r="CF107" s="358">
        <v>91</v>
      </c>
      <c r="CG107" s="358">
        <v>98</v>
      </c>
      <c r="CH107" s="358">
        <v>100</v>
      </c>
      <c r="CI107" s="358">
        <v>104</v>
      </c>
      <c r="CJ107" s="358">
        <v>107</v>
      </c>
      <c r="CK107" s="358">
        <v>114</v>
      </c>
      <c r="CL107" s="358">
        <v>120</v>
      </c>
      <c r="CM107" s="358">
        <v>124</v>
      </c>
      <c r="CN107" s="358">
        <v>129</v>
      </c>
      <c r="CO107" s="358">
        <v>136</v>
      </c>
      <c r="CP107" s="358">
        <v>147</v>
      </c>
      <c r="CQ107" s="358">
        <v>160</v>
      </c>
      <c r="CR107" s="358">
        <v>165</v>
      </c>
      <c r="CS107" s="358">
        <v>42</v>
      </c>
      <c r="CT107" s="358">
        <v>37</v>
      </c>
      <c r="CU107" s="358">
        <v>31</v>
      </c>
      <c r="CV107" s="358">
        <v>25</v>
      </c>
      <c r="CW107" s="358">
        <v>19</v>
      </c>
      <c r="CX107" s="358">
        <v>14</v>
      </c>
      <c r="CY107" s="358">
        <v>7</v>
      </c>
      <c r="CZ107" s="358">
        <v>4</v>
      </c>
      <c r="DB107" s="358">
        <v>5</v>
      </c>
      <c r="DC107" s="358">
        <v>16</v>
      </c>
      <c r="DD107" s="358">
        <v>26</v>
      </c>
      <c r="DE107" s="358">
        <v>30</v>
      </c>
      <c r="DF107" s="358">
        <v>36</v>
      </c>
      <c r="DG107" s="358">
        <v>45</v>
      </c>
      <c r="DH107" s="358">
        <v>50</v>
      </c>
      <c r="DI107" s="358">
        <v>57</v>
      </c>
      <c r="DJ107" s="358">
        <v>66</v>
      </c>
      <c r="DK107" s="358">
        <v>73</v>
      </c>
      <c r="DL107" s="358">
        <v>81</v>
      </c>
      <c r="DM107" s="358">
        <v>93</v>
      </c>
      <c r="DN107" s="358">
        <v>96</v>
      </c>
      <c r="DO107" s="358">
        <v>107</v>
      </c>
      <c r="DP107" s="358">
        <v>116</v>
      </c>
      <c r="DQ107" s="358">
        <v>55</v>
      </c>
      <c r="DR107" s="358">
        <v>60</v>
      </c>
      <c r="DS107" s="358">
        <v>64</v>
      </c>
      <c r="DT107" s="358">
        <v>66</v>
      </c>
      <c r="DU107" s="358">
        <v>69</v>
      </c>
      <c r="DV107" s="358">
        <v>70</v>
      </c>
      <c r="DW107" s="358">
        <v>76</v>
      </c>
      <c r="DX107" s="358">
        <v>79</v>
      </c>
      <c r="DY107" s="358">
        <v>85</v>
      </c>
      <c r="DZ107" s="358">
        <v>90</v>
      </c>
      <c r="EA107" s="358">
        <v>94</v>
      </c>
      <c r="EB107" s="358">
        <v>98</v>
      </c>
      <c r="EC107" s="358">
        <v>103</v>
      </c>
      <c r="ED107" s="358">
        <v>109</v>
      </c>
      <c r="EE107" s="358">
        <v>115</v>
      </c>
      <c r="EF107" s="358">
        <v>118</v>
      </c>
      <c r="EG107" s="358">
        <v>122</v>
      </c>
      <c r="EH107" s="358">
        <v>127</v>
      </c>
      <c r="EI107" s="358">
        <v>132</v>
      </c>
      <c r="EJ107" s="358">
        <v>136</v>
      </c>
      <c r="EK107" s="358">
        <v>141</v>
      </c>
      <c r="EL107" s="358">
        <v>145</v>
      </c>
      <c r="EM107" s="358">
        <v>194</v>
      </c>
      <c r="EN107" s="358">
        <v>206</v>
      </c>
      <c r="EO107" s="358">
        <v>217</v>
      </c>
      <c r="EP107" s="358">
        <v>227</v>
      </c>
      <c r="EQ107" s="358">
        <v>234</v>
      </c>
      <c r="ES107" s="358">
        <v>246</v>
      </c>
      <c r="ET107" s="358">
        <v>251</v>
      </c>
      <c r="EU107" s="358">
        <v>260</v>
      </c>
      <c r="EV107" s="358">
        <v>266</v>
      </c>
      <c r="EW107" s="358">
        <v>190</v>
      </c>
      <c r="EX107" s="358">
        <v>201</v>
      </c>
      <c r="EY107" s="358">
        <v>212</v>
      </c>
      <c r="EZ107" s="358">
        <v>228</v>
      </c>
      <c r="FA107" s="358">
        <v>236</v>
      </c>
      <c r="FB107" s="358">
        <v>246</v>
      </c>
      <c r="FC107" s="358">
        <v>260</v>
      </c>
      <c r="FD107" s="358">
        <v>272</v>
      </c>
      <c r="FE107" s="358">
        <v>279</v>
      </c>
      <c r="FF107" s="358">
        <v>284</v>
      </c>
      <c r="FG107" s="358">
        <v>296</v>
      </c>
      <c r="FH107" s="358">
        <v>305</v>
      </c>
      <c r="FI107" s="358">
        <v>316</v>
      </c>
      <c r="FJ107" s="358">
        <v>322</v>
      </c>
      <c r="FK107" s="358">
        <v>327</v>
      </c>
      <c r="FL107" s="358">
        <v>169</v>
      </c>
      <c r="FM107" s="358">
        <v>179</v>
      </c>
      <c r="FN107" s="358">
        <v>185</v>
      </c>
      <c r="FO107" s="358">
        <v>192</v>
      </c>
      <c r="FP107" s="358">
        <v>205</v>
      </c>
      <c r="FQ107" s="358">
        <v>220</v>
      </c>
      <c r="FR107" s="358">
        <v>228</v>
      </c>
      <c r="FS107" s="358">
        <v>235</v>
      </c>
      <c r="FT107" s="358">
        <v>242</v>
      </c>
      <c r="FU107" s="358">
        <v>249</v>
      </c>
      <c r="FV107" s="358">
        <v>259</v>
      </c>
      <c r="FW107" s="358">
        <v>120</v>
      </c>
      <c r="FX107" s="358">
        <v>167</v>
      </c>
      <c r="FY107" s="358">
        <v>174</v>
      </c>
      <c r="FZ107" s="358">
        <v>202</v>
      </c>
      <c r="GA107" s="358">
        <v>271</v>
      </c>
      <c r="GB107" s="358">
        <v>307</v>
      </c>
      <c r="GC107" s="358">
        <v>159</v>
      </c>
      <c r="GD107" s="358">
        <v>195</v>
      </c>
      <c r="GE107" s="358">
        <v>224</v>
      </c>
      <c r="GF107" s="358">
        <v>120</v>
      </c>
      <c r="GG107" s="358">
        <v>140</v>
      </c>
      <c r="GH107" s="358">
        <v>152</v>
      </c>
      <c r="GI107" s="361">
        <v>178</v>
      </c>
    </row>
    <row r="108" spans="1:191">
      <c r="A108" s="336" t="s">
        <v>391</v>
      </c>
      <c r="B108" s="358">
        <v>53</v>
      </c>
      <c r="C108" s="358">
        <v>49</v>
      </c>
      <c r="D108" s="358">
        <v>51</v>
      </c>
      <c r="E108" s="358">
        <v>52</v>
      </c>
      <c r="F108" s="358">
        <v>55</v>
      </c>
      <c r="G108" s="358">
        <v>58</v>
      </c>
      <c r="H108" s="358">
        <v>61</v>
      </c>
      <c r="I108" s="358">
        <v>63</v>
      </c>
      <c r="J108" s="358">
        <v>66</v>
      </c>
      <c r="K108" s="358">
        <v>70</v>
      </c>
      <c r="L108" s="358">
        <v>72</v>
      </c>
      <c r="M108" s="358">
        <v>75</v>
      </c>
      <c r="N108" s="358">
        <v>77</v>
      </c>
      <c r="O108" s="358">
        <v>82</v>
      </c>
      <c r="P108" s="358">
        <v>88</v>
      </c>
      <c r="Q108" s="358">
        <v>90</v>
      </c>
      <c r="R108" s="358">
        <v>93</v>
      </c>
      <c r="S108" s="358">
        <v>95</v>
      </c>
      <c r="T108" s="358">
        <v>98</v>
      </c>
      <c r="U108" s="358">
        <v>101</v>
      </c>
      <c r="V108" s="358">
        <v>55</v>
      </c>
      <c r="W108" s="358">
        <v>57</v>
      </c>
      <c r="X108" s="358">
        <v>59</v>
      </c>
      <c r="Y108" s="358">
        <v>61</v>
      </c>
      <c r="Z108" s="358">
        <v>63</v>
      </c>
      <c r="AA108" s="358">
        <v>64</v>
      </c>
      <c r="AB108" s="358">
        <v>66</v>
      </c>
      <c r="AC108" s="358">
        <v>69</v>
      </c>
      <c r="AD108" s="358">
        <v>71</v>
      </c>
      <c r="AE108" s="358">
        <v>76</v>
      </c>
      <c r="AF108" s="358">
        <v>81</v>
      </c>
      <c r="AG108" s="358">
        <v>86</v>
      </c>
      <c r="AH108" s="358">
        <v>87</v>
      </c>
      <c r="AI108" s="358">
        <v>88</v>
      </c>
      <c r="AJ108" s="358">
        <v>92</v>
      </c>
      <c r="AK108" s="358">
        <v>98</v>
      </c>
      <c r="AL108" s="358">
        <v>104</v>
      </c>
      <c r="AM108" s="358">
        <v>109</v>
      </c>
      <c r="AN108" s="358">
        <v>115</v>
      </c>
      <c r="AO108" s="358">
        <v>119</v>
      </c>
      <c r="AP108" s="358">
        <v>125</v>
      </c>
      <c r="AQ108" s="358">
        <v>131</v>
      </c>
      <c r="AR108" s="358">
        <v>135</v>
      </c>
      <c r="AS108" s="358">
        <v>147</v>
      </c>
      <c r="AT108" s="358">
        <v>155</v>
      </c>
      <c r="AU108" s="358">
        <v>165</v>
      </c>
      <c r="AV108" s="358">
        <v>174</v>
      </c>
      <c r="AW108" s="358">
        <v>182</v>
      </c>
      <c r="AX108" s="358">
        <v>56</v>
      </c>
      <c r="AY108" s="358">
        <v>60</v>
      </c>
      <c r="AZ108" s="358">
        <v>61</v>
      </c>
      <c r="BA108" s="358">
        <v>62</v>
      </c>
      <c r="BB108" s="358">
        <v>63</v>
      </c>
      <c r="BC108" s="358">
        <v>66</v>
      </c>
      <c r="BD108" s="358">
        <v>70</v>
      </c>
      <c r="BE108" s="358">
        <v>72</v>
      </c>
      <c r="BF108" s="358">
        <v>73</v>
      </c>
      <c r="BG108" s="358">
        <v>76</v>
      </c>
      <c r="BH108" s="358">
        <v>77</v>
      </c>
      <c r="BI108" s="358">
        <v>78</v>
      </c>
      <c r="BJ108" s="358">
        <v>80</v>
      </c>
      <c r="BK108" s="358">
        <v>81</v>
      </c>
      <c r="BL108" s="358">
        <v>82</v>
      </c>
      <c r="BM108" s="358">
        <v>84</v>
      </c>
      <c r="BN108" s="358">
        <v>85</v>
      </c>
      <c r="BO108" s="358">
        <v>88</v>
      </c>
      <c r="BP108" s="358">
        <v>93</v>
      </c>
      <c r="BQ108" s="358">
        <v>97</v>
      </c>
      <c r="BR108" s="358">
        <v>107</v>
      </c>
      <c r="BS108" s="358">
        <v>114</v>
      </c>
      <c r="BT108" s="358">
        <v>118</v>
      </c>
      <c r="BU108" s="358">
        <v>121</v>
      </c>
      <c r="BV108" s="358">
        <v>58</v>
      </c>
      <c r="BW108" s="358">
        <v>59</v>
      </c>
      <c r="BX108" s="358">
        <v>62</v>
      </c>
      <c r="BY108" s="358">
        <v>66</v>
      </c>
      <c r="BZ108" s="358">
        <v>71</v>
      </c>
      <c r="CA108" s="358">
        <v>75</v>
      </c>
      <c r="CB108" s="358">
        <v>82</v>
      </c>
      <c r="CC108" s="358">
        <v>87</v>
      </c>
      <c r="CD108" s="358">
        <v>90</v>
      </c>
      <c r="CE108" s="358">
        <v>94</v>
      </c>
      <c r="CF108" s="358">
        <v>96</v>
      </c>
      <c r="CG108" s="358">
        <v>103</v>
      </c>
      <c r="CH108" s="358">
        <v>105</v>
      </c>
      <c r="CI108" s="358">
        <v>109</v>
      </c>
      <c r="CJ108" s="358">
        <v>112</v>
      </c>
      <c r="CK108" s="358">
        <v>119</v>
      </c>
      <c r="CL108" s="358">
        <v>125</v>
      </c>
      <c r="CM108" s="358">
        <v>129</v>
      </c>
      <c r="CN108" s="358">
        <v>134</v>
      </c>
      <c r="CO108" s="358">
        <v>141</v>
      </c>
      <c r="CP108" s="358">
        <v>152</v>
      </c>
      <c r="CQ108" s="358">
        <v>165</v>
      </c>
      <c r="CR108" s="358">
        <v>170</v>
      </c>
      <c r="CS108" s="358">
        <v>47</v>
      </c>
      <c r="CT108" s="358">
        <v>42</v>
      </c>
      <c r="CU108" s="358">
        <v>36</v>
      </c>
      <c r="CV108" s="358">
        <v>30</v>
      </c>
      <c r="CW108" s="358">
        <v>24</v>
      </c>
      <c r="CX108" s="358">
        <v>19</v>
      </c>
      <c r="CY108" s="358">
        <v>12</v>
      </c>
      <c r="CZ108" s="358">
        <v>9</v>
      </c>
      <c r="DA108" s="358">
        <v>5</v>
      </c>
      <c r="DC108" s="358">
        <v>11</v>
      </c>
      <c r="DD108" s="358">
        <v>21</v>
      </c>
      <c r="DE108" s="358">
        <v>25</v>
      </c>
      <c r="DF108" s="358">
        <v>31</v>
      </c>
      <c r="DG108" s="358">
        <v>40</v>
      </c>
      <c r="DH108" s="358">
        <v>45</v>
      </c>
      <c r="DI108" s="358">
        <v>52</v>
      </c>
      <c r="DJ108" s="358">
        <v>61</v>
      </c>
      <c r="DK108" s="358">
        <v>68</v>
      </c>
      <c r="DL108" s="358">
        <v>76</v>
      </c>
      <c r="DM108" s="358">
        <v>88</v>
      </c>
      <c r="DN108" s="358">
        <v>91</v>
      </c>
      <c r="DO108" s="358">
        <v>102</v>
      </c>
      <c r="DP108" s="358">
        <v>111</v>
      </c>
      <c r="DQ108" s="358">
        <v>60</v>
      </c>
      <c r="DR108" s="358">
        <v>65</v>
      </c>
      <c r="DS108" s="358">
        <v>69</v>
      </c>
      <c r="DT108" s="358">
        <v>71</v>
      </c>
      <c r="DU108" s="358">
        <v>74</v>
      </c>
      <c r="DV108" s="358">
        <v>75</v>
      </c>
      <c r="DW108" s="358">
        <v>81</v>
      </c>
      <c r="DX108" s="358">
        <v>84</v>
      </c>
      <c r="DY108" s="358">
        <v>90</v>
      </c>
      <c r="DZ108" s="358">
        <v>95</v>
      </c>
      <c r="EA108" s="358">
        <v>99</v>
      </c>
      <c r="EB108" s="358">
        <v>103</v>
      </c>
      <c r="EC108" s="358">
        <v>108</v>
      </c>
      <c r="ED108" s="358">
        <v>114</v>
      </c>
      <c r="EE108" s="358">
        <v>120</v>
      </c>
      <c r="EF108" s="358">
        <v>123</v>
      </c>
      <c r="EG108" s="358">
        <v>127</v>
      </c>
      <c r="EH108" s="358">
        <v>132</v>
      </c>
      <c r="EI108" s="358">
        <v>137</v>
      </c>
      <c r="EJ108" s="358">
        <v>141</v>
      </c>
      <c r="EK108" s="358">
        <v>146</v>
      </c>
      <c r="EL108" s="358">
        <v>150</v>
      </c>
      <c r="EM108" s="358">
        <v>199</v>
      </c>
      <c r="EN108" s="358">
        <v>211</v>
      </c>
      <c r="EO108" s="358">
        <v>222</v>
      </c>
      <c r="EP108" s="358">
        <v>232</v>
      </c>
      <c r="EQ108" s="358">
        <v>239</v>
      </c>
      <c r="ES108" s="358">
        <v>251</v>
      </c>
      <c r="ET108" s="358">
        <v>256</v>
      </c>
      <c r="EU108" s="358">
        <v>265</v>
      </c>
      <c r="EV108" s="358">
        <v>271</v>
      </c>
      <c r="EW108" s="358">
        <v>195</v>
      </c>
      <c r="EX108" s="358">
        <v>206</v>
      </c>
      <c r="EY108" s="358">
        <v>217</v>
      </c>
      <c r="EZ108" s="358">
        <v>233</v>
      </c>
      <c r="FA108" s="358">
        <v>241</v>
      </c>
      <c r="FB108" s="358">
        <v>251</v>
      </c>
      <c r="FC108" s="358">
        <v>265</v>
      </c>
      <c r="FD108" s="358">
        <v>277</v>
      </c>
      <c r="FE108" s="358">
        <v>284</v>
      </c>
      <c r="FF108" s="358">
        <v>289</v>
      </c>
      <c r="FG108" s="358">
        <v>301</v>
      </c>
      <c r="FH108" s="358">
        <v>310</v>
      </c>
      <c r="FI108" s="358">
        <v>321</v>
      </c>
      <c r="FJ108" s="358">
        <v>327</v>
      </c>
      <c r="FK108" s="358">
        <v>332</v>
      </c>
      <c r="FL108" s="358">
        <v>174</v>
      </c>
      <c r="FM108" s="358">
        <v>184</v>
      </c>
      <c r="FN108" s="358">
        <v>190</v>
      </c>
      <c r="FO108" s="358">
        <v>197</v>
      </c>
      <c r="FP108" s="358">
        <v>210</v>
      </c>
      <c r="FQ108" s="358">
        <v>225</v>
      </c>
      <c r="FR108" s="358">
        <v>233</v>
      </c>
      <c r="FS108" s="358">
        <v>240</v>
      </c>
      <c r="FT108" s="358">
        <v>247</v>
      </c>
      <c r="FU108" s="358">
        <v>254</v>
      </c>
      <c r="FV108" s="358">
        <v>264</v>
      </c>
      <c r="FW108" s="358">
        <v>125</v>
      </c>
      <c r="FX108" s="358">
        <v>172</v>
      </c>
      <c r="FY108" s="358">
        <v>179</v>
      </c>
      <c r="FZ108" s="358">
        <v>207</v>
      </c>
      <c r="GA108" s="358">
        <v>276</v>
      </c>
      <c r="GB108" s="358">
        <v>312</v>
      </c>
      <c r="GC108" s="358">
        <v>164</v>
      </c>
      <c r="GD108" s="358">
        <v>200</v>
      </c>
      <c r="GE108" s="358">
        <v>229</v>
      </c>
      <c r="GF108" s="358">
        <v>115</v>
      </c>
      <c r="GG108" s="358">
        <v>145</v>
      </c>
      <c r="GH108" s="358">
        <v>157</v>
      </c>
      <c r="GI108" s="361">
        <v>183</v>
      </c>
    </row>
    <row r="109" spans="1:191">
      <c r="A109" s="336" t="s">
        <v>390</v>
      </c>
      <c r="B109" s="358">
        <v>64</v>
      </c>
      <c r="C109" s="358">
        <v>60</v>
      </c>
      <c r="D109" s="358">
        <v>62</v>
      </c>
      <c r="E109" s="358">
        <v>63</v>
      </c>
      <c r="F109" s="358">
        <v>66</v>
      </c>
      <c r="G109" s="358">
        <v>69</v>
      </c>
      <c r="H109" s="358">
        <v>72</v>
      </c>
      <c r="I109" s="358">
        <v>74</v>
      </c>
      <c r="J109" s="358">
        <v>77</v>
      </c>
      <c r="K109" s="358">
        <v>81</v>
      </c>
      <c r="L109" s="358">
        <v>83</v>
      </c>
      <c r="M109" s="358">
        <v>86</v>
      </c>
      <c r="N109" s="358">
        <v>88</v>
      </c>
      <c r="O109" s="358">
        <v>93</v>
      </c>
      <c r="P109" s="358">
        <v>99</v>
      </c>
      <c r="Q109" s="358">
        <v>101</v>
      </c>
      <c r="R109" s="358">
        <v>104</v>
      </c>
      <c r="S109" s="358">
        <v>106</v>
      </c>
      <c r="T109" s="358">
        <v>109</v>
      </c>
      <c r="U109" s="358">
        <v>112</v>
      </c>
      <c r="V109" s="358">
        <v>66</v>
      </c>
      <c r="W109" s="358">
        <v>68</v>
      </c>
      <c r="X109" s="358">
        <v>70</v>
      </c>
      <c r="Y109" s="358">
        <v>72</v>
      </c>
      <c r="Z109" s="358">
        <v>74</v>
      </c>
      <c r="AA109" s="358">
        <v>75</v>
      </c>
      <c r="AB109" s="358">
        <v>77</v>
      </c>
      <c r="AC109" s="358">
        <v>80</v>
      </c>
      <c r="AD109" s="358">
        <v>82</v>
      </c>
      <c r="AE109" s="358">
        <v>87</v>
      </c>
      <c r="AF109" s="358">
        <v>92</v>
      </c>
      <c r="AG109" s="358">
        <v>97</v>
      </c>
      <c r="AH109" s="358">
        <v>98</v>
      </c>
      <c r="AI109" s="358">
        <v>99</v>
      </c>
      <c r="AJ109" s="358">
        <v>103</v>
      </c>
      <c r="AK109" s="358">
        <v>109</v>
      </c>
      <c r="AL109" s="358">
        <v>115</v>
      </c>
      <c r="AM109" s="358">
        <v>120</v>
      </c>
      <c r="AN109" s="358">
        <v>126</v>
      </c>
      <c r="AO109" s="358">
        <v>130</v>
      </c>
      <c r="AP109" s="358">
        <v>136</v>
      </c>
      <c r="AQ109" s="358">
        <v>142</v>
      </c>
      <c r="AR109" s="358">
        <v>146</v>
      </c>
      <c r="AS109" s="358">
        <v>158</v>
      </c>
      <c r="AT109" s="358">
        <v>166</v>
      </c>
      <c r="AU109" s="358">
        <v>176</v>
      </c>
      <c r="AV109" s="358">
        <v>185</v>
      </c>
      <c r="AW109" s="358">
        <v>193</v>
      </c>
      <c r="AX109" s="358">
        <v>67</v>
      </c>
      <c r="AY109" s="358">
        <v>71</v>
      </c>
      <c r="AZ109" s="358">
        <v>72</v>
      </c>
      <c r="BA109" s="358">
        <v>73</v>
      </c>
      <c r="BB109" s="358">
        <v>74</v>
      </c>
      <c r="BC109" s="358">
        <v>77</v>
      </c>
      <c r="BD109" s="358">
        <v>81</v>
      </c>
      <c r="BE109" s="358">
        <v>83</v>
      </c>
      <c r="BF109" s="358">
        <v>84</v>
      </c>
      <c r="BG109" s="358">
        <v>87</v>
      </c>
      <c r="BH109" s="358">
        <v>88</v>
      </c>
      <c r="BI109" s="358">
        <v>89</v>
      </c>
      <c r="BJ109" s="358">
        <v>91</v>
      </c>
      <c r="BK109" s="358">
        <v>92</v>
      </c>
      <c r="BL109" s="358">
        <v>93</v>
      </c>
      <c r="BM109" s="358">
        <v>95</v>
      </c>
      <c r="BN109" s="358">
        <v>96</v>
      </c>
      <c r="BO109" s="358">
        <v>99</v>
      </c>
      <c r="BP109" s="358">
        <v>104</v>
      </c>
      <c r="BQ109" s="358">
        <v>108</v>
      </c>
      <c r="BR109" s="358">
        <v>118</v>
      </c>
      <c r="BS109" s="358">
        <v>125</v>
      </c>
      <c r="BT109" s="358">
        <v>129</v>
      </c>
      <c r="BU109" s="358">
        <v>132</v>
      </c>
      <c r="BV109" s="358">
        <v>69</v>
      </c>
      <c r="BW109" s="358">
        <v>70</v>
      </c>
      <c r="BX109" s="358">
        <v>73</v>
      </c>
      <c r="BY109" s="358">
        <v>77</v>
      </c>
      <c r="BZ109" s="358">
        <v>82</v>
      </c>
      <c r="CA109" s="358">
        <v>86</v>
      </c>
      <c r="CB109" s="358">
        <v>93</v>
      </c>
      <c r="CC109" s="358">
        <v>98</v>
      </c>
      <c r="CD109" s="358">
        <v>101</v>
      </c>
      <c r="CE109" s="358">
        <v>105</v>
      </c>
      <c r="CF109" s="358">
        <v>107</v>
      </c>
      <c r="CG109" s="358">
        <v>114</v>
      </c>
      <c r="CH109" s="358">
        <v>116</v>
      </c>
      <c r="CI109" s="358">
        <v>120</v>
      </c>
      <c r="CJ109" s="358">
        <v>123</v>
      </c>
      <c r="CK109" s="358">
        <v>130</v>
      </c>
      <c r="CL109" s="358">
        <v>136</v>
      </c>
      <c r="CM109" s="358">
        <v>140</v>
      </c>
      <c r="CN109" s="358">
        <v>145</v>
      </c>
      <c r="CO109" s="358">
        <v>152</v>
      </c>
      <c r="CP109" s="358">
        <v>163</v>
      </c>
      <c r="CQ109" s="358">
        <v>176</v>
      </c>
      <c r="CR109" s="358">
        <v>181</v>
      </c>
      <c r="CS109" s="358">
        <v>58</v>
      </c>
      <c r="CT109" s="358">
        <v>53</v>
      </c>
      <c r="CU109" s="358">
        <v>47</v>
      </c>
      <c r="CV109" s="358">
        <v>41</v>
      </c>
      <c r="CW109" s="358">
        <v>35</v>
      </c>
      <c r="CX109" s="358">
        <v>30</v>
      </c>
      <c r="CY109" s="358">
        <v>23</v>
      </c>
      <c r="CZ109" s="358">
        <v>20</v>
      </c>
      <c r="DA109" s="358">
        <v>16</v>
      </c>
      <c r="DB109" s="358">
        <v>11</v>
      </c>
      <c r="DD109" s="358">
        <v>10</v>
      </c>
      <c r="DE109" s="358">
        <v>14</v>
      </c>
      <c r="DF109" s="358">
        <v>20</v>
      </c>
      <c r="DG109" s="358">
        <v>29</v>
      </c>
      <c r="DH109" s="358">
        <v>34</v>
      </c>
      <c r="DI109" s="358">
        <v>41</v>
      </c>
      <c r="DJ109" s="358">
        <v>50</v>
      </c>
      <c r="DK109" s="358">
        <v>57</v>
      </c>
      <c r="DL109" s="358">
        <v>65</v>
      </c>
      <c r="DM109" s="358">
        <v>77</v>
      </c>
      <c r="DN109" s="358">
        <v>80</v>
      </c>
      <c r="DO109" s="358">
        <v>91</v>
      </c>
      <c r="DP109" s="358">
        <v>100</v>
      </c>
      <c r="DQ109" s="358">
        <v>71</v>
      </c>
      <c r="DR109" s="358">
        <v>76</v>
      </c>
      <c r="DS109" s="358">
        <v>80</v>
      </c>
      <c r="DT109" s="358">
        <v>82</v>
      </c>
      <c r="DU109" s="358">
        <v>85</v>
      </c>
      <c r="DV109" s="358">
        <v>86</v>
      </c>
      <c r="DW109" s="358">
        <v>92</v>
      </c>
      <c r="DX109" s="358">
        <v>95</v>
      </c>
      <c r="DY109" s="358">
        <v>101</v>
      </c>
      <c r="DZ109" s="358">
        <v>106</v>
      </c>
      <c r="EA109" s="358">
        <v>110</v>
      </c>
      <c r="EB109" s="358">
        <v>114</v>
      </c>
      <c r="EC109" s="358">
        <v>119</v>
      </c>
      <c r="ED109" s="358">
        <v>125</v>
      </c>
      <c r="EE109" s="358">
        <v>131</v>
      </c>
      <c r="EF109" s="358">
        <v>134</v>
      </c>
      <c r="EG109" s="358">
        <v>138</v>
      </c>
      <c r="EH109" s="358">
        <v>143</v>
      </c>
      <c r="EI109" s="358">
        <v>148</v>
      </c>
      <c r="EJ109" s="358">
        <v>152</v>
      </c>
      <c r="EK109" s="358">
        <v>157</v>
      </c>
      <c r="EL109" s="358">
        <v>161</v>
      </c>
      <c r="EM109" s="358">
        <v>210</v>
      </c>
      <c r="EN109" s="358">
        <v>222</v>
      </c>
      <c r="EO109" s="358">
        <v>233</v>
      </c>
      <c r="EP109" s="358">
        <v>243</v>
      </c>
      <c r="EQ109" s="358">
        <v>250</v>
      </c>
      <c r="ES109" s="358">
        <v>262</v>
      </c>
      <c r="ET109" s="358">
        <v>267</v>
      </c>
      <c r="EU109" s="358">
        <v>276</v>
      </c>
      <c r="EV109" s="358">
        <v>282</v>
      </c>
      <c r="EW109" s="358">
        <v>206</v>
      </c>
      <c r="EX109" s="358">
        <v>217</v>
      </c>
      <c r="EY109" s="358">
        <v>228</v>
      </c>
      <c r="EZ109" s="358">
        <v>244</v>
      </c>
      <c r="FA109" s="358">
        <v>252</v>
      </c>
      <c r="FB109" s="358">
        <v>262</v>
      </c>
      <c r="FC109" s="358">
        <v>276</v>
      </c>
      <c r="FD109" s="358">
        <v>288</v>
      </c>
      <c r="FE109" s="358">
        <v>295</v>
      </c>
      <c r="FF109" s="358">
        <v>300</v>
      </c>
      <c r="FG109" s="358">
        <v>312</v>
      </c>
      <c r="FH109" s="358">
        <v>321</v>
      </c>
      <c r="FI109" s="358">
        <v>332</v>
      </c>
      <c r="FJ109" s="358">
        <v>338</v>
      </c>
      <c r="FK109" s="358">
        <v>343</v>
      </c>
      <c r="FL109" s="358">
        <v>185</v>
      </c>
      <c r="FM109" s="358">
        <v>195</v>
      </c>
      <c r="FN109" s="358">
        <v>201</v>
      </c>
      <c r="FO109" s="358">
        <v>208</v>
      </c>
      <c r="FP109" s="358">
        <v>221</v>
      </c>
      <c r="FQ109" s="358">
        <v>236</v>
      </c>
      <c r="FR109" s="358">
        <v>244</v>
      </c>
      <c r="FS109" s="358">
        <v>251</v>
      </c>
      <c r="FT109" s="358">
        <v>258</v>
      </c>
      <c r="FU109" s="358">
        <v>265</v>
      </c>
      <c r="FV109" s="358">
        <v>275</v>
      </c>
      <c r="FW109" s="358">
        <v>136</v>
      </c>
      <c r="FX109" s="358">
        <v>183</v>
      </c>
      <c r="FY109" s="358">
        <v>190</v>
      </c>
      <c r="FZ109" s="358">
        <v>218</v>
      </c>
      <c r="GA109" s="358">
        <v>287</v>
      </c>
      <c r="GB109" s="358">
        <v>323</v>
      </c>
      <c r="GC109" s="358">
        <v>175</v>
      </c>
      <c r="GD109" s="358">
        <v>211</v>
      </c>
      <c r="GE109" s="358">
        <v>240</v>
      </c>
      <c r="GF109" s="358">
        <v>104</v>
      </c>
      <c r="GG109" s="358">
        <v>156</v>
      </c>
      <c r="GH109" s="358">
        <v>168</v>
      </c>
      <c r="GI109" s="361">
        <v>194</v>
      </c>
    </row>
    <row r="110" spans="1:191">
      <c r="A110" s="336" t="s">
        <v>389</v>
      </c>
      <c r="B110" s="358">
        <v>74</v>
      </c>
      <c r="C110" s="358">
        <v>70</v>
      </c>
      <c r="D110" s="358">
        <v>72</v>
      </c>
      <c r="E110" s="358">
        <v>73</v>
      </c>
      <c r="F110" s="358">
        <v>76</v>
      </c>
      <c r="G110" s="358">
        <v>79</v>
      </c>
      <c r="H110" s="358">
        <v>82</v>
      </c>
      <c r="I110" s="358">
        <v>84</v>
      </c>
      <c r="J110" s="358">
        <v>87</v>
      </c>
      <c r="K110" s="358">
        <v>91</v>
      </c>
      <c r="L110" s="358">
        <v>93</v>
      </c>
      <c r="M110" s="358">
        <v>96</v>
      </c>
      <c r="N110" s="358">
        <v>98</v>
      </c>
      <c r="O110" s="358">
        <v>103</v>
      </c>
      <c r="P110" s="358">
        <v>109</v>
      </c>
      <c r="Q110" s="358">
        <v>111</v>
      </c>
      <c r="R110" s="358">
        <v>114</v>
      </c>
      <c r="S110" s="358">
        <v>116</v>
      </c>
      <c r="T110" s="358">
        <v>119</v>
      </c>
      <c r="U110" s="358">
        <v>122</v>
      </c>
      <c r="V110" s="358">
        <v>76</v>
      </c>
      <c r="W110" s="358">
        <v>78</v>
      </c>
      <c r="X110" s="358">
        <v>80</v>
      </c>
      <c r="Y110" s="358">
        <v>82</v>
      </c>
      <c r="Z110" s="358">
        <v>84</v>
      </c>
      <c r="AA110" s="358">
        <v>85</v>
      </c>
      <c r="AB110" s="358">
        <v>87</v>
      </c>
      <c r="AC110" s="358">
        <v>90</v>
      </c>
      <c r="AD110" s="358">
        <v>92</v>
      </c>
      <c r="AE110" s="358">
        <v>97</v>
      </c>
      <c r="AF110" s="358">
        <v>102</v>
      </c>
      <c r="AG110" s="358">
        <v>107</v>
      </c>
      <c r="AH110" s="358">
        <v>108</v>
      </c>
      <c r="AI110" s="358">
        <v>109</v>
      </c>
      <c r="AJ110" s="358">
        <v>113</v>
      </c>
      <c r="AK110" s="358">
        <v>119</v>
      </c>
      <c r="AL110" s="358">
        <v>125</v>
      </c>
      <c r="AM110" s="358">
        <v>130</v>
      </c>
      <c r="AN110" s="358">
        <v>136</v>
      </c>
      <c r="AO110" s="358">
        <v>140</v>
      </c>
      <c r="AP110" s="358">
        <v>146</v>
      </c>
      <c r="AQ110" s="358">
        <v>152</v>
      </c>
      <c r="AR110" s="358">
        <v>156</v>
      </c>
      <c r="AS110" s="358">
        <v>168</v>
      </c>
      <c r="AT110" s="358">
        <v>176</v>
      </c>
      <c r="AU110" s="358">
        <v>186</v>
      </c>
      <c r="AV110" s="358">
        <v>195</v>
      </c>
      <c r="AW110" s="358">
        <v>203</v>
      </c>
      <c r="AX110" s="358">
        <v>77</v>
      </c>
      <c r="AY110" s="358">
        <v>81</v>
      </c>
      <c r="AZ110" s="358">
        <v>82</v>
      </c>
      <c r="BA110" s="358">
        <v>83</v>
      </c>
      <c r="BB110" s="358">
        <v>84</v>
      </c>
      <c r="BC110" s="358">
        <v>87</v>
      </c>
      <c r="BD110" s="358">
        <v>91</v>
      </c>
      <c r="BE110" s="358">
        <v>93</v>
      </c>
      <c r="BF110" s="358">
        <v>94</v>
      </c>
      <c r="BG110" s="358">
        <v>97</v>
      </c>
      <c r="BH110" s="358">
        <v>98</v>
      </c>
      <c r="BI110" s="358">
        <v>99</v>
      </c>
      <c r="BJ110" s="358">
        <v>101</v>
      </c>
      <c r="BK110" s="358">
        <v>102</v>
      </c>
      <c r="BL110" s="358">
        <v>103</v>
      </c>
      <c r="BM110" s="358">
        <v>105</v>
      </c>
      <c r="BN110" s="358">
        <v>106</v>
      </c>
      <c r="BO110" s="358">
        <v>109</v>
      </c>
      <c r="BP110" s="358">
        <v>114</v>
      </c>
      <c r="BQ110" s="358">
        <v>118</v>
      </c>
      <c r="BR110" s="358">
        <v>128</v>
      </c>
      <c r="BS110" s="358">
        <v>135</v>
      </c>
      <c r="BT110" s="358">
        <v>139</v>
      </c>
      <c r="BU110" s="358">
        <v>142</v>
      </c>
      <c r="BV110" s="358">
        <v>79</v>
      </c>
      <c r="BW110" s="358">
        <v>80</v>
      </c>
      <c r="BX110" s="358">
        <v>83</v>
      </c>
      <c r="BY110" s="358">
        <v>87</v>
      </c>
      <c r="BZ110" s="358">
        <v>92</v>
      </c>
      <c r="CA110" s="358">
        <v>96</v>
      </c>
      <c r="CB110" s="358">
        <v>103</v>
      </c>
      <c r="CC110" s="358">
        <v>108</v>
      </c>
      <c r="CD110" s="358">
        <v>111</v>
      </c>
      <c r="CE110" s="358">
        <v>115</v>
      </c>
      <c r="CF110" s="358">
        <v>117</v>
      </c>
      <c r="CG110" s="358">
        <v>124</v>
      </c>
      <c r="CH110" s="358">
        <v>126</v>
      </c>
      <c r="CI110" s="358">
        <v>130</v>
      </c>
      <c r="CJ110" s="358">
        <v>133</v>
      </c>
      <c r="CK110" s="358">
        <v>140</v>
      </c>
      <c r="CL110" s="358">
        <v>146</v>
      </c>
      <c r="CM110" s="358">
        <v>150</v>
      </c>
      <c r="CN110" s="358">
        <v>155</v>
      </c>
      <c r="CO110" s="358">
        <v>162</v>
      </c>
      <c r="CP110" s="358">
        <v>173</v>
      </c>
      <c r="CQ110" s="358">
        <v>186</v>
      </c>
      <c r="CR110" s="358">
        <v>191</v>
      </c>
      <c r="CS110" s="358">
        <v>68</v>
      </c>
      <c r="CT110" s="358">
        <v>63</v>
      </c>
      <c r="CU110" s="358">
        <v>57</v>
      </c>
      <c r="CV110" s="358">
        <v>51</v>
      </c>
      <c r="CW110" s="358">
        <v>45</v>
      </c>
      <c r="CX110" s="358">
        <v>40</v>
      </c>
      <c r="CY110" s="358">
        <v>33</v>
      </c>
      <c r="CZ110" s="358">
        <v>30</v>
      </c>
      <c r="DA110" s="358">
        <v>26</v>
      </c>
      <c r="DB110" s="358">
        <v>21</v>
      </c>
      <c r="DC110" s="358">
        <v>10</v>
      </c>
      <c r="DE110" s="358">
        <v>4</v>
      </c>
      <c r="DF110" s="358">
        <v>10</v>
      </c>
      <c r="DG110" s="358">
        <v>19</v>
      </c>
      <c r="DH110" s="358">
        <v>24</v>
      </c>
      <c r="DI110" s="358">
        <v>31</v>
      </c>
      <c r="DJ110" s="358">
        <v>40</v>
      </c>
      <c r="DK110" s="358">
        <v>47</v>
      </c>
      <c r="DL110" s="358">
        <v>55</v>
      </c>
      <c r="DM110" s="358">
        <v>67</v>
      </c>
      <c r="DN110" s="358">
        <v>70</v>
      </c>
      <c r="DO110" s="358">
        <v>81</v>
      </c>
      <c r="DP110" s="358">
        <v>90</v>
      </c>
      <c r="DQ110" s="358">
        <v>81</v>
      </c>
      <c r="DR110" s="358">
        <v>86</v>
      </c>
      <c r="DS110" s="358">
        <v>90</v>
      </c>
      <c r="DT110" s="358">
        <v>92</v>
      </c>
      <c r="DU110" s="358">
        <v>95</v>
      </c>
      <c r="DV110" s="358">
        <v>96</v>
      </c>
      <c r="DW110" s="358">
        <v>102</v>
      </c>
      <c r="DX110" s="358">
        <v>105</v>
      </c>
      <c r="DY110" s="358">
        <v>111</v>
      </c>
      <c r="DZ110" s="358">
        <v>116</v>
      </c>
      <c r="EA110" s="358">
        <v>120</v>
      </c>
      <c r="EB110" s="358">
        <v>124</v>
      </c>
      <c r="EC110" s="358">
        <v>129</v>
      </c>
      <c r="ED110" s="358">
        <v>135</v>
      </c>
      <c r="EE110" s="358">
        <v>141</v>
      </c>
      <c r="EF110" s="358">
        <v>144</v>
      </c>
      <c r="EG110" s="358">
        <v>148</v>
      </c>
      <c r="EH110" s="358">
        <v>153</v>
      </c>
      <c r="EI110" s="358">
        <v>158</v>
      </c>
      <c r="EJ110" s="358">
        <v>162</v>
      </c>
      <c r="EK110" s="358">
        <v>167</v>
      </c>
      <c r="EL110" s="358">
        <v>171</v>
      </c>
      <c r="EM110" s="358">
        <v>220</v>
      </c>
      <c r="EN110" s="358">
        <v>232</v>
      </c>
      <c r="EO110" s="358">
        <v>243</v>
      </c>
      <c r="EP110" s="358">
        <v>253</v>
      </c>
      <c r="EQ110" s="358">
        <v>260</v>
      </c>
      <c r="ES110" s="358">
        <v>272</v>
      </c>
      <c r="ET110" s="358">
        <v>277</v>
      </c>
      <c r="EU110" s="358">
        <v>286</v>
      </c>
      <c r="EV110" s="358">
        <v>292</v>
      </c>
      <c r="EW110" s="358">
        <v>216</v>
      </c>
      <c r="EX110" s="358">
        <v>227</v>
      </c>
      <c r="EY110" s="358">
        <v>238</v>
      </c>
      <c r="EZ110" s="358">
        <v>254</v>
      </c>
      <c r="FA110" s="358">
        <v>262</v>
      </c>
      <c r="FB110" s="358">
        <v>272</v>
      </c>
      <c r="FC110" s="358">
        <v>286</v>
      </c>
      <c r="FD110" s="358">
        <v>298</v>
      </c>
      <c r="FE110" s="358">
        <v>305</v>
      </c>
      <c r="FF110" s="358">
        <v>310</v>
      </c>
      <c r="FG110" s="358">
        <v>322</v>
      </c>
      <c r="FH110" s="358">
        <v>331</v>
      </c>
      <c r="FI110" s="358">
        <v>342</v>
      </c>
      <c r="FJ110" s="358">
        <v>348</v>
      </c>
      <c r="FK110" s="358">
        <v>353</v>
      </c>
      <c r="FL110" s="358">
        <v>195</v>
      </c>
      <c r="FM110" s="358">
        <v>205</v>
      </c>
      <c r="FN110" s="358">
        <v>211</v>
      </c>
      <c r="FO110" s="358">
        <v>218</v>
      </c>
      <c r="FP110" s="358">
        <v>231</v>
      </c>
      <c r="FQ110" s="358">
        <v>246</v>
      </c>
      <c r="FR110" s="358">
        <v>254</v>
      </c>
      <c r="FS110" s="358">
        <v>261</v>
      </c>
      <c r="FT110" s="358">
        <v>268</v>
      </c>
      <c r="FU110" s="358">
        <v>275</v>
      </c>
      <c r="FV110" s="358">
        <v>285</v>
      </c>
      <c r="FW110" s="358">
        <v>146</v>
      </c>
      <c r="FX110" s="358">
        <v>193</v>
      </c>
      <c r="FY110" s="358">
        <v>200</v>
      </c>
      <c r="FZ110" s="358">
        <v>228</v>
      </c>
      <c r="GA110" s="358">
        <v>297</v>
      </c>
      <c r="GB110" s="358">
        <v>333</v>
      </c>
      <c r="GC110" s="358">
        <v>185</v>
      </c>
      <c r="GD110" s="358">
        <v>221</v>
      </c>
      <c r="GE110" s="358">
        <v>250</v>
      </c>
      <c r="GF110" s="358">
        <v>94</v>
      </c>
      <c r="GG110" s="358">
        <v>166</v>
      </c>
      <c r="GH110" s="358">
        <v>178</v>
      </c>
      <c r="GI110" s="361">
        <v>204</v>
      </c>
    </row>
    <row r="111" spans="1:191">
      <c r="A111" s="336" t="s">
        <v>388</v>
      </c>
      <c r="B111" s="358">
        <v>78</v>
      </c>
      <c r="C111" s="358">
        <v>74</v>
      </c>
      <c r="D111" s="358">
        <v>76</v>
      </c>
      <c r="E111" s="358">
        <v>77</v>
      </c>
      <c r="F111" s="358">
        <v>80</v>
      </c>
      <c r="G111" s="358">
        <v>83</v>
      </c>
      <c r="H111" s="358">
        <v>86</v>
      </c>
      <c r="I111" s="358">
        <v>88</v>
      </c>
      <c r="J111" s="358">
        <v>91</v>
      </c>
      <c r="K111" s="358">
        <v>95</v>
      </c>
      <c r="L111" s="358">
        <v>97</v>
      </c>
      <c r="M111" s="358">
        <v>100</v>
      </c>
      <c r="N111" s="358">
        <v>102</v>
      </c>
      <c r="O111" s="358">
        <v>107</v>
      </c>
      <c r="P111" s="358">
        <v>113</v>
      </c>
      <c r="Q111" s="358">
        <v>115</v>
      </c>
      <c r="R111" s="358">
        <v>118</v>
      </c>
      <c r="S111" s="358">
        <v>120</v>
      </c>
      <c r="T111" s="358">
        <v>123</v>
      </c>
      <c r="U111" s="358">
        <v>126</v>
      </c>
      <c r="V111" s="358">
        <v>80</v>
      </c>
      <c r="W111" s="358">
        <v>82</v>
      </c>
      <c r="X111" s="358">
        <v>84</v>
      </c>
      <c r="Y111" s="358">
        <v>86</v>
      </c>
      <c r="Z111" s="358">
        <v>88</v>
      </c>
      <c r="AA111" s="358">
        <v>89</v>
      </c>
      <c r="AB111" s="358">
        <v>91</v>
      </c>
      <c r="AC111" s="358">
        <v>94</v>
      </c>
      <c r="AD111" s="358">
        <v>96</v>
      </c>
      <c r="AE111" s="358">
        <v>101</v>
      </c>
      <c r="AF111" s="358">
        <v>106</v>
      </c>
      <c r="AG111" s="358">
        <v>111</v>
      </c>
      <c r="AH111" s="358">
        <v>112</v>
      </c>
      <c r="AI111" s="358">
        <v>113</v>
      </c>
      <c r="AJ111" s="358">
        <v>117</v>
      </c>
      <c r="AK111" s="358">
        <v>123</v>
      </c>
      <c r="AL111" s="358">
        <v>129</v>
      </c>
      <c r="AM111" s="358">
        <v>134</v>
      </c>
      <c r="AN111" s="358">
        <v>140</v>
      </c>
      <c r="AO111" s="358">
        <v>144</v>
      </c>
      <c r="AP111" s="358">
        <v>150</v>
      </c>
      <c r="AQ111" s="358">
        <v>156</v>
      </c>
      <c r="AR111" s="358">
        <v>160</v>
      </c>
      <c r="AS111" s="358">
        <v>172</v>
      </c>
      <c r="AT111" s="358">
        <v>180</v>
      </c>
      <c r="AU111" s="358">
        <v>190</v>
      </c>
      <c r="AV111" s="358">
        <v>199</v>
      </c>
      <c r="AW111" s="358">
        <v>207</v>
      </c>
      <c r="AX111" s="358">
        <v>81</v>
      </c>
      <c r="AY111" s="358">
        <v>85</v>
      </c>
      <c r="AZ111" s="358">
        <v>86</v>
      </c>
      <c r="BA111" s="358">
        <v>87</v>
      </c>
      <c r="BB111" s="358">
        <v>88</v>
      </c>
      <c r="BC111" s="358">
        <v>91</v>
      </c>
      <c r="BD111" s="358">
        <v>95</v>
      </c>
      <c r="BE111" s="358">
        <v>97</v>
      </c>
      <c r="BF111" s="358">
        <v>98</v>
      </c>
      <c r="BG111" s="358">
        <v>101</v>
      </c>
      <c r="BH111" s="358">
        <v>102</v>
      </c>
      <c r="BI111" s="358">
        <v>103</v>
      </c>
      <c r="BJ111" s="358">
        <v>105</v>
      </c>
      <c r="BK111" s="358">
        <v>106</v>
      </c>
      <c r="BL111" s="358">
        <v>107</v>
      </c>
      <c r="BM111" s="358">
        <v>109</v>
      </c>
      <c r="BN111" s="358">
        <v>110</v>
      </c>
      <c r="BO111" s="358">
        <v>113</v>
      </c>
      <c r="BP111" s="358">
        <v>118</v>
      </c>
      <c r="BQ111" s="358">
        <v>122</v>
      </c>
      <c r="BR111" s="358">
        <v>132</v>
      </c>
      <c r="BS111" s="358">
        <v>139</v>
      </c>
      <c r="BT111" s="358">
        <v>143</v>
      </c>
      <c r="BU111" s="358">
        <v>146</v>
      </c>
      <c r="BV111" s="358">
        <v>83</v>
      </c>
      <c r="BW111" s="358">
        <v>84</v>
      </c>
      <c r="BX111" s="358">
        <v>87</v>
      </c>
      <c r="BY111" s="358">
        <v>91</v>
      </c>
      <c r="BZ111" s="358">
        <v>96</v>
      </c>
      <c r="CA111" s="358">
        <v>100</v>
      </c>
      <c r="CB111" s="358">
        <v>107</v>
      </c>
      <c r="CC111" s="358">
        <v>112</v>
      </c>
      <c r="CD111" s="358">
        <v>115</v>
      </c>
      <c r="CE111" s="358">
        <v>119</v>
      </c>
      <c r="CF111" s="358">
        <v>121</v>
      </c>
      <c r="CG111" s="358">
        <v>128</v>
      </c>
      <c r="CH111" s="358">
        <v>130</v>
      </c>
      <c r="CI111" s="358">
        <v>134</v>
      </c>
      <c r="CJ111" s="358">
        <v>137</v>
      </c>
      <c r="CK111" s="358">
        <v>144</v>
      </c>
      <c r="CL111" s="358">
        <v>150</v>
      </c>
      <c r="CM111" s="358">
        <v>154</v>
      </c>
      <c r="CN111" s="358">
        <v>159</v>
      </c>
      <c r="CO111" s="358">
        <v>166</v>
      </c>
      <c r="CP111" s="358">
        <v>177</v>
      </c>
      <c r="CQ111" s="358">
        <v>190</v>
      </c>
      <c r="CR111" s="358">
        <v>195</v>
      </c>
      <c r="CS111" s="358">
        <v>72</v>
      </c>
      <c r="CT111" s="358">
        <v>67</v>
      </c>
      <c r="CU111" s="358">
        <v>61</v>
      </c>
      <c r="CV111" s="358">
        <v>55</v>
      </c>
      <c r="CW111" s="358">
        <v>49</v>
      </c>
      <c r="CX111" s="358">
        <v>44</v>
      </c>
      <c r="CY111" s="358">
        <v>37</v>
      </c>
      <c r="CZ111" s="358">
        <v>34</v>
      </c>
      <c r="DA111" s="358">
        <v>30</v>
      </c>
      <c r="DB111" s="358">
        <v>25</v>
      </c>
      <c r="DC111" s="358">
        <v>14</v>
      </c>
      <c r="DD111" s="358">
        <v>4</v>
      </c>
      <c r="DF111" s="358">
        <v>6</v>
      </c>
      <c r="DG111" s="358">
        <v>15</v>
      </c>
      <c r="DH111" s="358">
        <v>20</v>
      </c>
      <c r="DI111" s="358">
        <v>27</v>
      </c>
      <c r="DJ111" s="358">
        <v>36</v>
      </c>
      <c r="DK111" s="358">
        <v>43</v>
      </c>
      <c r="DL111" s="358">
        <v>51</v>
      </c>
      <c r="DM111" s="358">
        <v>63</v>
      </c>
      <c r="DN111" s="358">
        <v>66</v>
      </c>
      <c r="DO111" s="358">
        <v>77</v>
      </c>
      <c r="DP111" s="358">
        <v>86</v>
      </c>
      <c r="DQ111" s="358">
        <v>85</v>
      </c>
      <c r="DR111" s="358">
        <v>90</v>
      </c>
      <c r="DS111" s="358">
        <v>94</v>
      </c>
      <c r="DT111" s="358">
        <v>96</v>
      </c>
      <c r="DU111" s="358">
        <v>99</v>
      </c>
      <c r="DV111" s="358">
        <v>100</v>
      </c>
      <c r="DW111" s="358">
        <v>106</v>
      </c>
      <c r="DX111" s="358">
        <v>109</v>
      </c>
      <c r="DY111" s="358">
        <v>115</v>
      </c>
      <c r="DZ111" s="358">
        <v>120</v>
      </c>
      <c r="EA111" s="358">
        <v>124</v>
      </c>
      <c r="EB111" s="358">
        <v>128</v>
      </c>
      <c r="EC111" s="358">
        <v>133</v>
      </c>
      <c r="ED111" s="358">
        <v>139</v>
      </c>
      <c r="EE111" s="358">
        <v>145</v>
      </c>
      <c r="EF111" s="358">
        <v>148</v>
      </c>
      <c r="EG111" s="358">
        <v>152</v>
      </c>
      <c r="EH111" s="358">
        <v>157</v>
      </c>
      <c r="EI111" s="358">
        <v>162</v>
      </c>
      <c r="EJ111" s="358">
        <v>166</v>
      </c>
      <c r="EK111" s="358">
        <v>171</v>
      </c>
      <c r="EL111" s="358">
        <v>175</v>
      </c>
      <c r="EM111" s="358">
        <v>224</v>
      </c>
      <c r="EN111" s="358">
        <v>236</v>
      </c>
      <c r="EO111" s="358">
        <v>247</v>
      </c>
      <c r="EP111" s="358">
        <v>257</v>
      </c>
      <c r="EQ111" s="358">
        <v>264</v>
      </c>
      <c r="ES111" s="358">
        <v>276</v>
      </c>
      <c r="ET111" s="358">
        <v>281</v>
      </c>
      <c r="EU111" s="358">
        <v>290</v>
      </c>
      <c r="EV111" s="358">
        <v>296</v>
      </c>
      <c r="EW111" s="358">
        <v>220</v>
      </c>
      <c r="EX111" s="358">
        <v>231</v>
      </c>
      <c r="EY111" s="358">
        <v>242</v>
      </c>
      <c r="EZ111" s="358">
        <v>258</v>
      </c>
      <c r="FA111" s="358">
        <v>266</v>
      </c>
      <c r="FB111" s="358">
        <v>276</v>
      </c>
      <c r="FC111" s="358">
        <v>290</v>
      </c>
      <c r="FD111" s="358">
        <v>302</v>
      </c>
      <c r="FE111" s="358">
        <v>309</v>
      </c>
      <c r="FF111" s="358">
        <v>314</v>
      </c>
      <c r="FG111" s="358">
        <v>326</v>
      </c>
      <c r="FH111" s="358">
        <v>335</v>
      </c>
      <c r="FI111" s="358">
        <v>346</v>
      </c>
      <c r="FJ111" s="358">
        <v>352</v>
      </c>
      <c r="FK111" s="358">
        <v>357</v>
      </c>
      <c r="FL111" s="358">
        <v>199</v>
      </c>
      <c r="FM111" s="358">
        <v>209</v>
      </c>
      <c r="FN111" s="358">
        <v>215</v>
      </c>
      <c r="FO111" s="358">
        <v>222</v>
      </c>
      <c r="FP111" s="358">
        <v>235</v>
      </c>
      <c r="FQ111" s="358">
        <v>250</v>
      </c>
      <c r="FR111" s="358">
        <v>258</v>
      </c>
      <c r="FS111" s="358">
        <v>265</v>
      </c>
      <c r="FT111" s="358">
        <v>272</v>
      </c>
      <c r="FU111" s="358">
        <v>279</v>
      </c>
      <c r="FV111" s="358">
        <v>289</v>
      </c>
      <c r="FW111" s="358">
        <v>150</v>
      </c>
      <c r="FX111" s="358">
        <v>197</v>
      </c>
      <c r="FY111" s="358">
        <v>204</v>
      </c>
      <c r="FZ111" s="358">
        <v>232</v>
      </c>
      <c r="GA111" s="358">
        <v>301</v>
      </c>
      <c r="GB111" s="358">
        <v>337</v>
      </c>
      <c r="GC111" s="358">
        <v>189</v>
      </c>
      <c r="GD111" s="358">
        <v>225</v>
      </c>
      <c r="GE111" s="358">
        <v>254</v>
      </c>
      <c r="GF111" s="358">
        <v>90</v>
      </c>
      <c r="GG111" s="358">
        <v>170</v>
      </c>
      <c r="GH111" s="358">
        <v>182</v>
      </c>
      <c r="GI111" s="361">
        <v>208</v>
      </c>
    </row>
    <row r="112" spans="1:191">
      <c r="A112" s="336" t="s">
        <v>387</v>
      </c>
      <c r="B112" s="358">
        <v>84</v>
      </c>
      <c r="C112" s="358">
        <v>80</v>
      </c>
      <c r="D112" s="358">
        <v>82</v>
      </c>
      <c r="E112" s="358">
        <v>83</v>
      </c>
      <c r="F112" s="358">
        <v>86</v>
      </c>
      <c r="G112" s="358">
        <v>89</v>
      </c>
      <c r="H112" s="358">
        <v>92</v>
      </c>
      <c r="I112" s="358">
        <v>94</v>
      </c>
      <c r="J112" s="358">
        <v>97</v>
      </c>
      <c r="K112" s="358">
        <v>101</v>
      </c>
      <c r="L112" s="358">
        <v>103</v>
      </c>
      <c r="M112" s="358">
        <v>106</v>
      </c>
      <c r="N112" s="358">
        <v>108</v>
      </c>
      <c r="O112" s="358">
        <v>113</v>
      </c>
      <c r="P112" s="358">
        <v>119</v>
      </c>
      <c r="Q112" s="358">
        <v>121</v>
      </c>
      <c r="R112" s="358">
        <v>124</v>
      </c>
      <c r="S112" s="358">
        <v>126</v>
      </c>
      <c r="T112" s="358">
        <v>129</v>
      </c>
      <c r="U112" s="358">
        <v>132</v>
      </c>
      <c r="V112" s="358">
        <v>86</v>
      </c>
      <c r="W112" s="358">
        <v>88</v>
      </c>
      <c r="X112" s="358">
        <v>90</v>
      </c>
      <c r="Y112" s="358">
        <v>92</v>
      </c>
      <c r="Z112" s="358">
        <v>94</v>
      </c>
      <c r="AA112" s="358">
        <v>95</v>
      </c>
      <c r="AB112" s="358">
        <v>97</v>
      </c>
      <c r="AC112" s="358">
        <v>100</v>
      </c>
      <c r="AD112" s="358">
        <v>102</v>
      </c>
      <c r="AE112" s="358">
        <v>107</v>
      </c>
      <c r="AF112" s="358">
        <v>112</v>
      </c>
      <c r="AG112" s="358">
        <v>117</v>
      </c>
      <c r="AH112" s="358">
        <v>118</v>
      </c>
      <c r="AI112" s="358">
        <v>119</v>
      </c>
      <c r="AJ112" s="358">
        <v>123</v>
      </c>
      <c r="AK112" s="358">
        <v>129</v>
      </c>
      <c r="AL112" s="358">
        <v>135</v>
      </c>
      <c r="AM112" s="358">
        <v>140</v>
      </c>
      <c r="AN112" s="358">
        <v>146</v>
      </c>
      <c r="AO112" s="358">
        <v>150</v>
      </c>
      <c r="AP112" s="358">
        <v>156</v>
      </c>
      <c r="AQ112" s="358">
        <v>162</v>
      </c>
      <c r="AR112" s="358">
        <v>166</v>
      </c>
      <c r="AS112" s="358">
        <v>178</v>
      </c>
      <c r="AT112" s="358">
        <v>186</v>
      </c>
      <c r="AU112" s="358">
        <v>196</v>
      </c>
      <c r="AV112" s="358">
        <v>205</v>
      </c>
      <c r="AW112" s="358">
        <v>213</v>
      </c>
      <c r="AX112" s="358">
        <v>87</v>
      </c>
      <c r="AY112" s="358">
        <v>91</v>
      </c>
      <c r="AZ112" s="358">
        <v>92</v>
      </c>
      <c r="BA112" s="358">
        <v>93</v>
      </c>
      <c r="BB112" s="358">
        <v>94</v>
      </c>
      <c r="BC112" s="358">
        <v>97</v>
      </c>
      <c r="BD112" s="358">
        <v>101</v>
      </c>
      <c r="BE112" s="358">
        <v>103</v>
      </c>
      <c r="BF112" s="358">
        <v>104</v>
      </c>
      <c r="BG112" s="358">
        <v>107</v>
      </c>
      <c r="BH112" s="358">
        <v>108</v>
      </c>
      <c r="BI112" s="358">
        <v>109</v>
      </c>
      <c r="BJ112" s="358">
        <v>111</v>
      </c>
      <c r="BK112" s="358">
        <v>112</v>
      </c>
      <c r="BL112" s="358">
        <v>113</v>
      </c>
      <c r="BM112" s="358">
        <v>115</v>
      </c>
      <c r="BN112" s="358">
        <v>116</v>
      </c>
      <c r="BO112" s="358">
        <v>119</v>
      </c>
      <c r="BP112" s="358">
        <v>124</v>
      </c>
      <c r="BQ112" s="358">
        <v>128</v>
      </c>
      <c r="BR112" s="358">
        <v>138</v>
      </c>
      <c r="BS112" s="358">
        <v>145</v>
      </c>
      <c r="BT112" s="358">
        <v>149</v>
      </c>
      <c r="BU112" s="358">
        <v>152</v>
      </c>
      <c r="BV112" s="358">
        <v>89</v>
      </c>
      <c r="BW112" s="358">
        <v>90</v>
      </c>
      <c r="BX112" s="358">
        <v>93</v>
      </c>
      <c r="BY112" s="358">
        <v>97</v>
      </c>
      <c r="BZ112" s="358">
        <v>102</v>
      </c>
      <c r="CA112" s="358">
        <v>106</v>
      </c>
      <c r="CB112" s="358">
        <v>113</v>
      </c>
      <c r="CC112" s="358">
        <v>118</v>
      </c>
      <c r="CD112" s="358">
        <v>121</v>
      </c>
      <c r="CE112" s="358">
        <v>125</v>
      </c>
      <c r="CF112" s="358">
        <v>127</v>
      </c>
      <c r="CG112" s="358">
        <v>134</v>
      </c>
      <c r="CH112" s="358">
        <v>136</v>
      </c>
      <c r="CI112" s="358">
        <v>140</v>
      </c>
      <c r="CJ112" s="358">
        <v>143</v>
      </c>
      <c r="CK112" s="358">
        <v>150</v>
      </c>
      <c r="CL112" s="358">
        <v>156</v>
      </c>
      <c r="CM112" s="358">
        <v>160</v>
      </c>
      <c r="CN112" s="358">
        <v>165</v>
      </c>
      <c r="CO112" s="358">
        <v>172</v>
      </c>
      <c r="CP112" s="358">
        <v>183</v>
      </c>
      <c r="CQ112" s="358">
        <v>196</v>
      </c>
      <c r="CR112" s="358">
        <v>201</v>
      </c>
      <c r="CS112" s="358">
        <v>78</v>
      </c>
      <c r="CT112" s="358">
        <v>73</v>
      </c>
      <c r="CU112" s="358">
        <v>67</v>
      </c>
      <c r="CV112" s="358">
        <v>61</v>
      </c>
      <c r="CW112" s="358">
        <v>55</v>
      </c>
      <c r="CX112" s="358">
        <v>50</v>
      </c>
      <c r="CY112" s="358">
        <v>43</v>
      </c>
      <c r="CZ112" s="358">
        <v>40</v>
      </c>
      <c r="DA112" s="358">
        <v>36</v>
      </c>
      <c r="DB112" s="358">
        <v>31</v>
      </c>
      <c r="DC112" s="358">
        <v>20</v>
      </c>
      <c r="DD112" s="358">
        <v>10</v>
      </c>
      <c r="DE112" s="358">
        <v>6</v>
      </c>
      <c r="DG112" s="358">
        <v>9</v>
      </c>
      <c r="DH112" s="358">
        <v>14</v>
      </c>
      <c r="DI112" s="358">
        <v>21</v>
      </c>
      <c r="DJ112" s="358">
        <v>30</v>
      </c>
      <c r="DK112" s="358">
        <v>37</v>
      </c>
      <c r="DL112" s="358">
        <v>45</v>
      </c>
      <c r="DM112" s="358">
        <v>57</v>
      </c>
      <c r="DN112" s="358">
        <v>60</v>
      </c>
      <c r="DO112" s="358">
        <v>71</v>
      </c>
      <c r="DP112" s="358">
        <v>80</v>
      </c>
      <c r="DQ112" s="358">
        <v>91</v>
      </c>
      <c r="DR112" s="358">
        <v>96</v>
      </c>
      <c r="DS112" s="358">
        <v>100</v>
      </c>
      <c r="DT112" s="358">
        <v>102</v>
      </c>
      <c r="DU112" s="358">
        <v>105</v>
      </c>
      <c r="DV112" s="358">
        <v>106</v>
      </c>
      <c r="DW112" s="358">
        <v>112</v>
      </c>
      <c r="DX112" s="358">
        <v>115</v>
      </c>
      <c r="DY112" s="358">
        <v>121</v>
      </c>
      <c r="DZ112" s="358">
        <v>126</v>
      </c>
      <c r="EA112" s="358">
        <v>130</v>
      </c>
      <c r="EB112" s="358">
        <v>134</v>
      </c>
      <c r="EC112" s="358">
        <v>139</v>
      </c>
      <c r="ED112" s="358">
        <v>145</v>
      </c>
      <c r="EE112" s="358">
        <v>151</v>
      </c>
      <c r="EF112" s="358">
        <v>154</v>
      </c>
      <c r="EG112" s="358">
        <v>158</v>
      </c>
      <c r="EH112" s="358">
        <v>163</v>
      </c>
      <c r="EI112" s="358">
        <v>168</v>
      </c>
      <c r="EJ112" s="358">
        <v>172</v>
      </c>
      <c r="EK112" s="358">
        <v>177</v>
      </c>
      <c r="EL112" s="358">
        <v>181</v>
      </c>
      <c r="EM112" s="358">
        <v>230</v>
      </c>
      <c r="EN112" s="358">
        <v>242</v>
      </c>
      <c r="EO112" s="358">
        <v>253</v>
      </c>
      <c r="EP112" s="358">
        <v>263</v>
      </c>
      <c r="EQ112" s="358">
        <v>270</v>
      </c>
      <c r="ES112" s="358">
        <v>282</v>
      </c>
      <c r="ET112" s="358">
        <v>287</v>
      </c>
      <c r="EU112" s="358">
        <v>296</v>
      </c>
      <c r="EV112" s="358">
        <v>302</v>
      </c>
      <c r="EW112" s="358">
        <v>226</v>
      </c>
      <c r="EX112" s="358">
        <v>237</v>
      </c>
      <c r="EY112" s="358">
        <v>248</v>
      </c>
      <c r="EZ112" s="358">
        <v>264</v>
      </c>
      <c r="FA112" s="358">
        <v>272</v>
      </c>
      <c r="FB112" s="358">
        <v>282</v>
      </c>
      <c r="FC112" s="358">
        <v>296</v>
      </c>
      <c r="FD112" s="358">
        <v>308</v>
      </c>
      <c r="FE112" s="358">
        <v>315</v>
      </c>
      <c r="FF112" s="358">
        <v>320</v>
      </c>
      <c r="FG112" s="358">
        <v>332</v>
      </c>
      <c r="FH112" s="358">
        <v>341</v>
      </c>
      <c r="FI112" s="358">
        <v>352</v>
      </c>
      <c r="FJ112" s="358">
        <v>358</v>
      </c>
      <c r="FK112" s="358">
        <v>363</v>
      </c>
      <c r="FL112" s="358">
        <v>205</v>
      </c>
      <c r="FM112" s="358">
        <v>215</v>
      </c>
      <c r="FN112" s="358">
        <v>221</v>
      </c>
      <c r="FO112" s="358">
        <v>228</v>
      </c>
      <c r="FP112" s="358">
        <v>241</v>
      </c>
      <c r="FQ112" s="358">
        <v>256</v>
      </c>
      <c r="FR112" s="358">
        <v>264</v>
      </c>
      <c r="FS112" s="358">
        <v>271</v>
      </c>
      <c r="FT112" s="358">
        <v>278</v>
      </c>
      <c r="FU112" s="358">
        <v>285</v>
      </c>
      <c r="FV112" s="358">
        <v>295</v>
      </c>
      <c r="FW112" s="358">
        <v>156</v>
      </c>
      <c r="FX112" s="358">
        <v>203</v>
      </c>
      <c r="FY112" s="358">
        <v>210</v>
      </c>
      <c r="FZ112" s="358">
        <v>238</v>
      </c>
      <c r="GA112" s="358">
        <v>307</v>
      </c>
      <c r="GB112" s="358">
        <v>343</v>
      </c>
      <c r="GC112" s="358">
        <v>195</v>
      </c>
      <c r="GD112" s="358">
        <v>231</v>
      </c>
      <c r="GE112" s="358">
        <v>260</v>
      </c>
      <c r="GF112" s="358">
        <v>84</v>
      </c>
      <c r="GG112" s="358">
        <v>176</v>
      </c>
      <c r="GH112" s="358">
        <v>188</v>
      </c>
      <c r="GI112" s="361">
        <v>214</v>
      </c>
    </row>
    <row r="113" spans="1:191">
      <c r="A113" s="336" t="s">
        <v>386</v>
      </c>
      <c r="B113" s="358">
        <v>93</v>
      </c>
      <c r="C113" s="358">
        <v>89</v>
      </c>
      <c r="D113" s="358">
        <v>91</v>
      </c>
      <c r="E113" s="358">
        <v>92</v>
      </c>
      <c r="F113" s="358">
        <v>95</v>
      </c>
      <c r="G113" s="358">
        <v>98</v>
      </c>
      <c r="H113" s="358">
        <v>101</v>
      </c>
      <c r="I113" s="358">
        <v>103</v>
      </c>
      <c r="J113" s="358">
        <v>106</v>
      </c>
      <c r="K113" s="358">
        <v>110</v>
      </c>
      <c r="L113" s="358">
        <v>112</v>
      </c>
      <c r="M113" s="358">
        <v>115</v>
      </c>
      <c r="N113" s="358">
        <v>117</v>
      </c>
      <c r="O113" s="358">
        <v>122</v>
      </c>
      <c r="P113" s="358">
        <v>128</v>
      </c>
      <c r="Q113" s="358">
        <v>130</v>
      </c>
      <c r="R113" s="358">
        <v>133</v>
      </c>
      <c r="S113" s="358">
        <v>135</v>
      </c>
      <c r="T113" s="358">
        <v>138</v>
      </c>
      <c r="U113" s="358">
        <v>141</v>
      </c>
      <c r="V113" s="358">
        <v>95</v>
      </c>
      <c r="W113" s="358">
        <v>97</v>
      </c>
      <c r="X113" s="358">
        <v>99</v>
      </c>
      <c r="Y113" s="358">
        <v>101</v>
      </c>
      <c r="Z113" s="358">
        <v>103</v>
      </c>
      <c r="AA113" s="358">
        <v>104</v>
      </c>
      <c r="AB113" s="358">
        <v>106</v>
      </c>
      <c r="AC113" s="358">
        <v>109</v>
      </c>
      <c r="AD113" s="358">
        <v>111</v>
      </c>
      <c r="AE113" s="358">
        <v>116</v>
      </c>
      <c r="AF113" s="358">
        <v>121</v>
      </c>
      <c r="AG113" s="358">
        <v>126</v>
      </c>
      <c r="AH113" s="358">
        <v>127</v>
      </c>
      <c r="AI113" s="358">
        <v>128</v>
      </c>
      <c r="AJ113" s="358">
        <v>132</v>
      </c>
      <c r="AK113" s="358">
        <v>138</v>
      </c>
      <c r="AL113" s="358">
        <v>144</v>
      </c>
      <c r="AM113" s="358">
        <v>149</v>
      </c>
      <c r="AN113" s="358">
        <v>155</v>
      </c>
      <c r="AO113" s="358">
        <v>159</v>
      </c>
      <c r="AP113" s="358">
        <v>165</v>
      </c>
      <c r="AQ113" s="358">
        <v>171</v>
      </c>
      <c r="AR113" s="358">
        <v>175</v>
      </c>
      <c r="AS113" s="358">
        <v>187</v>
      </c>
      <c r="AT113" s="358">
        <v>195</v>
      </c>
      <c r="AU113" s="358">
        <v>205</v>
      </c>
      <c r="AV113" s="358">
        <v>214</v>
      </c>
      <c r="AW113" s="358">
        <v>222</v>
      </c>
      <c r="AX113" s="358">
        <v>96</v>
      </c>
      <c r="AY113" s="358">
        <v>100</v>
      </c>
      <c r="AZ113" s="358">
        <v>101</v>
      </c>
      <c r="BA113" s="358">
        <v>102</v>
      </c>
      <c r="BB113" s="358">
        <v>103</v>
      </c>
      <c r="BC113" s="358">
        <v>106</v>
      </c>
      <c r="BD113" s="358">
        <v>110</v>
      </c>
      <c r="BE113" s="358">
        <v>112</v>
      </c>
      <c r="BF113" s="358">
        <v>113</v>
      </c>
      <c r="BG113" s="358">
        <v>116</v>
      </c>
      <c r="BH113" s="358">
        <v>117</v>
      </c>
      <c r="BI113" s="358">
        <v>118</v>
      </c>
      <c r="BJ113" s="358">
        <v>120</v>
      </c>
      <c r="BK113" s="358">
        <v>121</v>
      </c>
      <c r="BL113" s="358">
        <v>122</v>
      </c>
      <c r="BM113" s="358">
        <v>124</v>
      </c>
      <c r="BN113" s="358">
        <v>125</v>
      </c>
      <c r="BO113" s="358">
        <v>128</v>
      </c>
      <c r="BP113" s="358">
        <v>133</v>
      </c>
      <c r="BQ113" s="358">
        <v>137</v>
      </c>
      <c r="BR113" s="358">
        <v>147</v>
      </c>
      <c r="BS113" s="358">
        <v>154</v>
      </c>
      <c r="BT113" s="358">
        <v>158</v>
      </c>
      <c r="BU113" s="358">
        <v>161</v>
      </c>
      <c r="BV113" s="358">
        <v>98</v>
      </c>
      <c r="BW113" s="358">
        <v>99</v>
      </c>
      <c r="BX113" s="358">
        <v>102</v>
      </c>
      <c r="BY113" s="358">
        <v>106</v>
      </c>
      <c r="BZ113" s="358">
        <v>111</v>
      </c>
      <c r="CA113" s="358">
        <v>115</v>
      </c>
      <c r="CB113" s="358">
        <v>122</v>
      </c>
      <c r="CC113" s="358">
        <v>127</v>
      </c>
      <c r="CD113" s="358">
        <v>130</v>
      </c>
      <c r="CE113" s="358">
        <v>134</v>
      </c>
      <c r="CF113" s="358">
        <v>136</v>
      </c>
      <c r="CG113" s="358">
        <v>143</v>
      </c>
      <c r="CH113" s="358">
        <v>145</v>
      </c>
      <c r="CI113" s="358">
        <v>149</v>
      </c>
      <c r="CJ113" s="358">
        <v>152</v>
      </c>
      <c r="CK113" s="358">
        <v>159</v>
      </c>
      <c r="CL113" s="358">
        <v>165</v>
      </c>
      <c r="CM113" s="358">
        <v>169</v>
      </c>
      <c r="CN113" s="358">
        <v>174</v>
      </c>
      <c r="CO113" s="358">
        <v>181</v>
      </c>
      <c r="CP113" s="358">
        <v>192</v>
      </c>
      <c r="CQ113" s="358">
        <v>205</v>
      </c>
      <c r="CR113" s="358">
        <v>210</v>
      </c>
      <c r="CS113" s="358">
        <v>87</v>
      </c>
      <c r="CT113" s="358">
        <v>82</v>
      </c>
      <c r="CU113" s="358">
        <v>76</v>
      </c>
      <c r="CV113" s="358">
        <v>70</v>
      </c>
      <c r="CW113" s="358">
        <v>64</v>
      </c>
      <c r="CX113" s="358">
        <v>59</v>
      </c>
      <c r="CY113" s="358">
        <v>52</v>
      </c>
      <c r="CZ113" s="358">
        <v>49</v>
      </c>
      <c r="DA113" s="358">
        <v>45</v>
      </c>
      <c r="DB113" s="358">
        <v>40</v>
      </c>
      <c r="DC113" s="358">
        <v>29</v>
      </c>
      <c r="DD113" s="358">
        <v>19</v>
      </c>
      <c r="DE113" s="358">
        <v>15</v>
      </c>
      <c r="DF113" s="358">
        <v>9</v>
      </c>
      <c r="DH113" s="358">
        <v>5</v>
      </c>
      <c r="DI113" s="358">
        <v>12</v>
      </c>
      <c r="DJ113" s="358">
        <v>21</v>
      </c>
      <c r="DK113" s="358">
        <v>28</v>
      </c>
      <c r="DL113" s="358">
        <v>36</v>
      </c>
      <c r="DM113" s="358">
        <v>48</v>
      </c>
      <c r="DN113" s="358">
        <v>51</v>
      </c>
      <c r="DO113" s="358">
        <v>62</v>
      </c>
      <c r="DP113" s="358">
        <v>71</v>
      </c>
      <c r="DQ113" s="358">
        <v>100</v>
      </c>
      <c r="DR113" s="358">
        <v>105</v>
      </c>
      <c r="DS113" s="358">
        <v>109</v>
      </c>
      <c r="DT113" s="358">
        <v>111</v>
      </c>
      <c r="DU113" s="358">
        <v>114</v>
      </c>
      <c r="DV113" s="358">
        <v>115</v>
      </c>
      <c r="DW113" s="358">
        <v>121</v>
      </c>
      <c r="DX113" s="358">
        <v>124</v>
      </c>
      <c r="DY113" s="358">
        <v>130</v>
      </c>
      <c r="DZ113" s="358">
        <v>135</v>
      </c>
      <c r="EA113" s="358">
        <v>139</v>
      </c>
      <c r="EB113" s="358">
        <v>143</v>
      </c>
      <c r="EC113" s="358">
        <v>148</v>
      </c>
      <c r="ED113" s="358">
        <v>154</v>
      </c>
      <c r="EE113" s="358">
        <v>160</v>
      </c>
      <c r="EF113" s="358">
        <v>163</v>
      </c>
      <c r="EG113" s="358">
        <v>167</v>
      </c>
      <c r="EH113" s="358">
        <v>172</v>
      </c>
      <c r="EI113" s="358">
        <v>177</v>
      </c>
      <c r="EJ113" s="358">
        <v>181</v>
      </c>
      <c r="EK113" s="358">
        <v>186</v>
      </c>
      <c r="EL113" s="358">
        <v>190</v>
      </c>
      <c r="EM113" s="358">
        <v>239</v>
      </c>
      <c r="EN113" s="358">
        <v>251</v>
      </c>
      <c r="EO113" s="358">
        <v>262</v>
      </c>
      <c r="EP113" s="358">
        <v>272</v>
      </c>
      <c r="EQ113" s="358">
        <v>279</v>
      </c>
      <c r="ES113" s="358">
        <v>291</v>
      </c>
      <c r="ET113" s="358">
        <v>296</v>
      </c>
      <c r="EU113" s="358">
        <v>305</v>
      </c>
      <c r="EV113" s="358">
        <v>311</v>
      </c>
      <c r="EW113" s="358">
        <v>235</v>
      </c>
      <c r="EX113" s="358">
        <v>246</v>
      </c>
      <c r="EY113" s="358">
        <v>257</v>
      </c>
      <c r="EZ113" s="358">
        <v>273</v>
      </c>
      <c r="FA113" s="358">
        <v>281</v>
      </c>
      <c r="FB113" s="358">
        <v>291</v>
      </c>
      <c r="FC113" s="358">
        <v>305</v>
      </c>
      <c r="FD113" s="358">
        <v>317</v>
      </c>
      <c r="FE113" s="358">
        <v>324</v>
      </c>
      <c r="FF113" s="358">
        <v>329</v>
      </c>
      <c r="FG113" s="358">
        <v>341</v>
      </c>
      <c r="FH113" s="358">
        <v>350</v>
      </c>
      <c r="FI113" s="358">
        <v>361</v>
      </c>
      <c r="FJ113" s="358">
        <v>367</v>
      </c>
      <c r="FK113" s="358">
        <v>372</v>
      </c>
      <c r="FL113" s="358">
        <v>214</v>
      </c>
      <c r="FM113" s="358">
        <v>224</v>
      </c>
      <c r="FN113" s="358">
        <v>230</v>
      </c>
      <c r="FO113" s="358">
        <v>237</v>
      </c>
      <c r="FP113" s="358">
        <v>250</v>
      </c>
      <c r="FQ113" s="358">
        <v>265</v>
      </c>
      <c r="FR113" s="358">
        <v>273</v>
      </c>
      <c r="FS113" s="358">
        <v>280</v>
      </c>
      <c r="FT113" s="358">
        <v>287</v>
      </c>
      <c r="FU113" s="358">
        <v>294</v>
      </c>
      <c r="FV113" s="358">
        <v>304</v>
      </c>
      <c r="FW113" s="358">
        <v>165</v>
      </c>
      <c r="FX113" s="358">
        <v>212</v>
      </c>
      <c r="FY113" s="358">
        <v>219</v>
      </c>
      <c r="FZ113" s="358">
        <v>247</v>
      </c>
      <c r="GA113" s="358">
        <v>316</v>
      </c>
      <c r="GB113" s="358">
        <v>352</v>
      </c>
      <c r="GC113" s="358">
        <v>204</v>
      </c>
      <c r="GD113" s="358">
        <v>240</v>
      </c>
      <c r="GE113" s="358">
        <v>269</v>
      </c>
      <c r="GF113" s="358">
        <v>75</v>
      </c>
      <c r="GG113" s="358">
        <v>185</v>
      </c>
      <c r="GH113" s="358">
        <v>197</v>
      </c>
      <c r="GI113" s="361">
        <v>223</v>
      </c>
    </row>
    <row r="114" spans="1:191">
      <c r="A114" s="336" t="s">
        <v>385</v>
      </c>
      <c r="B114" s="358">
        <v>98</v>
      </c>
      <c r="C114" s="358">
        <v>94</v>
      </c>
      <c r="D114" s="358">
        <v>96</v>
      </c>
      <c r="E114" s="358">
        <v>97</v>
      </c>
      <c r="F114" s="358">
        <v>100</v>
      </c>
      <c r="G114" s="358">
        <v>103</v>
      </c>
      <c r="H114" s="358">
        <v>106</v>
      </c>
      <c r="I114" s="358">
        <v>108</v>
      </c>
      <c r="J114" s="358">
        <v>111</v>
      </c>
      <c r="K114" s="358">
        <v>115</v>
      </c>
      <c r="L114" s="358">
        <v>117</v>
      </c>
      <c r="M114" s="358">
        <v>120</v>
      </c>
      <c r="N114" s="358">
        <v>122</v>
      </c>
      <c r="O114" s="358">
        <v>127</v>
      </c>
      <c r="P114" s="358">
        <v>133</v>
      </c>
      <c r="Q114" s="358">
        <v>135</v>
      </c>
      <c r="R114" s="358">
        <v>138</v>
      </c>
      <c r="S114" s="358">
        <v>140</v>
      </c>
      <c r="T114" s="358">
        <v>143</v>
      </c>
      <c r="U114" s="358">
        <v>146</v>
      </c>
      <c r="V114" s="358">
        <v>100</v>
      </c>
      <c r="W114" s="358">
        <v>102</v>
      </c>
      <c r="X114" s="358">
        <v>104</v>
      </c>
      <c r="Y114" s="358">
        <v>106</v>
      </c>
      <c r="Z114" s="358">
        <v>108</v>
      </c>
      <c r="AA114" s="358">
        <v>109</v>
      </c>
      <c r="AB114" s="358">
        <v>111</v>
      </c>
      <c r="AC114" s="358">
        <v>114</v>
      </c>
      <c r="AD114" s="358">
        <v>116</v>
      </c>
      <c r="AE114" s="358">
        <v>121</v>
      </c>
      <c r="AF114" s="358">
        <v>126</v>
      </c>
      <c r="AG114" s="358">
        <v>131</v>
      </c>
      <c r="AH114" s="358">
        <v>132</v>
      </c>
      <c r="AI114" s="358">
        <v>133</v>
      </c>
      <c r="AJ114" s="358">
        <v>137</v>
      </c>
      <c r="AK114" s="358">
        <v>143</v>
      </c>
      <c r="AL114" s="358">
        <v>149</v>
      </c>
      <c r="AM114" s="358">
        <v>154</v>
      </c>
      <c r="AN114" s="358">
        <v>160</v>
      </c>
      <c r="AO114" s="358">
        <v>164</v>
      </c>
      <c r="AP114" s="358">
        <v>170</v>
      </c>
      <c r="AQ114" s="358">
        <v>176</v>
      </c>
      <c r="AR114" s="358">
        <v>180</v>
      </c>
      <c r="AS114" s="358">
        <v>192</v>
      </c>
      <c r="AT114" s="358">
        <v>200</v>
      </c>
      <c r="AU114" s="358">
        <v>210</v>
      </c>
      <c r="AV114" s="358">
        <v>219</v>
      </c>
      <c r="AW114" s="358">
        <v>227</v>
      </c>
      <c r="AX114" s="358">
        <v>101</v>
      </c>
      <c r="AY114" s="358">
        <v>105</v>
      </c>
      <c r="AZ114" s="358">
        <v>106</v>
      </c>
      <c r="BA114" s="358">
        <v>107</v>
      </c>
      <c r="BB114" s="358">
        <v>108</v>
      </c>
      <c r="BC114" s="358">
        <v>111</v>
      </c>
      <c r="BD114" s="358">
        <v>115</v>
      </c>
      <c r="BE114" s="358">
        <v>117</v>
      </c>
      <c r="BF114" s="358">
        <v>118</v>
      </c>
      <c r="BG114" s="358">
        <v>121</v>
      </c>
      <c r="BH114" s="358">
        <v>122</v>
      </c>
      <c r="BI114" s="358">
        <v>123</v>
      </c>
      <c r="BJ114" s="358">
        <v>125</v>
      </c>
      <c r="BK114" s="358">
        <v>126</v>
      </c>
      <c r="BL114" s="358">
        <v>127</v>
      </c>
      <c r="BM114" s="358">
        <v>129</v>
      </c>
      <c r="BN114" s="358">
        <v>130</v>
      </c>
      <c r="BO114" s="358">
        <v>133</v>
      </c>
      <c r="BP114" s="358">
        <v>138</v>
      </c>
      <c r="BQ114" s="358">
        <v>142</v>
      </c>
      <c r="BR114" s="358">
        <v>152</v>
      </c>
      <c r="BS114" s="358">
        <v>159</v>
      </c>
      <c r="BT114" s="358">
        <v>163</v>
      </c>
      <c r="BU114" s="358">
        <v>166</v>
      </c>
      <c r="BV114" s="358">
        <v>103</v>
      </c>
      <c r="BW114" s="358">
        <v>104</v>
      </c>
      <c r="BX114" s="358">
        <v>107</v>
      </c>
      <c r="BY114" s="358">
        <v>111</v>
      </c>
      <c r="BZ114" s="358">
        <v>116</v>
      </c>
      <c r="CA114" s="358">
        <v>120</v>
      </c>
      <c r="CB114" s="358">
        <v>127</v>
      </c>
      <c r="CC114" s="358">
        <v>132</v>
      </c>
      <c r="CD114" s="358">
        <v>135</v>
      </c>
      <c r="CE114" s="358">
        <v>139</v>
      </c>
      <c r="CF114" s="358">
        <v>141</v>
      </c>
      <c r="CG114" s="358">
        <v>148</v>
      </c>
      <c r="CH114" s="358">
        <v>150</v>
      </c>
      <c r="CI114" s="358">
        <v>154</v>
      </c>
      <c r="CJ114" s="358">
        <v>157</v>
      </c>
      <c r="CK114" s="358">
        <v>164</v>
      </c>
      <c r="CL114" s="358">
        <v>170</v>
      </c>
      <c r="CM114" s="358">
        <v>174</v>
      </c>
      <c r="CN114" s="358">
        <v>179</v>
      </c>
      <c r="CO114" s="358">
        <v>186</v>
      </c>
      <c r="CP114" s="358">
        <v>197</v>
      </c>
      <c r="CQ114" s="358">
        <v>210</v>
      </c>
      <c r="CR114" s="358">
        <v>215</v>
      </c>
      <c r="CS114" s="358">
        <v>92</v>
      </c>
      <c r="CT114" s="358">
        <v>87</v>
      </c>
      <c r="CU114" s="358">
        <v>81</v>
      </c>
      <c r="CV114" s="358">
        <v>75</v>
      </c>
      <c r="CW114" s="358">
        <v>69</v>
      </c>
      <c r="CX114" s="358">
        <v>64</v>
      </c>
      <c r="CY114" s="358">
        <v>57</v>
      </c>
      <c r="CZ114" s="358">
        <v>54</v>
      </c>
      <c r="DA114" s="358">
        <v>50</v>
      </c>
      <c r="DB114" s="358">
        <v>45</v>
      </c>
      <c r="DC114" s="358">
        <v>34</v>
      </c>
      <c r="DD114" s="358">
        <v>24</v>
      </c>
      <c r="DE114" s="358">
        <v>20</v>
      </c>
      <c r="DF114" s="358">
        <v>14</v>
      </c>
      <c r="DG114" s="358">
        <v>5</v>
      </c>
      <c r="DI114" s="358">
        <v>7</v>
      </c>
      <c r="DJ114" s="358">
        <v>16</v>
      </c>
      <c r="DK114" s="358">
        <v>23</v>
      </c>
      <c r="DL114" s="358">
        <v>31</v>
      </c>
      <c r="DM114" s="358">
        <v>43</v>
      </c>
      <c r="DN114" s="358">
        <v>46</v>
      </c>
      <c r="DO114" s="358">
        <v>57</v>
      </c>
      <c r="DP114" s="358">
        <v>66</v>
      </c>
      <c r="DQ114" s="358">
        <v>105</v>
      </c>
      <c r="DR114" s="358">
        <v>110</v>
      </c>
      <c r="DS114" s="358">
        <v>114</v>
      </c>
      <c r="DT114" s="358">
        <v>116</v>
      </c>
      <c r="DU114" s="358">
        <v>119</v>
      </c>
      <c r="DV114" s="358">
        <v>120</v>
      </c>
      <c r="DW114" s="358">
        <v>126</v>
      </c>
      <c r="DX114" s="358">
        <v>129</v>
      </c>
      <c r="DY114" s="358">
        <v>135</v>
      </c>
      <c r="DZ114" s="358">
        <v>140</v>
      </c>
      <c r="EA114" s="358">
        <v>144</v>
      </c>
      <c r="EB114" s="358">
        <v>148</v>
      </c>
      <c r="EC114" s="358">
        <v>153</v>
      </c>
      <c r="ED114" s="358">
        <v>159</v>
      </c>
      <c r="EE114" s="358">
        <v>165</v>
      </c>
      <c r="EF114" s="358">
        <v>168</v>
      </c>
      <c r="EG114" s="358">
        <v>172</v>
      </c>
      <c r="EH114" s="358">
        <v>177</v>
      </c>
      <c r="EI114" s="358">
        <v>182</v>
      </c>
      <c r="EJ114" s="358">
        <v>186</v>
      </c>
      <c r="EK114" s="358">
        <v>191</v>
      </c>
      <c r="EL114" s="358">
        <v>195</v>
      </c>
      <c r="EM114" s="358">
        <v>244</v>
      </c>
      <c r="EN114" s="358">
        <v>256</v>
      </c>
      <c r="EO114" s="358">
        <v>267</v>
      </c>
      <c r="EP114" s="358">
        <v>277</v>
      </c>
      <c r="EQ114" s="358">
        <v>284</v>
      </c>
      <c r="ES114" s="358">
        <v>296</v>
      </c>
      <c r="ET114" s="358">
        <v>301</v>
      </c>
      <c r="EU114" s="358">
        <v>310</v>
      </c>
      <c r="EV114" s="358">
        <v>316</v>
      </c>
      <c r="EW114" s="358">
        <v>240</v>
      </c>
      <c r="EX114" s="358">
        <v>251</v>
      </c>
      <c r="EY114" s="358">
        <v>262</v>
      </c>
      <c r="EZ114" s="358">
        <v>278</v>
      </c>
      <c r="FA114" s="358">
        <v>286</v>
      </c>
      <c r="FB114" s="358">
        <v>296</v>
      </c>
      <c r="FC114" s="358">
        <v>310</v>
      </c>
      <c r="FD114" s="358">
        <v>322</v>
      </c>
      <c r="FE114" s="358">
        <v>329</v>
      </c>
      <c r="FF114" s="358">
        <v>334</v>
      </c>
      <c r="FG114" s="358">
        <v>346</v>
      </c>
      <c r="FH114" s="358">
        <v>355</v>
      </c>
      <c r="FI114" s="358">
        <v>366</v>
      </c>
      <c r="FJ114" s="358">
        <v>372</v>
      </c>
      <c r="FK114" s="358">
        <v>377</v>
      </c>
      <c r="FL114" s="358">
        <v>219</v>
      </c>
      <c r="FM114" s="358">
        <v>229</v>
      </c>
      <c r="FN114" s="358">
        <v>235</v>
      </c>
      <c r="FO114" s="358">
        <v>242</v>
      </c>
      <c r="FP114" s="358">
        <v>255</v>
      </c>
      <c r="FQ114" s="358">
        <v>270</v>
      </c>
      <c r="FR114" s="358">
        <v>278</v>
      </c>
      <c r="FS114" s="358">
        <v>285</v>
      </c>
      <c r="FT114" s="358">
        <v>292</v>
      </c>
      <c r="FU114" s="358">
        <v>299</v>
      </c>
      <c r="FV114" s="358">
        <v>309</v>
      </c>
      <c r="FW114" s="358">
        <v>170</v>
      </c>
      <c r="FX114" s="358">
        <v>217</v>
      </c>
      <c r="FY114" s="358">
        <v>224</v>
      </c>
      <c r="FZ114" s="358">
        <v>252</v>
      </c>
      <c r="GA114" s="358">
        <v>321</v>
      </c>
      <c r="GB114" s="358">
        <v>357</v>
      </c>
      <c r="GC114" s="358">
        <v>209</v>
      </c>
      <c r="GD114" s="358">
        <v>245</v>
      </c>
      <c r="GE114" s="358">
        <v>274</v>
      </c>
      <c r="GF114" s="358">
        <v>70</v>
      </c>
      <c r="GG114" s="358">
        <v>190</v>
      </c>
      <c r="GH114" s="358">
        <v>202</v>
      </c>
      <c r="GI114" s="361">
        <v>228</v>
      </c>
    </row>
    <row r="115" spans="1:191">
      <c r="A115" s="336" t="s">
        <v>384</v>
      </c>
      <c r="B115" s="358">
        <v>105</v>
      </c>
      <c r="C115" s="358">
        <v>101</v>
      </c>
      <c r="D115" s="358">
        <v>103</v>
      </c>
      <c r="E115" s="358">
        <v>104</v>
      </c>
      <c r="F115" s="358">
        <v>107</v>
      </c>
      <c r="G115" s="358">
        <v>110</v>
      </c>
      <c r="H115" s="358">
        <v>113</v>
      </c>
      <c r="I115" s="358">
        <v>115</v>
      </c>
      <c r="J115" s="358">
        <v>118</v>
      </c>
      <c r="K115" s="358">
        <v>122</v>
      </c>
      <c r="L115" s="358">
        <v>124</v>
      </c>
      <c r="M115" s="358">
        <v>127</v>
      </c>
      <c r="N115" s="358">
        <v>129</v>
      </c>
      <c r="O115" s="358">
        <v>134</v>
      </c>
      <c r="P115" s="358">
        <v>140</v>
      </c>
      <c r="Q115" s="358">
        <v>142</v>
      </c>
      <c r="R115" s="358">
        <v>145</v>
      </c>
      <c r="S115" s="358">
        <v>147</v>
      </c>
      <c r="T115" s="358">
        <v>150</v>
      </c>
      <c r="U115" s="358">
        <v>153</v>
      </c>
      <c r="V115" s="358">
        <v>107</v>
      </c>
      <c r="W115" s="358">
        <v>109</v>
      </c>
      <c r="X115" s="358">
        <v>111</v>
      </c>
      <c r="Y115" s="358">
        <v>113</v>
      </c>
      <c r="Z115" s="358">
        <v>115</v>
      </c>
      <c r="AA115" s="358">
        <v>116</v>
      </c>
      <c r="AB115" s="358">
        <v>118</v>
      </c>
      <c r="AC115" s="358">
        <v>121</v>
      </c>
      <c r="AD115" s="358">
        <v>123</v>
      </c>
      <c r="AE115" s="358">
        <v>128</v>
      </c>
      <c r="AF115" s="358">
        <v>133</v>
      </c>
      <c r="AG115" s="358">
        <v>138</v>
      </c>
      <c r="AH115" s="358">
        <v>139</v>
      </c>
      <c r="AI115" s="358">
        <v>140</v>
      </c>
      <c r="AJ115" s="358">
        <v>144</v>
      </c>
      <c r="AK115" s="358">
        <v>150</v>
      </c>
      <c r="AL115" s="358">
        <v>156</v>
      </c>
      <c r="AM115" s="358">
        <v>161</v>
      </c>
      <c r="AN115" s="358">
        <v>167</v>
      </c>
      <c r="AO115" s="358">
        <v>171</v>
      </c>
      <c r="AP115" s="358">
        <v>177</v>
      </c>
      <c r="AQ115" s="358">
        <v>183</v>
      </c>
      <c r="AR115" s="358">
        <v>187</v>
      </c>
      <c r="AS115" s="358">
        <v>199</v>
      </c>
      <c r="AT115" s="358">
        <v>207</v>
      </c>
      <c r="AU115" s="358">
        <v>217</v>
      </c>
      <c r="AV115" s="358">
        <v>226</v>
      </c>
      <c r="AW115" s="358">
        <v>234</v>
      </c>
      <c r="AX115" s="358">
        <v>108</v>
      </c>
      <c r="AY115" s="358">
        <v>112</v>
      </c>
      <c r="AZ115" s="358">
        <v>113</v>
      </c>
      <c r="BA115" s="358">
        <v>114</v>
      </c>
      <c r="BB115" s="358">
        <v>115</v>
      </c>
      <c r="BC115" s="358">
        <v>118</v>
      </c>
      <c r="BD115" s="358">
        <v>122</v>
      </c>
      <c r="BE115" s="358">
        <v>124</v>
      </c>
      <c r="BF115" s="358">
        <v>125</v>
      </c>
      <c r="BG115" s="358">
        <v>128</v>
      </c>
      <c r="BH115" s="358">
        <v>129</v>
      </c>
      <c r="BI115" s="358">
        <v>130</v>
      </c>
      <c r="BJ115" s="358">
        <v>132</v>
      </c>
      <c r="BK115" s="358">
        <v>133</v>
      </c>
      <c r="BL115" s="358">
        <v>134</v>
      </c>
      <c r="BM115" s="358">
        <v>136</v>
      </c>
      <c r="BN115" s="358">
        <v>137</v>
      </c>
      <c r="BO115" s="358">
        <v>140</v>
      </c>
      <c r="BP115" s="358">
        <v>145</v>
      </c>
      <c r="BQ115" s="358">
        <v>149</v>
      </c>
      <c r="BR115" s="358">
        <v>159</v>
      </c>
      <c r="BS115" s="358">
        <v>166</v>
      </c>
      <c r="BT115" s="358">
        <v>170</v>
      </c>
      <c r="BU115" s="358">
        <v>173</v>
      </c>
      <c r="BV115" s="358">
        <v>110</v>
      </c>
      <c r="BW115" s="358">
        <v>111</v>
      </c>
      <c r="BX115" s="358">
        <v>114</v>
      </c>
      <c r="BY115" s="358">
        <v>118</v>
      </c>
      <c r="BZ115" s="358">
        <v>123</v>
      </c>
      <c r="CA115" s="358">
        <v>127</v>
      </c>
      <c r="CB115" s="358">
        <v>134</v>
      </c>
      <c r="CC115" s="358">
        <v>139</v>
      </c>
      <c r="CD115" s="358">
        <v>142</v>
      </c>
      <c r="CE115" s="358">
        <v>146</v>
      </c>
      <c r="CF115" s="358">
        <v>148</v>
      </c>
      <c r="CG115" s="358">
        <v>155</v>
      </c>
      <c r="CH115" s="358">
        <v>157</v>
      </c>
      <c r="CI115" s="358">
        <v>161</v>
      </c>
      <c r="CJ115" s="358">
        <v>164</v>
      </c>
      <c r="CK115" s="358">
        <v>171</v>
      </c>
      <c r="CL115" s="358">
        <v>177</v>
      </c>
      <c r="CM115" s="358">
        <v>181</v>
      </c>
      <c r="CN115" s="358">
        <v>186</v>
      </c>
      <c r="CO115" s="358">
        <v>193</v>
      </c>
      <c r="CP115" s="358">
        <v>204</v>
      </c>
      <c r="CQ115" s="358">
        <v>217</v>
      </c>
      <c r="CR115" s="358">
        <v>222</v>
      </c>
      <c r="CS115" s="358">
        <v>99</v>
      </c>
      <c r="CT115" s="358">
        <v>94</v>
      </c>
      <c r="CU115" s="358">
        <v>88</v>
      </c>
      <c r="CV115" s="358">
        <v>82</v>
      </c>
      <c r="CW115" s="358">
        <v>76</v>
      </c>
      <c r="CX115" s="358">
        <v>71</v>
      </c>
      <c r="CY115" s="358">
        <v>64</v>
      </c>
      <c r="CZ115" s="358">
        <v>61</v>
      </c>
      <c r="DA115" s="358">
        <v>57</v>
      </c>
      <c r="DB115" s="358">
        <v>52</v>
      </c>
      <c r="DC115" s="358">
        <v>41</v>
      </c>
      <c r="DD115" s="358">
        <v>31</v>
      </c>
      <c r="DE115" s="358">
        <v>27</v>
      </c>
      <c r="DF115" s="358">
        <v>21</v>
      </c>
      <c r="DG115" s="358">
        <v>12</v>
      </c>
      <c r="DH115" s="358">
        <v>7</v>
      </c>
      <c r="DJ115" s="358">
        <v>9</v>
      </c>
      <c r="DK115" s="358">
        <v>16</v>
      </c>
      <c r="DL115" s="358">
        <v>24</v>
      </c>
      <c r="DM115" s="358">
        <v>36</v>
      </c>
      <c r="DN115" s="358">
        <v>39</v>
      </c>
      <c r="DO115" s="358">
        <v>50</v>
      </c>
      <c r="DP115" s="358">
        <v>59</v>
      </c>
      <c r="DQ115" s="358">
        <v>112</v>
      </c>
      <c r="DR115" s="358">
        <v>117</v>
      </c>
      <c r="DS115" s="358">
        <v>121</v>
      </c>
      <c r="DT115" s="358">
        <v>123</v>
      </c>
      <c r="DU115" s="358">
        <v>126</v>
      </c>
      <c r="DV115" s="358">
        <v>127</v>
      </c>
      <c r="DW115" s="358">
        <v>133</v>
      </c>
      <c r="DX115" s="358">
        <v>136</v>
      </c>
      <c r="DY115" s="358">
        <v>142</v>
      </c>
      <c r="DZ115" s="358">
        <v>147</v>
      </c>
      <c r="EA115" s="358">
        <v>151</v>
      </c>
      <c r="EB115" s="358">
        <v>155</v>
      </c>
      <c r="EC115" s="358">
        <v>160</v>
      </c>
      <c r="ED115" s="358">
        <v>166</v>
      </c>
      <c r="EE115" s="358">
        <v>172</v>
      </c>
      <c r="EF115" s="358">
        <v>175</v>
      </c>
      <c r="EG115" s="358">
        <v>179</v>
      </c>
      <c r="EH115" s="358">
        <v>184</v>
      </c>
      <c r="EI115" s="358">
        <v>189</v>
      </c>
      <c r="EJ115" s="358">
        <v>193</v>
      </c>
      <c r="EK115" s="358">
        <v>198</v>
      </c>
      <c r="EL115" s="358">
        <v>202</v>
      </c>
      <c r="EM115" s="358">
        <v>251</v>
      </c>
      <c r="EN115" s="358">
        <v>263</v>
      </c>
      <c r="EO115" s="358">
        <v>274</v>
      </c>
      <c r="EP115" s="358">
        <v>284</v>
      </c>
      <c r="EQ115" s="358">
        <v>291</v>
      </c>
      <c r="ES115" s="358">
        <v>303</v>
      </c>
      <c r="ET115" s="358">
        <v>308</v>
      </c>
      <c r="EU115" s="358">
        <v>317</v>
      </c>
      <c r="EV115" s="358">
        <v>323</v>
      </c>
      <c r="EW115" s="358">
        <v>247</v>
      </c>
      <c r="EX115" s="358">
        <v>258</v>
      </c>
      <c r="EY115" s="358">
        <v>269</v>
      </c>
      <c r="EZ115" s="358">
        <v>285</v>
      </c>
      <c r="FA115" s="358">
        <v>293</v>
      </c>
      <c r="FB115" s="358">
        <v>303</v>
      </c>
      <c r="FC115" s="358">
        <v>317</v>
      </c>
      <c r="FD115" s="358">
        <v>329</v>
      </c>
      <c r="FE115" s="358">
        <v>336</v>
      </c>
      <c r="FF115" s="358">
        <v>341</v>
      </c>
      <c r="FG115" s="358">
        <v>353</v>
      </c>
      <c r="FH115" s="358">
        <v>362</v>
      </c>
      <c r="FI115" s="358">
        <v>373</v>
      </c>
      <c r="FJ115" s="358">
        <v>379</v>
      </c>
      <c r="FK115" s="358">
        <v>384</v>
      </c>
      <c r="FL115" s="358">
        <v>226</v>
      </c>
      <c r="FM115" s="358">
        <v>236</v>
      </c>
      <c r="FN115" s="358">
        <v>242</v>
      </c>
      <c r="FO115" s="358">
        <v>249</v>
      </c>
      <c r="FP115" s="358">
        <v>262</v>
      </c>
      <c r="FQ115" s="358">
        <v>277</v>
      </c>
      <c r="FR115" s="358">
        <v>285</v>
      </c>
      <c r="FS115" s="358">
        <v>292</v>
      </c>
      <c r="FT115" s="358">
        <v>299</v>
      </c>
      <c r="FU115" s="358">
        <v>306</v>
      </c>
      <c r="FV115" s="358">
        <v>316</v>
      </c>
      <c r="FW115" s="358">
        <v>177</v>
      </c>
      <c r="FX115" s="358">
        <v>224</v>
      </c>
      <c r="FY115" s="358">
        <v>231</v>
      </c>
      <c r="FZ115" s="358">
        <v>259</v>
      </c>
      <c r="GA115" s="358">
        <v>328</v>
      </c>
      <c r="GB115" s="358">
        <v>364</v>
      </c>
      <c r="GC115" s="358">
        <v>216</v>
      </c>
      <c r="GD115" s="358">
        <v>252</v>
      </c>
      <c r="GE115" s="358">
        <v>281</v>
      </c>
      <c r="GF115" s="358">
        <v>63</v>
      </c>
      <c r="GG115" s="358">
        <v>197</v>
      </c>
      <c r="GH115" s="358">
        <v>209</v>
      </c>
      <c r="GI115" s="361">
        <v>235</v>
      </c>
    </row>
    <row r="116" spans="1:191">
      <c r="A116" s="336" t="s">
        <v>383</v>
      </c>
      <c r="B116" s="358">
        <v>114</v>
      </c>
      <c r="C116" s="358">
        <v>110</v>
      </c>
      <c r="D116" s="358">
        <v>112</v>
      </c>
      <c r="E116" s="358">
        <v>113</v>
      </c>
      <c r="F116" s="358">
        <v>116</v>
      </c>
      <c r="G116" s="358">
        <v>119</v>
      </c>
      <c r="H116" s="358">
        <v>122</v>
      </c>
      <c r="I116" s="358">
        <v>124</v>
      </c>
      <c r="J116" s="358">
        <v>127</v>
      </c>
      <c r="K116" s="358">
        <v>131</v>
      </c>
      <c r="L116" s="358">
        <v>133</v>
      </c>
      <c r="M116" s="358">
        <v>136</v>
      </c>
      <c r="N116" s="358">
        <v>138</v>
      </c>
      <c r="O116" s="358">
        <v>143</v>
      </c>
      <c r="P116" s="358">
        <v>149</v>
      </c>
      <c r="Q116" s="358">
        <v>151</v>
      </c>
      <c r="R116" s="358">
        <v>154</v>
      </c>
      <c r="S116" s="358">
        <v>156</v>
      </c>
      <c r="T116" s="358">
        <v>159</v>
      </c>
      <c r="U116" s="358">
        <v>162</v>
      </c>
      <c r="V116" s="358">
        <v>116</v>
      </c>
      <c r="W116" s="358">
        <v>118</v>
      </c>
      <c r="X116" s="358">
        <v>120</v>
      </c>
      <c r="Y116" s="358">
        <v>122</v>
      </c>
      <c r="Z116" s="358">
        <v>124</v>
      </c>
      <c r="AA116" s="358">
        <v>125</v>
      </c>
      <c r="AB116" s="358">
        <v>127</v>
      </c>
      <c r="AC116" s="358">
        <v>130</v>
      </c>
      <c r="AD116" s="358">
        <v>132</v>
      </c>
      <c r="AE116" s="358">
        <v>137</v>
      </c>
      <c r="AF116" s="358">
        <v>142</v>
      </c>
      <c r="AG116" s="358">
        <v>147</v>
      </c>
      <c r="AH116" s="358">
        <v>148</v>
      </c>
      <c r="AI116" s="358">
        <v>149</v>
      </c>
      <c r="AJ116" s="358">
        <v>153</v>
      </c>
      <c r="AK116" s="358">
        <v>159</v>
      </c>
      <c r="AL116" s="358">
        <v>165</v>
      </c>
      <c r="AM116" s="358">
        <v>170</v>
      </c>
      <c r="AN116" s="358">
        <v>176</v>
      </c>
      <c r="AO116" s="358">
        <v>180</v>
      </c>
      <c r="AP116" s="358">
        <v>186</v>
      </c>
      <c r="AQ116" s="358">
        <v>192</v>
      </c>
      <c r="AR116" s="358">
        <v>196</v>
      </c>
      <c r="AS116" s="358">
        <v>208</v>
      </c>
      <c r="AT116" s="358">
        <v>216</v>
      </c>
      <c r="AU116" s="358">
        <v>226</v>
      </c>
      <c r="AV116" s="358">
        <v>235</v>
      </c>
      <c r="AW116" s="358">
        <v>243</v>
      </c>
      <c r="AX116" s="358">
        <v>117</v>
      </c>
      <c r="AY116" s="358">
        <v>121</v>
      </c>
      <c r="AZ116" s="358">
        <v>122</v>
      </c>
      <c r="BA116" s="358">
        <v>123</v>
      </c>
      <c r="BB116" s="358">
        <v>124</v>
      </c>
      <c r="BC116" s="358">
        <v>127</v>
      </c>
      <c r="BD116" s="358">
        <v>131</v>
      </c>
      <c r="BE116" s="358">
        <v>133</v>
      </c>
      <c r="BF116" s="358">
        <v>134</v>
      </c>
      <c r="BG116" s="358">
        <v>137</v>
      </c>
      <c r="BH116" s="358">
        <v>138</v>
      </c>
      <c r="BI116" s="358">
        <v>139</v>
      </c>
      <c r="BJ116" s="358">
        <v>141</v>
      </c>
      <c r="BK116" s="358">
        <v>142</v>
      </c>
      <c r="BL116" s="358">
        <v>143</v>
      </c>
      <c r="BM116" s="358">
        <v>145</v>
      </c>
      <c r="BN116" s="358">
        <v>146</v>
      </c>
      <c r="BO116" s="358">
        <v>149</v>
      </c>
      <c r="BP116" s="358">
        <v>154</v>
      </c>
      <c r="BQ116" s="358">
        <v>158</v>
      </c>
      <c r="BR116" s="358">
        <v>168</v>
      </c>
      <c r="BS116" s="358">
        <v>175</v>
      </c>
      <c r="BT116" s="358">
        <v>179</v>
      </c>
      <c r="BU116" s="358">
        <v>182</v>
      </c>
      <c r="BV116" s="358">
        <v>119</v>
      </c>
      <c r="BW116" s="358">
        <v>120</v>
      </c>
      <c r="BX116" s="358">
        <v>123</v>
      </c>
      <c r="BY116" s="358">
        <v>127</v>
      </c>
      <c r="BZ116" s="358">
        <v>132</v>
      </c>
      <c r="CA116" s="358">
        <v>136</v>
      </c>
      <c r="CB116" s="358">
        <v>143</v>
      </c>
      <c r="CC116" s="358">
        <v>148</v>
      </c>
      <c r="CD116" s="358">
        <v>151</v>
      </c>
      <c r="CE116" s="358">
        <v>155</v>
      </c>
      <c r="CF116" s="358">
        <v>157</v>
      </c>
      <c r="CG116" s="358">
        <v>164</v>
      </c>
      <c r="CH116" s="358">
        <v>166</v>
      </c>
      <c r="CI116" s="358">
        <v>170</v>
      </c>
      <c r="CJ116" s="358">
        <v>173</v>
      </c>
      <c r="CK116" s="358">
        <v>180</v>
      </c>
      <c r="CL116" s="358">
        <v>186</v>
      </c>
      <c r="CM116" s="358">
        <v>190</v>
      </c>
      <c r="CN116" s="358">
        <v>195</v>
      </c>
      <c r="CO116" s="358">
        <v>202</v>
      </c>
      <c r="CP116" s="358">
        <v>213</v>
      </c>
      <c r="CQ116" s="358">
        <v>226</v>
      </c>
      <c r="CR116" s="358">
        <v>231</v>
      </c>
      <c r="CS116" s="358">
        <v>108</v>
      </c>
      <c r="CT116" s="358">
        <v>103</v>
      </c>
      <c r="CU116" s="358">
        <v>97</v>
      </c>
      <c r="CV116" s="358">
        <v>91</v>
      </c>
      <c r="CW116" s="358">
        <v>85</v>
      </c>
      <c r="CX116" s="358">
        <v>80</v>
      </c>
      <c r="CY116" s="358">
        <v>73</v>
      </c>
      <c r="CZ116" s="358">
        <v>70</v>
      </c>
      <c r="DA116" s="358">
        <v>66</v>
      </c>
      <c r="DB116" s="358">
        <v>61</v>
      </c>
      <c r="DC116" s="358">
        <v>50</v>
      </c>
      <c r="DD116" s="358">
        <v>40</v>
      </c>
      <c r="DE116" s="358">
        <v>36</v>
      </c>
      <c r="DF116" s="358">
        <v>30</v>
      </c>
      <c r="DG116" s="358">
        <v>21</v>
      </c>
      <c r="DH116" s="358">
        <v>16</v>
      </c>
      <c r="DI116" s="358">
        <v>9</v>
      </c>
      <c r="DK116" s="358">
        <v>7</v>
      </c>
      <c r="DL116" s="358">
        <v>15</v>
      </c>
      <c r="DM116" s="358">
        <v>27</v>
      </c>
      <c r="DN116" s="358">
        <v>30</v>
      </c>
      <c r="DO116" s="358">
        <v>41</v>
      </c>
      <c r="DP116" s="358">
        <v>50</v>
      </c>
      <c r="DQ116" s="358">
        <v>121</v>
      </c>
      <c r="DR116" s="358">
        <v>126</v>
      </c>
      <c r="DS116" s="358">
        <v>130</v>
      </c>
      <c r="DT116" s="358">
        <v>132</v>
      </c>
      <c r="DU116" s="358">
        <v>135</v>
      </c>
      <c r="DV116" s="358">
        <v>136</v>
      </c>
      <c r="DW116" s="358">
        <v>142</v>
      </c>
      <c r="DX116" s="358">
        <v>145</v>
      </c>
      <c r="DY116" s="358">
        <v>151</v>
      </c>
      <c r="DZ116" s="358">
        <v>156</v>
      </c>
      <c r="EA116" s="358">
        <v>160</v>
      </c>
      <c r="EB116" s="358">
        <v>164</v>
      </c>
      <c r="EC116" s="358">
        <v>169</v>
      </c>
      <c r="ED116" s="358">
        <v>175</v>
      </c>
      <c r="EE116" s="358">
        <v>181</v>
      </c>
      <c r="EF116" s="358">
        <v>184</v>
      </c>
      <c r="EG116" s="358">
        <v>188</v>
      </c>
      <c r="EH116" s="358">
        <v>193</v>
      </c>
      <c r="EI116" s="358">
        <v>198</v>
      </c>
      <c r="EJ116" s="358">
        <v>202</v>
      </c>
      <c r="EK116" s="358">
        <v>207</v>
      </c>
      <c r="EL116" s="358">
        <v>211</v>
      </c>
      <c r="EM116" s="358">
        <v>260</v>
      </c>
      <c r="EN116" s="358">
        <v>272</v>
      </c>
      <c r="EO116" s="358">
        <v>283</v>
      </c>
      <c r="EP116" s="358">
        <v>293</v>
      </c>
      <c r="EQ116" s="358">
        <v>300</v>
      </c>
      <c r="ES116" s="358">
        <v>312</v>
      </c>
      <c r="ET116" s="358">
        <v>317</v>
      </c>
      <c r="EU116" s="358">
        <v>326</v>
      </c>
      <c r="EV116" s="358">
        <v>332</v>
      </c>
      <c r="EW116" s="358">
        <v>256</v>
      </c>
      <c r="EX116" s="358">
        <v>267</v>
      </c>
      <c r="EY116" s="358">
        <v>278</v>
      </c>
      <c r="EZ116" s="358">
        <v>294</v>
      </c>
      <c r="FA116" s="358">
        <v>302</v>
      </c>
      <c r="FB116" s="358">
        <v>312</v>
      </c>
      <c r="FC116" s="358">
        <v>326</v>
      </c>
      <c r="FD116" s="358">
        <v>338</v>
      </c>
      <c r="FE116" s="358">
        <v>345</v>
      </c>
      <c r="FF116" s="358">
        <v>350</v>
      </c>
      <c r="FG116" s="358">
        <v>362</v>
      </c>
      <c r="FH116" s="358">
        <v>371</v>
      </c>
      <c r="FI116" s="358">
        <v>382</v>
      </c>
      <c r="FJ116" s="358">
        <v>388</v>
      </c>
      <c r="FK116" s="358">
        <v>393</v>
      </c>
      <c r="FL116" s="358">
        <v>235</v>
      </c>
      <c r="FM116" s="358">
        <v>245</v>
      </c>
      <c r="FN116" s="358">
        <v>251</v>
      </c>
      <c r="FO116" s="358">
        <v>258</v>
      </c>
      <c r="FP116" s="358">
        <v>271</v>
      </c>
      <c r="FQ116" s="358">
        <v>286</v>
      </c>
      <c r="FR116" s="358">
        <v>294</v>
      </c>
      <c r="FS116" s="358">
        <v>301</v>
      </c>
      <c r="FT116" s="358">
        <v>308</v>
      </c>
      <c r="FU116" s="358">
        <v>315</v>
      </c>
      <c r="FV116" s="358">
        <v>325</v>
      </c>
      <c r="FW116" s="358">
        <v>186</v>
      </c>
      <c r="FX116" s="358">
        <v>233</v>
      </c>
      <c r="FY116" s="358">
        <v>240</v>
      </c>
      <c r="FZ116" s="358">
        <v>268</v>
      </c>
      <c r="GA116" s="358">
        <v>337</v>
      </c>
      <c r="GB116" s="358">
        <v>373</v>
      </c>
      <c r="GC116" s="358">
        <v>225</v>
      </c>
      <c r="GD116" s="358">
        <v>261</v>
      </c>
      <c r="GE116" s="358">
        <v>290</v>
      </c>
      <c r="GF116" s="358">
        <v>54</v>
      </c>
      <c r="GG116" s="358">
        <v>206</v>
      </c>
      <c r="GH116" s="358">
        <v>218</v>
      </c>
      <c r="GI116" s="361">
        <v>244</v>
      </c>
    </row>
    <row r="117" spans="1:191">
      <c r="A117" s="336" t="s">
        <v>382</v>
      </c>
      <c r="B117" s="358">
        <v>121</v>
      </c>
      <c r="C117" s="358">
        <v>117</v>
      </c>
      <c r="D117" s="358">
        <v>119</v>
      </c>
      <c r="E117" s="358">
        <v>120</v>
      </c>
      <c r="F117" s="358">
        <v>123</v>
      </c>
      <c r="G117" s="358">
        <v>126</v>
      </c>
      <c r="H117" s="358">
        <v>129</v>
      </c>
      <c r="I117" s="358">
        <v>131</v>
      </c>
      <c r="J117" s="358">
        <v>134</v>
      </c>
      <c r="K117" s="358">
        <v>138</v>
      </c>
      <c r="L117" s="358">
        <v>140</v>
      </c>
      <c r="M117" s="358">
        <v>143</v>
      </c>
      <c r="N117" s="358">
        <v>145</v>
      </c>
      <c r="O117" s="358">
        <v>150</v>
      </c>
      <c r="P117" s="358">
        <v>156</v>
      </c>
      <c r="Q117" s="358">
        <v>158</v>
      </c>
      <c r="R117" s="358">
        <v>161</v>
      </c>
      <c r="S117" s="358">
        <v>163</v>
      </c>
      <c r="T117" s="358">
        <v>166</v>
      </c>
      <c r="U117" s="358">
        <v>169</v>
      </c>
      <c r="V117" s="358">
        <v>123</v>
      </c>
      <c r="W117" s="358">
        <v>125</v>
      </c>
      <c r="X117" s="358">
        <v>127</v>
      </c>
      <c r="Y117" s="358">
        <v>129</v>
      </c>
      <c r="Z117" s="358">
        <v>131</v>
      </c>
      <c r="AA117" s="358">
        <v>132</v>
      </c>
      <c r="AB117" s="358">
        <v>134</v>
      </c>
      <c r="AC117" s="358">
        <v>137</v>
      </c>
      <c r="AD117" s="358">
        <v>139</v>
      </c>
      <c r="AE117" s="358">
        <v>144</v>
      </c>
      <c r="AF117" s="358">
        <v>149</v>
      </c>
      <c r="AG117" s="358">
        <v>154</v>
      </c>
      <c r="AH117" s="358">
        <v>155</v>
      </c>
      <c r="AI117" s="358">
        <v>156</v>
      </c>
      <c r="AJ117" s="358">
        <v>160</v>
      </c>
      <c r="AK117" s="358">
        <v>166</v>
      </c>
      <c r="AL117" s="358">
        <v>172</v>
      </c>
      <c r="AM117" s="358">
        <v>177</v>
      </c>
      <c r="AN117" s="358">
        <v>183</v>
      </c>
      <c r="AO117" s="358">
        <v>187</v>
      </c>
      <c r="AP117" s="358">
        <v>193</v>
      </c>
      <c r="AQ117" s="358">
        <v>199</v>
      </c>
      <c r="AR117" s="358">
        <v>203</v>
      </c>
      <c r="AS117" s="358">
        <v>215</v>
      </c>
      <c r="AT117" s="358">
        <v>223</v>
      </c>
      <c r="AU117" s="358">
        <v>233</v>
      </c>
      <c r="AV117" s="358">
        <v>242</v>
      </c>
      <c r="AW117" s="358">
        <v>250</v>
      </c>
      <c r="AX117" s="358">
        <v>124</v>
      </c>
      <c r="AY117" s="358">
        <v>128</v>
      </c>
      <c r="AZ117" s="358">
        <v>129</v>
      </c>
      <c r="BA117" s="358">
        <v>130</v>
      </c>
      <c r="BB117" s="358">
        <v>131</v>
      </c>
      <c r="BC117" s="358">
        <v>134</v>
      </c>
      <c r="BD117" s="358">
        <v>138</v>
      </c>
      <c r="BE117" s="358">
        <v>140</v>
      </c>
      <c r="BF117" s="358">
        <v>141</v>
      </c>
      <c r="BG117" s="358">
        <v>144</v>
      </c>
      <c r="BH117" s="358">
        <v>145</v>
      </c>
      <c r="BI117" s="358">
        <v>146</v>
      </c>
      <c r="BJ117" s="358">
        <v>148</v>
      </c>
      <c r="BK117" s="358">
        <v>149</v>
      </c>
      <c r="BL117" s="358">
        <v>150</v>
      </c>
      <c r="BM117" s="358">
        <v>152</v>
      </c>
      <c r="BN117" s="358">
        <v>153</v>
      </c>
      <c r="BO117" s="358">
        <v>156</v>
      </c>
      <c r="BP117" s="358">
        <v>161</v>
      </c>
      <c r="BQ117" s="358">
        <v>165</v>
      </c>
      <c r="BR117" s="358">
        <v>175</v>
      </c>
      <c r="BS117" s="358">
        <v>182</v>
      </c>
      <c r="BT117" s="358">
        <v>186</v>
      </c>
      <c r="BU117" s="358">
        <v>189</v>
      </c>
      <c r="BV117" s="358">
        <v>126</v>
      </c>
      <c r="BW117" s="358">
        <v>127</v>
      </c>
      <c r="BX117" s="358">
        <v>130</v>
      </c>
      <c r="BY117" s="358">
        <v>134</v>
      </c>
      <c r="BZ117" s="358">
        <v>139</v>
      </c>
      <c r="CA117" s="358">
        <v>143</v>
      </c>
      <c r="CB117" s="358">
        <v>150</v>
      </c>
      <c r="CC117" s="358">
        <v>155</v>
      </c>
      <c r="CD117" s="358">
        <v>158</v>
      </c>
      <c r="CE117" s="358">
        <v>162</v>
      </c>
      <c r="CF117" s="358">
        <v>164</v>
      </c>
      <c r="CG117" s="358">
        <v>171</v>
      </c>
      <c r="CH117" s="358">
        <v>173</v>
      </c>
      <c r="CI117" s="358">
        <v>177</v>
      </c>
      <c r="CJ117" s="358">
        <v>180</v>
      </c>
      <c r="CK117" s="358">
        <v>187</v>
      </c>
      <c r="CL117" s="358">
        <v>193</v>
      </c>
      <c r="CM117" s="358">
        <v>197</v>
      </c>
      <c r="CN117" s="358">
        <v>202</v>
      </c>
      <c r="CO117" s="358">
        <v>209</v>
      </c>
      <c r="CP117" s="358">
        <v>220</v>
      </c>
      <c r="CQ117" s="358">
        <v>233</v>
      </c>
      <c r="CR117" s="358">
        <v>238</v>
      </c>
      <c r="CS117" s="358">
        <v>115</v>
      </c>
      <c r="CT117" s="358">
        <v>110</v>
      </c>
      <c r="CU117" s="358">
        <v>104</v>
      </c>
      <c r="CV117" s="358">
        <v>98</v>
      </c>
      <c r="CW117" s="358">
        <v>92</v>
      </c>
      <c r="CX117" s="358">
        <v>87</v>
      </c>
      <c r="CY117" s="358">
        <v>80</v>
      </c>
      <c r="CZ117" s="358">
        <v>77</v>
      </c>
      <c r="DA117" s="358">
        <v>73</v>
      </c>
      <c r="DB117" s="358">
        <v>68</v>
      </c>
      <c r="DC117" s="358">
        <v>57</v>
      </c>
      <c r="DD117" s="358">
        <v>47</v>
      </c>
      <c r="DE117" s="358">
        <v>43</v>
      </c>
      <c r="DF117" s="358">
        <v>37</v>
      </c>
      <c r="DG117" s="358">
        <v>28</v>
      </c>
      <c r="DH117" s="358">
        <v>23</v>
      </c>
      <c r="DI117" s="358">
        <v>16</v>
      </c>
      <c r="DJ117" s="358">
        <v>7</v>
      </c>
      <c r="DL117" s="358">
        <v>8</v>
      </c>
      <c r="DM117" s="358">
        <v>20</v>
      </c>
      <c r="DN117" s="358">
        <v>23</v>
      </c>
      <c r="DO117" s="358">
        <v>34</v>
      </c>
      <c r="DP117" s="358">
        <v>43</v>
      </c>
      <c r="DQ117" s="358">
        <v>128</v>
      </c>
      <c r="DR117" s="358">
        <v>133</v>
      </c>
      <c r="DS117" s="358">
        <v>137</v>
      </c>
      <c r="DT117" s="358">
        <v>139</v>
      </c>
      <c r="DU117" s="358">
        <v>142</v>
      </c>
      <c r="DV117" s="358">
        <v>143</v>
      </c>
      <c r="DW117" s="358">
        <v>149</v>
      </c>
      <c r="DX117" s="358">
        <v>152</v>
      </c>
      <c r="DY117" s="358">
        <v>158</v>
      </c>
      <c r="DZ117" s="358">
        <v>163</v>
      </c>
      <c r="EA117" s="358">
        <v>167</v>
      </c>
      <c r="EB117" s="358">
        <v>171</v>
      </c>
      <c r="EC117" s="358">
        <v>176</v>
      </c>
      <c r="ED117" s="358">
        <v>182</v>
      </c>
      <c r="EE117" s="358">
        <v>188</v>
      </c>
      <c r="EF117" s="358">
        <v>191</v>
      </c>
      <c r="EG117" s="358">
        <v>195</v>
      </c>
      <c r="EH117" s="358">
        <v>200</v>
      </c>
      <c r="EI117" s="358">
        <v>205</v>
      </c>
      <c r="EJ117" s="358">
        <v>209</v>
      </c>
      <c r="EK117" s="358">
        <v>214</v>
      </c>
      <c r="EL117" s="358">
        <v>218</v>
      </c>
      <c r="EM117" s="358">
        <v>267</v>
      </c>
      <c r="EN117" s="358">
        <v>279</v>
      </c>
      <c r="EO117" s="358">
        <v>290</v>
      </c>
      <c r="EP117" s="358">
        <v>300</v>
      </c>
      <c r="EQ117" s="358">
        <v>307</v>
      </c>
      <c r="ES117" s="358">
        <v>319</v>
      </c>
      <c r="ET117" s="358">
        <v>324</v>
      </c>
      <c r="EU117" s="358">
        <v>333</v>
      </c>
      <c r="EV117" s="358">
        <v>339</v>
      </c>
      <c r="EW117" s="358">
        <v>263</v>
      </c>
      <c r="EX117" s="358">
        <v>274</v>
      </c>
      <c r="EY117" s="358">
        <v>285</v>
      </c>
      <c r="EZ117" s="358">
        <v>301</v>
      </c>
      <c r="FA117" s="358">
        <v>309</v>
      </c>
      <c r="FB117" s="358">
        <v>319</v>
      </c>
      <c r="FC117" s="358">
        <v>333</v>
      </c>
      <c r="FD117" s="358">
        <v>345</v>
      </c>
      <c r="FE117" s="358">
        <v>352</v>
      </c>
      <c r="FF117" s="358">
        <v>357</v>
      </c>
      <c r="FG117" s="358">
        <v>369</v>
      </c>
      <c r="FH117" s="358">
        <v>378</v>
      </c>
      <c r="FI117" s="358">
        <v>389</v>
      </c>
      <c r="FJ117" s="358">
        <v>395</v>
      </c>
      <c r="FK117" s="358">
        <v>400</v>
      </c>
      <c r="FL117" s="358">
        <v>242</v>
      </c>
      <c r="FM117" s="358">
        <v>252</v>
      </c>
      <c r="FN117" s="358">
        <v>258</v>
      </c>
      <c r="FO117" s="358">
        <v>265</v>
      </c>
      <c r="FP117" s="358">
        <v>278</v>
      </c>
      <c r="FQ117" s="358">
        <v>293</v>
      </c>
      <c r="FR117" s="358">
        <v>301</v>
      </c>
      <c r="FS117" s="358">
        <v>308</v>
      </c>
      <c r="FT117" s="358">
        <v>315</v>
      </c>
      <c r="FU117" s="358">
        <v>322</v>
      </c>
      <c r="FV117" s="358">
        <v>332</v>
      </c>
      <c r="FW117" s="358">
        <v>193</v>
      </c>
      <c r="FX117" s="358">
        <v>240</v>
      </c>
      <c r="FY117" s="358">
        <v>247</v>
      </c>
      <c r="FZ117" s="358">
        <v>275</v>
      </c>
      <c r="GA117" s="358">
        <v>344</v>
      </c>
      <c r="GB117" s="358">
        <v>380</v>
      </c>
      <c r="GC117" s="358">
        <v>232</v>
      </c>
      <c r="GD117" s="358">
        <v>268</v>
      </c>
      <c r="GE117" s="358">
        <v>297</v>
      </c>
      <c r="GF117" s="358">
        <v>47</v>
      </c>
      <c r="GG117" s="358">
        <v>213</v>
      </c>
      <c r="GH117" s="358">
        <v>225</v>
      </c>
      <c r="GI117" s="361">
        <v>251</v>
      </c>
    </row>
    <row r="118" spans="1:191">
      <c r="A118" s="336" t="s">
        <v>381</v>
      </c>
      <c r="B118" s="358">
        <v>129</v>
      </c>
      <c r="C118" s="358">
        <v>125</v>
      </c>
      <c r="D118" s="358">
        <v>127</v>
      </c>
      <c r="E118" s="358">
        <v>128</v>
      </c>
      <c r="F118" s="358">
        <v>131</v>
      </c>
      <c r="G118" s="358">
        <v>134</v>
      </c>
      <c r="H118" s="358">
        <v>137</v>
      </c>
      <c r="I118" s="358">
        <v>139</v>
      </c>
      <c r="J118" s="358">
        <v>142</v>
      </c>
      <c r="K118" s="358">
        <v>146</v>
      </c>
      <c r="L118" s="358">
        <v>148</v>
      </c>
      <c r="M118" s="358">
        <v>151</v>
      </c>
      <c r="N118" s="358">
        <v>153</v>
      </c>
      <c r="O118" s="358">
        <v>158</v>
      </c>
      <c r="P118" s="358">
        <v>164</v>
      </c>
      <c r="Q118" s="358">
        <v>166</v>
      </c>
      <c r="R118" s="358">
        <v>169</v>
      </c>
      <c r="S118" s="358">
        <v>171</v>
      </c>
      <c r="T118" s="358">
        <v>174</v>
      </c>
      <c r="U118" s="358">
        <v>177</v>
      </c>
      <c r="V118" s="358">
        <v>131</v>
      </c>
      <c r="W118" s="358">
        <v>133</v>
      </c>
      <c r="X118" s="358">
        <v>135</v>
      </c>
      <c r="Y118" s="358">
        <v>137</v>
      </c>
      <c r="Z118" s="358">
        <v>139</v>
      </c>
      <c r="AA118" s="358">
        <v>140</v>
      </c>
      <c r="AB118" s="358">
        <v>142</v>
      </c>
      <c r="AC118" s="358">
        <v>145</v>
      </c>
      <c r="AD118" s="358">
        <v>147</v>
      </c>
      <c r="AE118" s="358">
        <v>152</v>
      </c>
      <c r="AF118" s="358">
        <v>157</v>
      </c>
      <c r="AG118" s="358">
        <v>162</v>
      </c>
      <c r="AH118" s="358">
        <v>163</v>
      </c>
      <c r="AI118" s="358">
        <v>164</v>
      </c>
      <c r="AJ118" s="358">
        <v>168</v>
      </c>
      <c r="AK118" s="358">
        <v>174</v>
      </c>
      <c r="AL118" s="358">
        <v>180</v>
      </c>
      <c r="AM118" s="358">
        <v>185</v>
      </c>
      <c r="AN118" s="358">
        <v>191</v>
      </c>
      <c r="AO118" s="358">
        <v>195</v>
      </c>
      <c r="AP118" s="358">
        <v>201</v>
      </c>
      <c r="AQ118" s="358">
        <v>207</v>
      </c>
      <c r="AR118" s="358">
        <v>211</v>
      </c>
      <c r="AS118" s="358">
        <v>223</v>
      </c>
      <c r="AT118" s="358">
        <v>231</v>
      </c>
      <c r="AU118" s="358">
        <v>241</v>
      </c>
      <c r="AV118" s="358">
        <v>250</v>
      </c>
      <c r="AW118" s="358">
        <v>258</v>
      </c>
      <c r="AX118" s="358">
        <v>132</v>
      </c>
      <c r="AY118" s="358">
        <v>136</v>
      </c>
      <c r="AZ118" s="358">
        <v>137</v>
      </c>
      <c r="BA118" s="358">
        <v>138</v>
      </c>
      <c r="BB118" s="358">
        <v>139</v>
      </c>
      <c r="BC118" s="358">
        <v>142</v>
      </c>
      <c r="BD118" s="358">
        <v>146</v>
      </c>
      <c r="BE118" s="358">
        <v>148</v>
      </c>
      <c r="BF118" s="358">
        <v>149</v>
      </c>
      <c r="BG118" s="358">
        <v>152</v>
      </c>
      <c r="BH118" s="358">
        <v>153</v>
      </c>
      <c r="BI118" s="358">
        <v>154</v>
      </c>
      <c r="BJ118" s="358">
        <v>156</v>
      </c>
      <c r="BK118" s="358">
        <v>157</v>
      </c>
      <c r="BL118" s="358">
        <v>158</v>
      </c>
      <c r="BM118" s="358">
        <v>160</v>
      </c>
      <c r="BN118" s="358">
        <v>161</v>
      </c>
      <c r="BO118" s="358">
        <v>164</v>
      </c>
      <c r="BP118" s="358">
        <v>169</v>
      </c>
      <c r="BQ118" s="358">
        <v>173</v>
      </c>
      <c r="BR118" s="358">
        <v>183</v>
      </c>
      <c r="BS118" s="358">
        <v>190</v>
      </c>
      <c r="BT118" s="358">
        <v>194</v>
      </c>
      <c r="BU118" s="358">
        <v>197</v>
      </c>
      <c r="BV118" s="358">
        <v>134</v>
      </c>
      <c r="BW118" s="358">
        <v>135</v>
      </c>
      <c r="BX118" s="358">
        <v>138</v>
      </c>
      <c r="BY118" s="358">
        <v>142</v>
      </c>
      <c r="BZ118" s="358">
        <v>147</v>
      </c>
      <c r="CA118" s="358">
        <v>151</v>
      </c>
      <c r="CB118" s="358">
        <v>158</v>
      </c>
      <c r="CC118" s="358">
        <v>163</v>
      </c>
      <c r="CD118" s="358">
        <v>166</v>
      </c>
      <c r="CE118" s="358">
        <v>170</v>
      </c>
      <c r="CF118" s="358">
        <v>172</v>
      </c>
      <c r="CG118" s="358">
        <v>179</v>
      </c>
      <c r="CH118" s="358">
        <v>181</v>
      </c>
      <c r="CI118" s="358">
        <v>185</v>
      </c>
      <c r="CJ118" s="358">
        <v>188</v>
      </c>
      <c r="CK118" s="358">
        <v>195</v>
      </c>
      <c r="CL118" s="358">
        <v>201</v>
      </c>
      <c r="CM118" s="358">
        <v>205</v>
      </c>
      <c r="CN118" s="358">
        <v>210</v>
      </c>
      <c r="CO118" s="358">
        <v>217</v>
      </c>
      <c r="CP118" s="358">
        <v>228</v>
      </c>
      <c r="CQ118" s="358">
        <v>241</v>
      </c>
      <c r="CR118" s="358">
        <v>246</v>
      </c>
      <c r="CS118" s="358">
        <v>123</v>
      </c>
      <c r="CT118" s="358">
        <v>118</v>
      </c>
      <c r="CU118" s="358">
        <v>112</v>
      </c>
      <c r="CV118" s="358">
        <v>106</v>
      </c>
      <c r="CW118" s="358">
        <v>100</v>
      </c>
      <c r="CX118" s="358">
        <v>95</v>
      </c>
      <c r="CY118" s="358">
        <v>88</v>
      </c>
      <c r="CZ118" s="358">
        <v>85</v>
      </c>
      <c r="DA118" s="358">
        <v>81</v>
      </c>
      <c r="DB118" s="358">
        <v>76</v>
      </c>
      <c r="DC118" s="358">
        <v>65</v>
      </c>
      <c r="DD118" s="358">
        <v>55</v>
      </c>
      <c r="DE118" s="358">
        <v>51</v>
      </c>
      <c r="DF118" s="358">
        <v>45</v>
      </c>
      <c r="DG118" s="358">
        <v>36</v>
      </c>
      <c r="DH118" s="358">
        <v>31</v>
      </c>
      <c r="DI118" s="358">
        <v>24</v>
      </c>
      <c r="DJ118" s="358">
        <v>15</v>
      </c>
      <c r="DK118" s="358">
        <v>8</v>
      </c>
      <c r="DM118" s="358">
        <v>12</v>
      </c>
      <c r="DN118" s="358">
        <v>15</v>
      </c>
      <c r="DO118" s="358">
        <v>26</v>
      </c>
      <c r="DP118" s="358">
        <v>35</v>
      </c>
      <c r="DQ118" s="358">
        <v>136</v>
      </c>
      <c r="DR118" s="358">
        <v>141</v>
      </c>
      <c r="DS118" s="358">
        <v>145</v>
      </c>
      <c r="DT118" s="358">
        <v>147</v>
      </c>
      <c r="DU118" s="358">
        <v>150</v>
      </c>
      <c r="DV118" s="358">
        <v>151</v>
      </c>
      <c r="DW118" s="358">
        <v>157</v>
      </c>
      <c r="DX118" s="358">
        <v>160</v>
      </c>
      <c r="DY118" s="358">
        <v>166</v>
      </c>
      <c r="DZ118" s="358">
        <v>171</v>
      </c>
      <c r="EA118" s="358">
        <v>175</v>
      </c>
      <c r="EB118" s="358">
        <v>179</v>
      </c>
      <c r="EC118" s="358">
        <v>184</v>
      </c>
      <c r="ED118" s="358">
        <v>190</v>
      </c>
      <c r="EE118" s="358">
        <v>196</v>
      </c>
      <c r="EF118" s="358">
        <v>199</v>
      </c>
      <c r="EG118" s="358">
        <v>203</v>
      </c>
      <c r="EH118" s="358">
        <v>208</v>
      </c>
      <c r="EI118" s="358">
        <v>213</v>
      </c>
      <c r="EJ118" s="358">
        <v>217</v>
      </c>
      <c r="EK118" s="358">
        <v>222</v>
      </c>
      <c r="EL118" s="358">
        <v>226</v>
      </c>
      <c r="EM118" s="358">
        <v>275</v>
      </c>
      <c r="EN118" s="358">
        <v>287</v>
      </c>
      <c r="EO118" s="358">
        <v>298</v>
      </c>
      <c r="EP118" s="358">
        <v>308</v>
      </c>
      <c r="EQ118" s="358">
        <v>315</v>
      </c>
      <c r="ES118" s="358">
        <v>327</v>
      </c>
      <c r="ET118" s="358">
        <v>332</v>
      </c>
      <c r="EU118" s="358">
        <v>341</v>
      </c>
      <c r="EV118" s="358">
        <v>347</v>
      </c>
      <c r="EW118" s="358">
        <v>271</v>
      </c>
      <c r="EX118" s="358">
        <v>282</v>
      </c>
      <c r="EY118" s="358">
        <v>293</v>
      </c>
      <c r="EZ118" s="358">
        <v>309</v>
      </c>
      <c r="FA118" s="358">
        <v>317</v>
      </c>
      <c r="FB118" s="358">
        <v>327</v>
      </c>
      <c r="FC118" s="358">
        <v>341</v>
      </c>
      <c r="FD118" s="358">
        <v>353</v>
      </c>
      <c r="FE118" s="358">
        <v>360</v>
      </c>
      <c r="FF118" s="358">
        <v>365</v>
      </c>
      <c r="FG118" s="358">
        <v>377</v>
      </c>
      <c r="FH118" s="358">
        <v>386</v>
      </c>
      <c r="FI118" s="358">
        <v>397</v>
      </c>
      <c r="FJ118" s="358">
        <v>403</v>
      </c>
      <c r="FK118" s="358">
        <v>408</v>
      </c>
      <c r="FL118" s="358">
        <v>250</v>
      </c>
      <c r="FM118" s="358">
        <v>260</v>
      </c>
      <c r="FN118" s="358">
        <v>266</v>
      </c>
      <c r="FO118" s="358">
        <v>273</v>
      </c>
      <c r="FP118" s="358">
        <v>286</v>
      </c>
      <c r="FQ118" s="358">
        <v>301</v>
      </c>
      <c r="FR118" s="358">
        <v>309</v>
      </c>
      <c r="FS118" s="358">
        <v>316</v>
      </c>
      <c r="FT118" s="358">
        <v>323</v>
      </c>
      <c r="FU118" s="358">
        <v>330</v>
      </c>
      <c r="FV118" s="358">
        <v>340</v>
      </c>
      <c r="FW118" s="358">
        <v>201</v>
      </c>
      <c r="FX118" s="358">
        <v>248</v>
      </c>
      <c r="FY118" s="358">
        <v>255</v>
      </c>
      <c r="FZ118" s="358">
        <v>283</v>
      </c>
      <c r="GA118" s="358">
        <v>352</v>
      </c>
      <c r="GB118" s="358">
        <v>388</v>
      </c>
      <c r="GC118" s="358">
        <v>240</v>
      </c>
      <c r="GD118" s="358">
        <v>276</v>
      </c>
      <c r="GE118" s="358">
        <v>305</v>
      </c>
      <c r="GF118" s="358">
        <v>39</v>
      </c>
      <c r="GG118" s="358">
        <v>221</v>
      </c>
      <c r="GH118" s="358">
        <v>233</v>
      </c>
      <c r="GI118" s="361">
        <v>259</v>
      </c>
    </row>
    <row r="119" spans="1:191">
      <c r="A119" s="336" t="s">
        <v>380</v>
      </c>
      <c r="B119" s="358">
        <v>141</v>
      </c>
      <c r="C119" s="358">
        <v>137</v>
      </c>
      <c r="D119" s="358">
        <v>139</v>
      </c>
      <c r="E119" s="358">
        <v>140</v>
      </c>
      <c r="F119" s="358">
        <v>143</v>
      </c>
      <c r="G119" s="358">
        <v>146</v>
      </c>
      <c r="H119" s="358">
        <v>149</v>
      </c>
      <c r="I119" s="358">
        <v>151</v>
      </c>
      <c r="J119" s="358">
        <v>154</v>
      </c>
      <c r="K119" s="358">
        <v>158</v>
      </c>
      <c r="L119" s="358">
        <v>160</v>
      </c>
      <c r="M119" s="358">
        <v>163</v>
      </c>
      <c r="N119" s="358">
        <v>165</v>
      </c>
      <c r="O119" s="358">
        <v>170</v>
      </c>
      <c r="P119" s="358">
        <v>176</v>
      </c>
      <c r="Q119" s="358">
        <v>178</v>
      </c>
      <c r="R119" s="358">
        <v>181</v>
      </c>
      <c r="S119" s="358">
        <v>183</v>
      </c>
      <c r="T119" s="358">
        <v>186</v>
      </c>
      <c r="U119" s="358">
        <v>189</v>
      </c>
      <c r="V119" s="358">
        <v>143</v>
      </c>
      <c r="W119" s="358">
        <v>145</v>
      </c>
      <c r="X119" s="358">
        <v>147</v>
      </c>
      <c r="Y119" s="358">
        <v>149</v>
      </c>
      <c r="Z119" s="358">
        <v>151</v>
      </c>
      <c r="AA119" s="358">
        <v>152</v>
      </c>
      <c r="AB119" s="358">
        <v>154</v>
      </c>
      <c r="AC119" s="358">
        <v>157</v>
      </c>
      <c r="AD119" s="358">
        <v>159</v>
      </c>
      <c r="AE119" s="358">
        <v>164</v>
      </c>
      <c r="AF119" s="358">
        <v>169</v>
      </c>
      <c r="AG119" s="358">
        <v>174</v>
      </c>
      <c r="AH119" s="358">
        <v>175</v>
      </c>
      <c r="AI119" s="358">
        <v>176</v>
      </c>
      <c r="AJ119" s="358">
        <v>180</v>
      </c>
      <c r="AK119" s="358">
        <v>186</v>
      </c>
      <c r="AL119" s="358">
        <v>192</v>
      </c>
      <c r="AM119" s="358">
        <v>197</v>
      </c>
      <c r="AN119" s="358">
        <v>203</v>
      </c>
      <c r="AO119" s="358">
        <v>207</v>
      </c>
      <c r="AP119" s="358">
        <v>213</v>
      </c>
      <c r="AQ119" s="358">
        <v>219</v>
      </c>
      <c r="AR119" s="358">
        <v>223</v>
      </c>
      <c r="AS119" s="358">
        <v>235</v>
      </c>
      <c r="AT119" s="358">
        <v>243</v>
      </c>
      <c r="AU119" s="358">
        <v>253</v>
      </c>
      <c r="AV119" s="358">
        <v>262</v>
      </c>
      <c r="AW119" s="358">
        <v>270</v>
      </c>
      <c r="AX119" s="358">
        <v>144</v>
      </c>
      <c r="AY119" s="358">
        <v>148</v>
      </c>
      <c r="AZ119" s="358">
        <v>149</v>
      </c>
      <c r="BA119" s="358">
        <v>150</v>
      </c>
      <c r="BB119" s="358">
        <v>151</v>
      </c>
      <c r="BC119" s="358">
        <v>154</v>
      </c>
      <c r="BD119" s="358">
        <v>158</v>
      </c>
      <c r="BE119" s="358">
        <v>160</v>
      </c>
      <c r="BF119" s="358">
        <v>161</v>
      </c>
      <c r="BG119" s="358">
        <v>164</v>
      </c>
      <c r="BH119" s="358">
        <v>165</v>
      </c>
      <c r="BI119" s="358">
        <v>166</v>
      </c>
      <c r="BJ119" s="358">
        <v>168</v>
      </c>
      <c r="BK119" s="358">
        <v>169</v>
      </c>
      <c r="BL119" s="358">
        <v>170</v>
      </c>
      <c r="BM119" s="358">
        <v>172</v>
      </c>
      <c r="BN119" s="358">
        <v>173</v>
      </c>
      <c r="BO119" s="358">
        <v>176</v>
      </c>
      <c r="BP119" s="358">
        <v>181</v>
      </c>
      <c r="BQ119" s="358">
        <v>185</v>
      </c>
      <c r="BR119" s="358">
        <v>195</v>
      </c>
      <c r="BS119" s="358">
        <v>202</v>
      </c>
      <c r="BT119" s="358">
        <v>206</v>
      </c>
      <c r="BU119" s="358">
        <v>209</v>
      </c>
      <c r="BV119" s="358">
        <v>146</v>
      </c>
      <c r="BW119" s="358">
        <v>147</v>
      </c>
      <c r="BX119" s="358">
        <v>150</v>
      </c>
      <c r="BY119" s="358">
        <v>154</v>
      </c>
      <c r="BZ119" s="358">
        <v>159</v>
      </c>
      <c r="CA119" s="358">
        <v>163</v>
      </c>
      <c r="CB119" s="358">
        <v>170</v>
      </c>
      <c r="CC119" s="358">
        <v>175</v>
      </c>
      <c r="CD119" s="358">
        <v>178</v>
      </c>
      <c r="CE119" s="358">
        <v>182</v>
      </c>
      <c r="CF119" s="358">
        <v>184</v>
      </c>
      <c r="CG119" s="358">
        <v>191</v>
      </c>
      <c r="CH119" s="358">
        <v>193</v>
      </c>
      <c r="CI119" s="358">
        <v>197</v>
      </c>
      <c r="CJ119" s="358">
        <v>200</v>
      </c>
      <c r="CK119" s="358">
        <v>207</v>
      </c>
      <c r="CL119" s="358">
        <v>213</v>
      </c>
      <c r="CM119" s="358">
        <v>217</v>
      </c>
      <c r="CN119" s="358">
        <v>222</v>
      </c>
      <c r="CO119" s="358">
        <v>229</v>
      </c>
      <c r="CP119" s="358">
        <v>240</v>
      </c>
      <c r="CQ119" s="358">
        <v>253</v>
      </c>
      <c r="CR119" s="358">
        <v>258</v>
      </c>
      <c r="CS119" s="358">
        <v>135</v>
      </c>
      <c r="CT119" s="358">
        <v>130</v>
      </c>
      <c r="CU119" s="358">
        <v>124</v>
      </c>
      <c r="CV119" s="358">
        <v>118</v>
      </c>
      <c r="CW119" s="358">
        <v>112</v>
      </c>
      <c r="CX119" s="358">
        <v>107</v>
      </c>
      <c r="CY119" s="358">
        <v>100</v>
      </c>
      <c r="CZ119" s="358">
        <v>97</v>
      </c>
      <c r="DA119" s="358">
        <v>93</v>
      </c>
      <c r="DB119" s="358">
        <v>88</v>
      </c>
      <c r="DC119" s="358">
        <v>77</v>
      </c>
      <c r="DD119" s="358">
        <v>67</v>
      </c>
      <c r="DE119" s="358">
        <v>63</v>
      </c>
      <c r="DF119" s="358">
        <v>57</v>
      </c>
      <c r="DG119" s="358">
        <v>48</v>
      </c>
      <c r="DH119" s="358">
        <v>43</v>
      </c>
      <c r="DI119" s="358">
        <v>36</v>
      </c>
      <c r="DJ119" s="358">
        <v>27</v>
      </c>
      <c r="DK119" s="358">
        <v>20</v>
      </c>
      <c r="DL119" s="358">
        <v>12</v>
      </c>
      <c r="DN119" s="358">
        <v>3</v>
      </c>
      <c r="DO119" s="358">
        <v>14</v>
      </c>
      <c r="DP119" s="358">
        <v>23</v>
      </c>
      <c r="DQ119" s="358">
        <v>148</v>
      </c>
      <c r="DR119" s="358">
        <v>153</v>
      </c>
      <c r="DS119" s="358">
        <v>157</v>
      </c>
      <c r="DT119" s="358">
        <v>159</v>
      </c>
      <c r="DU119" s="358">
        <v>162</v>
      </c>
      <c r="DV119" s="358">
        <v>163</v>
      </c>
      <c r="DW119" s="358">
        <v>169</v>
      </c>
      <c r="DX119" s="358">
        <v>172</v>
      </c>
      <c r="DY119" s="358">
        <v>178</v>
      </c>
      <c r="DZ119" s="358">
        <v>183</v>
      </c>
      <c r="EA119" s="358">
        <v>187</v>
      </c>
      <c r="EB119" s="358">
        <v>191</v>
      </c>
      <c r="EC119" s="358">
        <v>196</v>
      </c>
      <c r="ED119" s="358">
        <v>202</v>
      </c>
      <c r="EE119" s="358">
        <v>208</v>
      </c>
      <c r="EF119" s="358">
        <v>211</v>
      </c>
      <c r="EG119" s="358">
        <v>215</v>
      </c>
      <c r="EH119" s="358">
        <v>220</v>
      </c>
      <c r="EI119" s="358">
        <v>225</v>
      </c>
      <c r="EJ119" s="358">
        <v>229</v>
      </c>
      <c r="EK119" s="358">
        <v>234</v>
      </c>
      <c r="EL119" s="358">
        <v>238</v>
      </c>
      <c r="EM119" s="358">
        <v>287</v>
      </c>
      <c r="EN119" s="358">
        <v>299</v>
      </c>
      <c r="EO119" s="358">
        <v>310</v>
      </c>
      <c r="EP119" s="358">
        <v>320</v>
      </c>
      <c r="EQ119" s="358">
        <v>327</v>
      </c>
      <c r="ES119" s="358">
        <v>339</v>
      </c>
      <c r="ET119" s="358">
        <v>344</v>
      </c>
      <c r="EU119" s="358">
        <v>353</v>
      </c>
      <c r="EV119" s="358">
        <v>359</v>
      </c>
      <c r="EW119" s="358">
        <v>283</v>
      </c>
      <c r="EX119" s="358">
        <v>294</v>
      </c>
      <c r="EY119" s="358">
        <v>305</v>
      </c>
      <c r="EZ119" s="358">
        <v>321</v>
      </c>
      <c r="FA119" s="358">
        <v>329</v>
      </c>
      <c r="FB119" s="358">
        <v>339</v>
      </c>
      <c r="FC119" s="358">
        <v>353</v>
      </c>
      <c r="FD119" s="358">
        <v>365</v>
      </c>
      <c r="FE119" s="358">
        <v>372</v>
      </c>
      <c r="FF119" s="358">
        <v>377</v>
      </c>
      <c r="FG119" s="358">
        <v>389</v>
      </c>
      <c r="FH119" s="358">
        <v>398</v>
      </c>
      <c r="FI119" s="358">
        <v>409</v>
      </c>
      <c r="FJ119" s="358">
        <v>415</v>
      </c>
      <c r="FK119" s="358">
        <v>420</v>
      </c>
      <c r="FL119" s="358">
        <v>262</v>
      </c>
      <c r="FM119" s="358">
        <v>272</v>
      </c>
      <c r="FN119" s="358">
        <v>278</v>
      </c>
      <c r="FO119" s="358">
        <v>285</v>
      </c>
      <c r="FP119" s="358">
        <v>298</v>
      </c>
      <c r="FQ119" s="358">
        <v>313</v>
      </c>
      <c r="FR119" s="358">
        <v>321</v>
      </c>
      <c r="FS119" s="358">
        <v>328</v>
      </c>
      <c r="FT119" s="358">
        <v>335</v>
      </c>
      <c r="FU119" s="358">
        <v>342</v>
      </c>
      <c r="FV119" s="358">
        <v>352</v>
      </c>
      <c r="FW119" s="358">
        <v>213</v>
      </c>
      <c r="FX119" s="358">
        <v>260</v>
      </c>
      <c r="FY119" s="358">
        <v>267</v>
      </c>
      <c r="FZ119" s="358">
        <v>295</v>
      </c>
      <c r="GA119" s="358">
        <v>364</v>
      </c>
      <c r="GB119" s="358">
        <v>400</v>
      </c>
      <c r="GC119" s="358">
        <v>252</v>
      </c>
      <c r="GD119" s="358">
        <v>288</v>
      </c>
      <c r="GE119" s="358">
        <v>317</v>
      </c>
      <c r="GF119" s="358">
        <v>27</v>
      </c>
      <c r="GG119" s="358">
        <v>233</v>
      </c>
      <c r="GH119" s="358">
        <v>245</v>
      </c>
      <c r="GI119" s="361">
        <v>271</v>
      </c>
    </row>
    <row r="120" spans="1:191">
      <c r="A120" s="336" t="s">
        <v>379</v>
      </c>
      <c r="B120" s="358">
        <v>144</v>
      </c>
      <c r="C120" s="358">
        <v>140</v>
      </c>
      <c r="D120" s="358">
        <v>142</v>
      </c>
      <c r="E120" s="358">
        <v>143</v>
      </c>
      <c r="F120" s="358">
        <v>146</v>
      </c>
      <c r="G120" s="358">
        <v>149</v>
      </c>
      <c r="H120" s="358">
        <v>152</v>
      </c>
      <c r="I120" s="358">
        <v>154</v>
      </c>
      <c r="J120" s="358">
        <v>157</v>
      </c>
      <c r="K120" s="358">
        <v>161</v>
      </c>
      <c r="L120" s="358">
        <v>163</v>
      </c>
      <c r="M120" s="358">
        <v>166</v>
      </c>
      <c r="N120" s="358">
        <v>168</v>
      </c>
      <c r="O120" s="358">
        <v>173</v>
      </c>
      <c r="P120" s="358">
        <v>179</v>
      </c>
      <c r="Q120" s="358">
        <v>181</v>
      </c>
      <c r="R120" s="358">
        <v>184</v>
      </c>
      <c r="S120" s="358">
        <v>186</v>
      </c>
      <c r="T120" s="358">
        <v>189</v>
      </c>
      <c r="U120" s="358">
        <v>192</v>
      </c>
      <c r="V120" s="358">
        <v>146</v>
      </c>
      <c r="W120" s="358">
        <v>148</v>
      </c>
      <c r="X120" s="358">
        <v>150</v>
      </c>
      <c r="Y120" s="358">
        <v>152</v>
      </c>
      <c r="Z120" s="358">
        <v>154</v>
      </c>
      <c r="AA120" s="358">
        <v>155</v>
      </c>
      <c r="AB120" s="358">
        <v>157</v>
      </c>
      <c r="AC120" s="358">
        <v>160</v>
      </c>
      <c r="AD120" s="358">
        <v>162</v>
      </c>
      <c r="AE120" s="358">
        <v>167</v>
      </c>
      <c r="AF120" s="358">
        <v>172</v>
      </c>
      <c r="AG120" s="358">
        <v>177</v>
      </c>
      <c r="AH120" s="358">
        <v>178</v>
      </c>
      <c r="AI120" s="358">
        <v>179</v>
      </c>
      <c r="AJ120" s="358">
        <v>183</v>
      </c>
      <c r="AK120" s="358">
        <v>189</v>
      </c>
      <c r="AL120" s="358">
        <v>195</v>
      </c>
      <c r="AM120" s="358">
        <v>200</v>
      </c>
      <c r="AN120" s="358">
        <v>206</v>
      </c>
      <c r="AO120" s="358">
        <v>210</v>
      </c>
      <c r="AP120" s="358">
        <v>216</v>
      </c>
      <c r="AQ120" s="358">
        <v>222</v>
      </c>
      <c r="AR120" s="358">
        <v>226</v>
      </c>
      <c r="AS120" s="358">
        <v>238</v>
      </c>
      <c r="AT120" s="358">
        <v>246</v>
      </c>
      <c r="AU120" s="358">
        <v>256</v>
      </c>
      <c r="AV120" s="358">
        <v>265</v>
      </c>
      <c r="AW120" s="358">
        <v>273</v>
      </c>
      <c r="AX120" s="358">
        <v>147</v>
      </c>
      <c r="AY120" s="358">
        <v>151</v>
      </c>
      <c r="AZ120" s="358">
        <v>152</v>
      </c>
      <c r="BA120" s="358">
        <v>153</v>
      </c>
      <c r="BB120" s="358">
        <v>154</v>
      </c>
      <c r="BC120" s="358">
        <v>157</v>
      </c>
      <c r="BD120" s="358">
        <v>161</v>
      </c>
      <c r="BE120" s="358">
        <v>163</v>
      </c>
      <c r="BF120" s="358">
        <v>164</v>
      </c>
      <c r="BG120" s="358">
        <v>167</v>
      </c>
      <c r="BH120" s="358">
        <v>168</v>
      </c>
      <c r="BI120" s="358">
        <v>169</v>
      </c>
      <c r="BJ120" s="358">
        <v>171</v>
      </c>
      <c r="BK120" s="358">
        <v>172</v>
      </c>
      <c r="BL120" s="358">
        <v>173</v>
      </c>
      <c r="BM120" s="358">
        <v>175</v>
      </c>
      <c r="BN120" s="358">
        <v>176</v>
      </c>
      <c r="BO120" s="358">
        <v>179</v>
      </c>
      <c r="BP120" s="358">
        <v>184</v>
      </c>
      <c r="BQ120" s="358">
        <v>188</v>
      </c>
      <c r="BR120" s="358">
        <v>198</v>
      </c>
      <c r="BS120" s="358">
        <v>205</v>
      </c>
      <c r="BT120" s="358">
        <v>209</v>
      </c>
      <c r="BU120" s="358">
        <v>212</v>
      </c>
      <c r="BV120" s="358">
        <v>149</v>
      </c>
      <c r="BW120" s="358">
        <v>150</v>
      </c>
      <c r="BX120" s="358">
        <v>153</v>
      </c>
      <c r="BY120" s="358">
        <v>157</v>
      </c>
      <c r="BZ120" s="358">
        <v>162</v>
      </c>
      <c r="CA120" s="358">
        <v>166</v>
      </c>
      <c r="CB120" s="358">
        <v>173</v>
      </c>
      <c r="CC120" s="358">
        <v>178</v>
      </c>
      <c r="CD120" s="358">
        <v>181</v>
      </c>
      <c r="CE120" s="358">
        <v>185</v>
      </c>
      <c r="CF120" s="358">
        <v>187</v>
      </c>
      <c r="CG120" s="358">
        <v>194</v>
      </c>
      <c r="CH120" s="358">
        <v>196</v>
      </c>
      <c r="CI120" s="358">
        <v>200</v>
      </c>
      <c r="CJ120" s="358">
        <v>203</v>
      </c>
      <c r="CK120" s="358">
        <v>210</v>
      </c>
      <c r="CL120" s="358">
        <v>216</v>
      </c>
      <c r="CM120" s="358">
        <v>220</v>
      </c>
      <c r="CN120" s="358">
        <v>225</v>
      </c>
      <c r="CO120" s="358">
        <v>232</v>
      </c>
      <c r="CP120" s="358">
        <v>243</v>
      </c>
      <c r="CQ120" s="358">
        <v>256</v>
      </c>
      <c r="CR120" s="358">
        <v>261</v>
      </c>
      <c r="CS120" s="358">
        <v>138</v>
      </c>
      <c r="CT120" s="358">
        <v>133</v>
      </c>
      <c r="CU120" s="358">
        <v>127</v>
      </c>
      <c r="CV120" s="358">
        <v>121</v>
      </c>
      <c r="CW120" s="358">
        <v>115</v>
      </c>
      <c r="CX120" s="358">
        <v>110</v>
      </c>
      <c r="CY120" s="358">
        <v>103</v>
      </c>
      <c r="CZ120" s="358">
        <v>100</v>
      </c>
      <c r="DA120" s="358">
        <v>96</v>
      </c>
      <c r="DB120" s="358">
        <v>91</v>
      </c>
      <c r="DC120" s="358">
        <v>80</v>
      </c>
      <c r="DD120" s="358">
        <v>70</v>
      </c>
      <c r="DE120" s="358">
        <v>66</v>
      </c>
      <c r="DF120" s="358">
        <v>60</v>
      </c>
      <c r="DG120" s="358">
        <v>51</v>
      </c>
      <c r="DH120" s="358">
        <v>46</v>
      </c>
      <c r="DI120" s="358">
        <v>39</v>
      </c>
      <c r="DJ120" s="358">
        <v>30</v>
      </c>
      <c r="DK120" s="358">
        <v>23</v>
      </c>
      <c r="DL120" s="358">
        <v>15</v>
      </c>
      <c r="DM120" s="358">
        <v>3</v>
      </c>
      <c r="DO120" s="358">
        <v>11</v>
      </c>
      <c r="DP120" s="358">
        <v>20</v>
      </c>
      <c r="DQ120" s="358">
        <v>151</v>
      </c>
      <c r="DR120" s="358">
        <v>156</v>
      </c>
      <c r="DS120" s="358">
        <v>160</v>
      </c>
      <c r="DT120" s="358">
        <v>162</v>
      </c>
      <c r="DU120" s="358">
        <v>165</v>
      </c>
      <c r="DV120" s="358">
        <v>166</v>
      </c>
      <c r="DW120" s="358">
        <v>172</v>
      </c>
      <c r="DX120" s="358">
        <v>175</v>
      </c>
      <c r="DY120" s="358">
        <v>181</v>
      </c>
      <c r="DZ120" s="358">
        <v>186</v>
      </c>
      <c r="EA120" s="358">
        <v>190</v>
      </c>
      <c r="EB120" s="358">
        <v>194</v>
      </c>
      <c r="EC120" s="358">
        <v>199</v>
      </c>
      <c r="ED120" s="358">
        <v>205</v>
      </c>
      <c r="EE120" s="358">
        <v>211</v>
      </c>
      <c r="EF120" s="358">
        <v>214</v>
      </c>
      <c r="EG120" s="358">
        <v>218</v>
      </c>
      <c r="EH120" s="358">
        <v>223</v>
      </c>
      <c r="EI120" s="358">
        <v>228</v>
      </c>
      <c r="EJ120" s="358">
        <v>232</v>
      </c>
      <c r="EK120" s="358">
        <v>237</v>
      </c>
      <c r="EL120" s="358">
        <v>241</v>
      </c>
      <c r="EM120" s="358">
        <v>290</v>
      </c>
      <c r="EN120" s="358">
        <v>302</v>
      </c>
      <c r="EO120" s="358">
        <v>313</v>
      </c>
      <c r="EP120" s="358">
        <v>323</v>
      </c>
      <c r="EQ120" s="358">
        <v>330</v>
      </c>
      <c r="ES120" s="358">
        <v>342</v>
      </c>
      <c r="ET120" s="358">
        <v>347</v>
      </c>
      <c r="EU120" s="358">
        <v>356</v>
      </c>
      <c r="EV120" s="358">
        <v>362</v>
      </c>
      <c r="EW120" s="358">
        <v>286</v>
      </c>
      <c r="EX120" s="358">
        <v>297</v>
      </c>
      <c r="EY120" s="358">
        <v>308</v>
      </c>
      <c r="EZ120" s="358">
        <v>324</v>
      </c>
      <c r="FA120" s="358">
        <v>332</v>
      </c>
      <c r="FB120" s="358">
        <v>342</v>
      </c>
      <c r="FC120" s="358">
        <v>356</v>
      </c>
      <c r="FD120" s="358">
        <v>368</v>
      </c>
      <c r="FE120" s="358">
        <v>375</v>
      </c>
      <c r="FF120" s="358">
        <v>380</v>
      </c>
      <c r="FG120" s="358">
        <v>392</v>
      </c>
      <c r="FH120" s="358">
        <v>401</v>
      </c>
      <c r="FI120" s="358">
        <v>412</v>
      </c>
      <c r="FJ120" s="358">
        <v>418</v>
      </c>
      <c r="FK120" s="358">
        <v>423</v>
      </c>
      <c r="FL120" s="358">
        <v>265</v>
      </c>
      <c r="FM120" s="358">
        <v>275</v>
      </c>
      <c r="FN120" s="358">
        <v>281</v>
      </c>
      <c r="FO120" s="358">
        <v>288</v>
      </c>
      <c r="FP120" s="358">
        <v>301</v>
      </c>
      <c r="FQ120" s="358">
        <v>316</v>
      </c>
      <c r="FR120" s="358">
        <v>324</v>
      </c>
      <c r="FS120" s="358">
        <v>331</v>
      </c>
      <c r="FT120" s="358">
        <v>338</v>
      </c>
      <c r="FU120" s="358">
        <v>345</v>
      </c>
      <c r="FV120" s="358">
        <v>355</v>
      </c>
      <c r="FW120" s="358">
        <v>216</v>
      </c>
      <c r="FX120" s="358">
        <v>263</v>
      </c>
      <c r="FY120" s="358">
        <v>270</v>
      </c>
      <c r="FZ120" s="358">
        <v>298</v>
      </c>
      <c r="GA120" s="358">
        <v>367</v>
      </c>
      <c r="GB120" s="358">
        <v>403</v>
      </c>
      <c r="GC120" s="358">
        <v>255</v>
      </c>
      <c r="GD120" s="358">
        <v>291</v>
      </c>
      <c r="GE120" s="358">
        <v>320</v>
      </c>
      <c r="GF120" s="358">
        <v>24</v>
      </c>
      <c r="GG120" s="358">
        <v>236</v>
      </c>
      <c r="GH120" s="358">
        <v>248</v>
      </c>
      <c r="GI120" s="361">
        <v>274</v>
      </c>
    </row>
    <row r="121" spans="1:191">
      <c r="A121" s="336" t="s">
        <v>378</v>
      </c>
      <c r="B121" s="358">
        <v>155</v>
      </c>
      <c r="C121" s="358">
        <v>151</v>
      </c>
      <c r="D121" s="358">
        <v>153</v>
      </c>
      <c r="E121" s="358">
        <v>154</v>
      </c>
      <c r="F121" s="358">
        <v>157</v>
      </c>
      <c r="G121" s="358">
        <v>160</v>
      </c>
      <c r="H121" s="358">
        <v>163</v>
      </c>
      <c r="I121" s="358">
        <v>165</v>
      </c>
      <c r="J121" s="358">
        <v>168</v>
      </c>
      <c r="K121" s="358">
        <v>172</v>
      </c>
      <c r="L121" s="358">
        <v>174</v>
      </c>
      <c r="M121" s="358">
        <v>177</v>
      </c>
      <c r="N121" s="358">
        <v>179</v>
      </c>
      <c r="O121" s="358">
        <v>184</v>
      </c>
      <c r="P121" s="358">
        <v>190</v>
      </c>
      <c r="Q121" s="358">
        <v>192</v>
      </c>
      <c r="R121" s="358">
        <v>195</v>
      </c>
      <c r="S121" s="358">
        <v>197</v>
      </c>
      <c r="T121" s="358">
        <v>200</v>
      </c>
      <c r="U121" s="358">
        <v>203</v>
      </c>
      <c r="V121" s="358">
        <v>157</v>
      </c>
      <c r="W121" s="358">
        <v>159</v>
      </c>
      <c r="X121" s="358">
        <v>161</v>
      </c>
      <c r="Y121" s="358">
        <v>163</v>
      </c>
      <c r="Z121" s="358">
        <v>165</v>
      </c>
      <c r="AA121" s="358">
        <v>166</v>
      </c>
      <c r="AB121" s="358">
        <v>168</v>
      </c>
      <c r="AC121" s="358">
        <v>171</v>
      </c>
      <c r="AD121" s="358">
        <v>173</v>
      </c>
      <c r="AE121" s="358">
        <v>178</v>
      </c>
      <c r="AF121" s="358">
        <v>183</v>
      </c>
      <c r="AG121" s="358">
        <v>188</v>
      </c>
      <c r="AH121" s="358">
        <v>189</v>
      </c>
      <c r="AI121" s="358">
        <v>190</v>
      </c>
      <c r="AJ121" s="358">
        <v>194</v>
      </c>
      <c r="AK121" s="358">
        <v>200</v>
      </c>
      <c r="AL121" s="358">
        <v>206</v>
      </c>
      <c r="AM121" s="358">
        <v>211</v>
      </c>
      <c r="AN121" s="358">
        <v>217</v>
      </c>
      <c r="AO121" s="358">
        <v>221</v>
      </c>
      <c r="AP121" s="358">
        <v>227</v>
      </c>
      <c r="AQ121" s="358">
        <v>233</v>
      </c>
      <c r="AR121" s="358">
        <v>237</v>
      </c>
      <c r="AS121" s="358">
        <v>249</v>
      </c>
      <c r="AT121" s="358">
        <v>257</v>
      </c>
      <c r="AU121" s="358">
        <v>267</v>
      </c>
      <c r="AV121" s="358">
        <v>276</v>
      </c>
      <c r="AW121" s="358">
        <v>284</v>
      </c>
      <c r="AX121" s="358">
        <v>158</v>
      </c>
      <c r="AY121" s="358">
        <v>162</v>
      </c>
      <c r="AZ121" s="358">
        <v>163</v>
      </c>
      <c r="BA121" s="358">
        <v>164</v>
      </c>
      <c r="BB121" s="358">
        <v>165</v>
      </c>
      <c r="BC121" s="358">
        <v>168</v>
      </c>
      <c r="BD121" s="358">
        <v>172</v>
      </c>
      <c r="BE121" s="358">
        <v>174</v>
      </c>
      <c r="BF121" s="358">
        <v>175</v>
      </c>
      <c r="BG121" s="358">
        <v>178</v>
      </c>
      <c r="BH121" s="358">
        <v>179</v>
      </c>
      <c r="BI121" s="358">
        <v>180</v>
      </c>
      <c r="BJ121" s="358">
        <v>182</v>
      </c>
      <c r="BK121" s="358">
        <v>183</v>
      </c>
      <c r="BL121" s="358">
        <v>184</v>
      </c>
      <c r="BM121" s="358">
        <v>186</v>
      </c>
      <c r="BN121" s="358">
        <v>187</v>
      </c>
      <c r="BO121" s="358">
        <v>190</v>
      </c>
      <c r="BP121" s="358">
        <v>195</v>
      </c>
      <c r="BQ121" s="358">
        <v>199</v>
      </c>
      <c r="BR121" s="358">
        <v>209</v>
      </c>
      <c r="BS121" s="358">
        <v>216</v>
      </c>
      <c r="BT121" s="358">
        <v>220</v>
      </c>
      <c r="BU121" s="358">
        <v>223</v>
      </c>
      <c r="BV121" s="358">
        <v>160</v>
      </c>
      <c r="BW121" s="358">
        <v>161</v>
      </c>
      <c r="BX121" s="358">
        <v>164</v>
      </c>
      <c r="BY121" s="358">
        <v>168</v>
      </c>
      <c r="BZ121" s="358">
        <v>173</v>
      </c>
      <c r="CA121" s="358">
        <v>177</v>
      </c>
      <c r="CB121" s="358">
        <v>184</v>
      </c>
      <c r="CC121" s="358">
        <v>189</v>
      </c>
      <c r="CD121" s="358">
        <v>192</v>
      </c>
      <c r="CE121" s="358">
        <v>196</v>
      </c>
      <c r="CF121" s="358">
        <v>198</v>
      </c>
      <c r="CG121" s="358">
        <v>205</v>
      </c>
      <c r="CH121" s="358">
        <v>207</v>
      </c>
      <c r="CI121" s="358">
        <v>211</v>
      </c>
      <c r="CJ121" s="358">
        <v>214</v>
      </c>
      <c r="CK121" s="358">
        <v>221</v>
      </c>
      <c r="CL121" s="358">
        <v>227</v>
      </c>
      <c r="CM121" s="358">
        <v>231</v>
      </c>
      <c r="CN121" s="358">
        <v>236</v>
      </c>
      <c r="CO121" s="358">
        <v>243</v>
      </c>
      <c r="CP121" s="358">
        <v>254</v>
      </c>
      <c r="CQ121" s="358">
        <v>267</v>
      </c>
      <c r="CR121" s="358">
        <v>272</v>
      </c>
      <c r="CS121" s="358">
        <v>149</v>
      </c>
      <c r="CT121" s="358">
        <v>144</v>
      </c>
      <c r="CU121" s="358">
        <v>138</v>
      </c>
      <c r="CV121" s="358">
        <v>132</v>
      </c>
      <c r="CW121" s="358">
        <v>126</v>
      </c>
      <c r="CX121" s="358">
        <v>121</v>
      </c>
      <c r="CY121" s="358">
        <v>114</v>
      </c>
      <c r="CZ121" s="358">
        <v>111</v>
      </c>
      <c r="DA121" s="358">
        <v>107</v>
      </c>
      <c r="DB121" s="358">
        <v>102</v>
      </c>
      <c r="DC121" s="358">
        <v>91</v>
      </c>
      <c r="DD121" s="358">
        <v>81</v>
      </c>
      <c r="DE121" s="358">
        <v>77</v>
      </c>
      <c r="DF121" s="358">
        <v>71</v>
      </c>
      <c r="DG121" s="358">
        <v>62</v>
      </c>
      <c r="DH121" s="358">
        <v>57</v>
      </c>
      <c r="DI121" s="358">
        <v>50</v>
      </c>
      <c r="DJ121" s="358">
        <v>41</v>
      </c>
      <c r="DK121" s="358">
        <v>34</v>
      </c>
      <c r="DL121" s="358">
        <v>26</v>
      </c>
      <c r="DM121" s="358">
        <v>14</v>
      </c>
      <c r="DN121" s="358">
        <v>11</v>
      </c>
      <c r="DP121" s="358">
        <v>9</v>
      </c>
      <c r="DQ121" s="358">
        <v>162</v>
      </c>
      <c r="DR121" s="358">
        <v>167</v>
      </c>
      <c r="DS121" s="358">
        <v>171</v>
      </c>
      <c r="DT121" s="358">
        <v>173</v>
      </c>
      <c r="DU121" s="358">
        <v>176</v>
      </c>
      <c r="DV121" s="358">
        <v>177</v>
      </c>
      <c r="DW121" s="358">
        <v>183</v>
      </c>
      <c r="DX121" s="358">
        <v>186</v>
      </c>
      <c r="DY121" s="358">
        <v>192</v>
      </c>
      <c r="DZ121" s="358">
        <v>197</v>
      </c>
      <c r="EA121" s="358">
        <v>201</v>
      </c>
      <c r="EB121" s="358">
        <v>205</v>
      </c>
      <c r="EC121" s="358">
        <v>210</v>
      </c>
      <c r="ED121" s="358">
        <v>216</v>
      </c>
      <c r="EE121" s="358">
        <v>222</v>
      </c>
      <c r="EF121" s="358">
        <v>225</v>
      </c>
      <c r="EG121" s="358">
        <v>229</v>
      </c>
      <c r="EH121" s="358">
        <v>234</v>
      </c>
      <c r="EI121" s="358">
        <v>239</v>
      </c>
      <c r="EJ121" s="358">
        <v>243</v>
      </c>
      <c r="EK121" s="358">
        <v>248</v>
      </c>
      <c r="EL121" s="358">
        <v>252</v>
      </c>
      <c r="EM121" s="358">
        <v>301</v>
      </c>
      <c r="EN121" s="358">
        <v>313</v>
      </c>
      <c r="EO121" s="358">
        <v>324</v>
      </c>
      <c r="EP121" s="358">
        <v>334</v>
      </c>
      <c r="EQ121" s="358">
        <v>341</v>
      </c>
      <c r="ES121" s="358">
        <v>353</v>
      </c>
      <c r="ET121" s="358">
        <v>358</v>
      </c>
      <c r="EU121" s="358">
        <v>367</v>
      </c>
      <c r="EV121" s="358">
        <v>373</v>
      </c>
      <c r="EW121" s="358">
        <v>297</v>
      </c>
      <c r="EX121" s="358">
        <v>308</v>
      </c>
      <c r="EY121" s="358">
        <v>319</v>
      </c>
      <c r="EZ121" s="358">
        <v>335</v>
      </c>
      <c r="FA121" s="358">
        <v>343</v>
      </c>
      <c r="FB121" s="358">
        <v>353</v>
      </c>
      <c r="FC121" s="358">
        <v>367</v>
      </c>
      <c r="FD121" s="358">
        <v>379</v>
      </c>
      <c r="FE121" s="358">
        <v>386</v>
      </c>
      <c r="FF121" s="358">
        <v>391</v>
      </c>
      <c r="FG121" s="358">
        <v>403</v>
      </c>
      <c r="FH121" s="358">
        <v>412</v>
      </c>
      <c r="FI121" s="358">
        <v>423</v>
      </c>
      <c r="FJ121" s="358">
        <v>429</v>
      </c>
      <c r="FK121" s="358">
        <v>434</v>
      </c>
      <c r="FL121" s="358">
        <v>276</v>
      </c>
      <c r="FM121" s="358">
        <v>286</v>
      </c>
      <c r="FN121" s="358">
        <v>292</v>
      </c>
      <c r="FO121" s="358">
        <v>299</v>
      </c>
      <c r="FP121" s="358">
        <v>312</v>
      </c>
      <c r="FQ121" s="358">
        <v>327</v>
      </c>
      <c r="FR121" s="358">
        <v>335</v>
      </c>
      <c r="FS121" s="358">
        <v>342</v>
      </c>
      <c r="FT121" s="358">
        <v>349</v>
      </c>
      <c r="FU121" s="358">
        <v>356</v>
      </c>
      <c r="FV121" s="358">
        <v>366</v>
      </c>
      <c r="FW121" s="358">
        <v>227</v>
      </c>
      <c r="FX121" s="358">
        <v>274</v>
      </c>
      <c r="FY121" s="358">
        <v>281</v>
      </c>
      <c r="FZ121" s="358">
        <v>309</v>
      </c>
      <c r="GA121" s="358">
        <v>378</v>
      </c>
      <c r="GB121" s="358">
        <v>414</v>
      </c>
      <c r="GC121" s="358">
        <v>266</v>
      </c>
      <c r="GD121" s="358">
        <v>302</v>
      </c>
      <c r="GE121" s="358">
        <v>331</v>
      </c>
      <c r="GF121" s="358">
        <v>13</v>
      </c>
      <c r="GG121" s="358">
        <v>247</v>
      </c>
      <c r="GH121" s="358">
        <v>259</v>
      </c>
      <c r="GI121" s="361">
        <v>285</v>
      </c>
    </row>
    <row r="122" spans="1:191">
      <c r="A122" s="336" t="s">
        <v>377</v>
      </c>
      <c r="B122" s="358">
        <v>164</v>
      </c>
      <c r="C122" s="358">
        <v>160</v>
      </c>
      <c r="D122" s="358">
        <v>162</v>
      </c>
      <c r="E122" s="358">
        <v>163</v>
      </c>
      <c r="F122" s="358">
        <v>166</v>
      </c>
      <c r="G122" s="358">
        <v>169</v>
      </c>
      <c r="H122" s="358">
        <v>172</v>
      </c>
      <c r="I122" s="358">
        <v>174</v>
      </c>
      <c r="J122" s="358">
        <v>177</v>
      </c>
      <c r="K122" s="358">
        <v>181</v>
      </c>
      <c r="L122" s="358">
        <v>183</v>
      </c>
      <c r="M122" s="358">
        <v>186</v>
      </c>
      <c r="N122" s="358">
        <v>188</v>
      </c>
      <c r="O122" s="358">
        <v>193</v>
      </c>
      <c r="P122" s="358">
        <v>199</v>
      </c>
      <c r="Q122" s="358">
        <v>201</v>
      </c>
      <c r="R122" s="358">
        <v>204</v>
      </c>
      <c r="S122" s="358">
        <v>206</v>
      </c>
      <c r="T122" s="358">
        <v>209</v>
      </c>
      <c r="U122" s="358">
        <v>212</v>
      </c>
      <c r="V122" s="358">
        <v>166</v>
      </c>
      <c r="W122" s="358">
        <v>168</v>
      </c>
      <c r="X122" s="358">
        <v>170</v>
      </c>
      <c r="Y122" s="358">
        <v>172</v>
      </c>
      <c r="Z122" s="358">
        <v>174</v>
      </c>
      <c r="AA122" s="358">
        <v>175</v>
      </c>
      <c r="AB122" s="358">
        <v>177</v>
      </c>
      <c r="AC122" s="358">
        <v>180</v>
      </c>
      <c r="AD122" s="358">
        <v>182</v>
      </c>
      <c r="AE122" s="358">
        <v>187</v>
      </c>
      <c r="AF122" s="358">
        <v>192</v>
      </c>
      <c r="AG122" s="358">
        <v>197</v>
      </c>
      <c r="AH122" s="358">
        <v>198</v>
      </c>
      <c r="AI122" s="358">
        <v>199</v>
      </c>
      <c r="AJ122" s="358">
        <v>203</v>
      </c>
      <c r="AK122" s="358">
        <v>209</v>
      </c>
      <c r="AL122" s="358">
        <v>215</v>
      </c>
      <c r="AM122" s="358">
        <v>220</v>
      </c>
      <c r="AN122" s="358">
        <v>226</v>
      </c>
      <c r="AO122" s="358">
        <v>230</v>
      </c>
      <c r="AP122" s="358">
        <v>236</v>
      </c>
      <c r="AQ122" s="358">
        <v>242</v>
      </c>
      <c r="AR122" s="358">
        <v>246</v>
      </c>
      <c r="AS122" s="358">
        <v>258</v>
      </c>
      <c r="AT122" s="358">
        <v>266</v>
      </c>
      <c r="AU122" s="358">
        <v>276</v>
      </c>
      <c r="AV122" s="358">
        <v>285</v>
      </c>
      <c r="AW122" s="358">
        <v>293</v>
      </c>
      <c r="AX122" s="358">
        <v>167</v>
      </c>
      <c r="AY122" s="358">
        <v>171</v>
      </c>
      <c r="AZ122" s="358">
        <v>172</v>
      </c>
      <c r="BA122" s="358">
        <v>173</v>
      </c>
      <c r="BB122" s="358">
        <v>174</v>
      </c>
      <c r="BC122" s="358">
        <v>177</v>
      </c>
      <c r="BD122" s="358">
        <v>181</v>
      </c>
      <c r="BE122" s="358">
        <v>183</v>
      </c>
      <c r="BF122" s="358">
        <v>184</v>
      </c>
      <c r="BG122" s="358">
        <v>187</v>
      </c>
      <c r="BH122" s="358">
        <v>188</v>
      </c>
      <c r="BI122" s="358">
        <v>189</v>
      </c>
      <c r="BJ122" s="358">
        <v>191</v>
      </c>
      <c r="BK122" s="358">
        <v>192</v>
      </c>
      <c r="BL122" s="358">
        <v>193</v>
      </c>
      <c r="BM122" s="358">
        <v>195</v>
      </c>
      <c r="BN122" s="358">
        <v>196</v>
      </c>
      <c r="BO122" s="358">
        <v>199</v>
      </c>
      <c r="BP122" s="358">
        <v>204</v>
      </c>
      <c r="BQ122" s="358">
        <v>208</v>
      </c>
      <c r="BR122" s="358">
        <v>218</v>
      </c>
      <c r="BS122" s="358">
        <v>225</v>
      </c>
      <c r="BT122" s="358">
        <v>229</v>
      </c>
      <c r="BU122" s="358">
        <v>232</v>
      </c>
      <c r="BV122" s="358">
        <v>169</v>
      </c>
      <c r="BW122" s="358">
        <v>170</v>
      </c>
      <c r="BX122" s="358">
        <v>173</v>
      </c>
      <c r="BY122" s="358">
        <v>177</v>
      </c>
      <c r="BZ122" s="358">
        <v>182</v>
      </c>
      <c r="CA122" s="358">
        <v>186</v>
      </c>
      <c r="CB122" s="358">
        <v>193</v>
      </c>
      <c r="CC122" s="358">
        <v>198</v>
      </c>
      <c r="CD122" s="358">
        <v>201</v>
      </c>
      <c r="CE122" s="358">
        <v>205</v>
      </c>
      <c r="CF122" s="358">
        <v>207</v>
      </c>
      <c r="CG122" s="358">
        <v>214</v>
      </c>
      <c r="CH122" s="358">
        <v>216</v>
      </c>
      <c r="CI122" s="358">
        <v>220</v>
      </c>
      <c r="CJ122" s="358">
        <v>223</v>
      </c>
      <c r="CK122" s="358">
        <v>230</v>
      </c>
      <c r="CL122" s="358">
        <v>236</v>
      </c>
      <c r="CM122" s="358">
        <v>240</v>
      </c>
      <c r="CN122" s="358">
        <v>245</v>
      </c>
      <c r="CO122" s="358">
        <v>252</v>
      </c>
      <c r="CP122" s="358">
        <v>263</v>
      </c>
      <c r="CQ122" s="358">
        <v>276</v>
      </c>
      <c r="CR122" s="358">
        <v>281</v>
      </c>
      <c r="CS122" s="358">
        <v>158</v>
      </c>
      <c r="CT122" s="358">
        <v>153</v>
      </c>
      <c r="CU122" s="358">
        <v>147</v>
      </c>
      <c r="CV122" s="358">
        <v>141</v>
      </c>
      <c r="CW122" s="358">
        <v>135</v>
      </c>
      <c r="CX122" s="358">
        <v>130</v>
      </c>
      <c r="CY122" s="358">
        <v>123</v>
      </c>
      <c r="CZ122" s="358">
        <v>120</v>
      </c>
      <c r="DA122" s="358">
        <v>116</v>
      </c>
      <c r="DB122" s="358">
        <v>111</v>
      </c>
      <c r="DC122" s="358">
        <v>100</v>
      </c>
      <c r="DD122" s="358">
        <v>90</v>
      </c>
      <c r="DE122" s="358">
        <v>86</v>
      </c>
      <c r="DF122" s="358">
        <v>80</v>
      </c>
      <c r="DG122" s="358">
        <v>71</v>
      </c>
      <c r="DH122" s="358">
        <v>66</v>
      </c>
      <c r="DI122" s="358">
        <v>59</v>
      </c>
      <c r="DJ122" s="358">
        <v>50</v>
      </c>
      <c r="DK122" s="358">
        <v>43</v>
      </c>
      <c r="DL122" s="358">
        <v>35</v>
      </c>
      <c r="DM122" s="358">
        <v>23</v>
      </c>
      <c r="DN122" s="358">
        <v>20</v>
      </c>
      <c r="DO122" s="358">
        <v>9</v>
      </c>
      <c r="DQ122" s="358">
        <v>171</v>
      </c>
      <c r="DR122" s="358">
        <v>176</v>
      </c>
      <c r="DS122" s="358">
        <v>180</v>
      </c>
      <c r="DT122" s="358">
        <v>182</v>
      </c>
      <c r="DU122" s="358">
        <v>185</v>
      </c>
      <c r="DV122" s="358">
        <v>186</v>
      </c>
      <c r="DW122" s="358">
        <v>192</v>
      </c>
      <c r="DX122" s="358">
        <v>195</v>
      </c>
      <c r="DY122" s="358">
        <v>201</v>
      </c>
      <c r="DZ122" s="358">
        <v>206</v>
      </c>
      <c r="EA122" s="358">
        <v>210</v>
      </c>
      <c r="EB122" s="358">
        <v>214</v>
      </c>
      <c r="EC122" s="358">
        <v>219</v>
      </c>
      <c r="ED122" s="358">
        <v>225</v>
      </c>
      <c r="EE122" s="358">
        <v>231</v>
      </c>
      <c r="EF122" s="358">
        <v>234</v>
      </c>
      <c r="EG122" s="358">
        <v>238</v>
      </c>
      <c r="EH122" s="358">
        <v>243</v>
      </c>
      <c r="EI122" s="358">
        <v>248</v>
      </c>
      <c r="EJ122" s="358">
        <v>252</v>
      </c>
      <c r="EK122" s="358">
        <v>257</v>
      </c>
      <c r="EL122" s="358">
        <v>261</v>
      </c>
      <c r="EM122" s="358">
        <v>310</v>
      </c>
      <c r="EN122" s="358">
        <v>322</v>
      </c>
      <c r="EO122" s="358">
        <v>333</v>
      </c>
      <c r="EP122" s="358">
        <v>343</v>
      </c>
      <c r="EQ122" s="358">
        <v>350</v>
      </c>
      <c r="ES122" s="358">
        <v>362</v>
      </c>
      <c r="ET122" s="358">
        <v>367</v>
      </c>
      <c r="EU122" s="358">
        <v>376</v>
      </c>
      <c r="EV122" s="358">
        <v>382</v>
      </c>
      <c r="EW122" s="358">
        <v>306</v>
      </c>
      <c r="EX122" s="358">
        <v>317</v>
      </c>
      <c r="EY122" s="358">
        <v>328</v>
      </c>
      <c r="EZ122" s="358">
        <v>344</v>
      </c>
      <c r="FA122" s="358">
        <v>352</v>
      </c>
      <c r="FB122" s="358">
        <v>362</v>
      </c>
      <c r="FC122" s="358">
        <v>376</v>
      </c>
      <c r="FD122" s="358">
        <v>388</v>
      </c>
      <c r="FE122" s="358">
        <v>395</v>
      </c>
      <c r="FF122" s="358">
        <v>400</v>
      </c>
      <c r="FG122" s="358">
        <v>412</v>
      </c>
      <c r="FH122" s="358">
        <v>421</v>
      </c>
      <c r="FI122" s="358">
        <v>432</v>
      </c>
      <c r="FJ122" s="358">
        <v>438</v>
      </c>
      <c r="FK122" s="358">
        <v>443</v>
      </c>
      <c r="FL122" s="358">
        <v>285</v>
      </c>
      <c r="FM122" s="358">
        <v>295</v>
      </c>
      <c r="FN122" s="358">
        <v>301</v>
      </c>
      <c r="FO122" s="358">
        <v>308</v>
      </c>
      <c r="FP122" s="358">
        <v>321</v>
      </c>
      <c r="FQ122" s="358">
        <v>336</v>
      </c>
      <c r="FR122" s="358">
        <v>344</v>
      </c>
      <c r="FS122" s="358">
        <v>351</v>
      </c>
      <c r="FT122" s="358">
        <v>358</v>
      </c>
      <c r="FU122" s="358">
        <v>365</v>
      </c>
      <c r="FV122" s="358">
        <v>375</v>
      </c>
      <c r="FW122" s="358">
        <v>236</v>
      </c>
      <c r="FX122" s="358">
        <v>283</v>
      </c>
      <c r="FY122" s="358">
        <v>290</v>
      </c>
      <c r="FZ122" s="358">
        <v>318</v>
      </c>
      <c r="GA122" s="358">
        <v>387</v>
      </c>
      <c r="GB122" s="358">
        <v>423</v>
      </c>
      <c r="GC122" s="358">
        <v>275</v>
      </c>
      <c r="GD122" s="358">
        <v>311</v>
      </c>
      <c r="GE122" s="358">
        <v>340</v>
      </c>
      <c r="GF122" s="358">
        <v>4</v>
      </c>
      <c r="GG122" s="358">
        <v>256</v>
      </c>
      <c r="GH122" s="358">
        <v>268</v>
      </c>
      <c r="GI122" s="361">
        <v>294</v>
      </c>
    </row>
    <row r="123" spans="1:191">
      <c r="A123" s="336" t="s">
        <v>376</v>
      </c>
      <c r="B123" s="358">
        <v>7</v>
      </c>
      <c r="C123" s="358">
        <v>11</v>
      </c>
      <c r="D123" s="358">
        <v>13</v>
      </c>
      <c r="E123" s="358">
        <v>14</v>
      </c>
      <c r="F123" s="358">
        <v>17</v>
      </c>
      <c r="G123" s="358">
        <v>20</v>
      </c>
      <c r="H123" s="358">
        <v>23</v>
      </c>
      <c r="I123" s="358">
        <v>25</v>
      </c>
      <c r="J123" s="358">
        <v>28</v>
      </c>
      <c r="K123" s="358">
        <v>32</v>
      </c>
      <c r="L123" s="358">
        <v>34</v>
      </c>
      <c r="M123" s="358">
        <v>37</v>
      </c>
      <c r="N123" s="358">
        <v>39</v>
      </c>
      <c r="O123" s="358">
        <v>44</v>
      </c>
      <c r="P123" s="358">
        <v>50</v>
      </c>
      <c r="Q123" s="358">
        <v>52</v>
      </c>
      <c r="R123" s="358">
        <v>55</v>
      </c>
      <c r="S123" s="358">
        <v>57</v>
      </c>
      <c r="T123" s="358">
        <v>60</v>
      </c>
      <c r="U123" s="358">
        <v>63</v>
      </c>
      <c r="V123" s="358">
        <v>5</v>
      </c>
      <c r="W123" s="358">
        <v>3</v>
      </c>
      <c r="X123" s="358">
        <v>5</v>
      </c>
      <c r="Y123" s="358">
        <v>7</v>
      </c>
      <c r="Z123" s="358">
        <v>9</v>
      </c>
      <c r="AA123" s="358">
        <v>10</v>
      </c>
      <c r="AB123" s="358">
        <v>12</v>
      </c>
      <c r="AC123" s="358">
        <v>15</v>
      </c>
      <c r="AD123" s="358">
        <v>17</v>
      </c>
      <c r="AE123" s="358">
        <v>22</v>
      </c>
      <c r="AF123" s="358">
        <v>27</v>
      </c>
      <c r="AG123" s="358">
        <v>32</v>
      </c>
      <c r="AH123" s="358">
        <v>33</v>
      </c>
      <c r="AI123" s="358">
        <v>34</v>
      </c>
      <c r="AJ123" s="358">
        <v>38</v>
      </c>
      <c r="AK123" s="358">
        <v>44</v>
      </c>
      <c r="AL123" s="358">
        <v>50</v>
      </c>
      <c r="AM123" s="358">
        <v>55</v>
      </c>
      <c r="AN123" s="358">
        <v>61</v>
      </c>
      <c r="AO123" s="358">
        <v>65</v>
      </c>
      <c r="AP123" s="358">
        <v>71</v>
      </c>
      <c r="AQ123" s="358">
        <v>77</v>
      </c>
      <c r="AR123" s="358">
        <v>81</v>
      </c>
      <c r="AS123" s="358">
        <v>93</v>
      </c>
      <c r="AT123" s="358">
        <v>101</v>
      </c>
      <c r="AU123" s="358">
        <v>111</v>
      </c>
      <c r="AV123" s="358">
        <v>120</v>
      </c>
      <c r="AW123" s="358">
        <v>128</v>
      </c>
      <c r="AX123" s="358">
        <v>10</v>
      </c>
      <c r="AY123" s="358">
        <v>14</v>
      </c>
      <c r="AZ123" s="358">
        <v>15</v>
      </c>
      <c r="BA123" s="358">
        <v>16</v>
      </c>
      <c r="BB123" s="358">
        <v>17</v>
      </c>
      <c r="BC123" s="358">
        <v>20</v>
      </c>
      <c r="BD123" s="358">
        <v>24</v>
      </c>
      <c r="BE123" s="358">
        <v>26</v>
      </c>
      <c r="BF123" s="358">
        <v>27</v>
      </c>
      <c r="BG123" s="358">
        <v>30</v>
      </c>
      <c r="BH123" s="358">
        <v>31</v>
      </c>
      <c r="BI123" s="358">
        <v>32</v>
      </c>
      <c r="BJ123" s="358">
        <v>34</v>
      </c>
      <c r="BK123" s="358">
        <v>35</v>
      </c>
      <c r="BL123" s="358">
        <v>36</v>
      </c>
      <c r="BM123" s="358">
        <v>38</v>
      </c>
      <c r="BN123" s="358">
        <v>39</v>
      </c>
      <c r="BO123" s="358">
        <v>42</v>
      </c>
      <c r="BP123" s="358">
        <v>47</v>
      </c>
      <c r="BQ123" s="358">
        <v>51</v>
      </c>
      <c r="BR123" s="358">
        <v>61</v>
      </c>
      <c r="BS123" s="358">
        <v>68</v>
      </c>
      <c r="BT123" s="358">
        <v>72</v>
      </c>
      <c r="BU123" s="358">
        <v>75</v>
      </c>
      <c r="BV123" s="358">
        <v>12</v>
      </c>
      <c r="BW123" s="358">
        <v>13</v>
      </c>
      <c r="BX123" s="358">
        <v>16</v>
      </c>
      <c r="BY123" s="358">
        <v>20</v>
      </c>
      <c r="BZ123" s="358">
        <v>25</v>
      </c>
      <c r="CA123" s="358">
        <v>29</v>
      </c>
      <c r="CB123" s="358">
        <v>36</v>
      </c>
      <c r="CC123" s="358">
        <v>41</v>
      </c>
      <c r="CD123" s="358">
        <v>44</v>
      </c>
      <c r="CE123" s="358">
        <v>48</v>
      </c>
      <c r="CF123" s="358">
        <v>50</v>
      </c>
      <c r="CG123" s="358">
        <v>57</v>
      </c>
      <c r="CH123" s="358">
        <v>59</v>
      </c>
      <c r="CI123" s="358">
        <v>63</v>
      </c>
      <c r="CJ123" s="358">
        <v>66</v>
      </c>
      <c r="CK123" s="358">
        <v>73</v>
      </c>
      <c r="CL123" s="358">
        <v>79</v>
      </c>
      <c r="CM123" s="358">
        <v>83</v>
      </c>
      <c r="CN123" s="358">
        <v>88</v>
      </c>
      <c r="CO123" s="358">
        <v>95</v>
      </c>
      <c r="CP123" s="358">
        <v>106</v>
      </c>
      <c r="CQ123" s="358">
        <v>119</v>
      </c>
      <c r="CR123" s="358">
        <v>124</v>
      </c>
      <c r="CS123" s="358">
        <v>13</v>
      </c>
      <c r="CT123" s="358">
        <v>18</v>
      </c>
      <c r="CU123" s="358">
        <v>24</v>
      </c>
      <c r="CV123" s="358">
        <v>30</v>
      </c>
      <c r="CW123" s="358">
        <v>36</v>
      </c>
      <c r="CX123" s="358">
        <v>41</v>
      </c>
      <c r="CY123" s="358">
        <v>48</v>
      </c>
      <c r="CZ123" s="358">
        <v>51</v>
      </c>
      <c r="DA123" s="358">
        <v>55</v>
      </c>
      <c r="DB123" s="358">
        <v>60</v>
      </c>
      <c r="DC123" s="358">
        <v>71</v>
      </c>
      <c r="DD123" s="358">
        <v>81</v>
      </c>
      <c r="DE123" s="358">
        <v>85</v>
      </c>
      <c r="DF123" s="358">
        <v>91</v>
      </c>
      <c r="DG123" s="358">
        <v>100</v>
      </c>
      <c r="DH123" s="358">
        <v>105</v>
      </c>
      <c r="DI123" s="358">
        <v>112</v>
      </c>
      <c r="DJ123" s="358">
        <v>121</v>
      </c>
      <c r="DK123" s="358">
        <v>128</v>
      </c>
      <c r="DL123" s="358">
        <v>136</v>
      </c>
      <c r="DM123" s="358">
        <v>148</v>
      </c>
      <c r="DN123" s="358">
        <v>151</v>
      </c>
      <c r="DO123" s="358">
        <v>162</v>
      </c>
      <c r="DP123" s="358">
        <v>171</v>
      </c>
      <c r="DR123" s="358">
        <v>5</v>
      </c>
      <c r="DS123" s="358">
        <v>9</v>
      </c>
      <c r="DT123" s="358">
        <v>11</v>
      </c>
      <c r="DU123" s="358">
        <v>14</v>
      </c>
      <c r="DV123" s="358">
        <v>15</v>
      </c>
      <c r="DW123" s="358">
        <v>21</v>
      </c>
      <c r="DX123" s="358">
        <v>24</v>
      </c>
      <c r="DY123" s="358">
        <v>30</v>
      </c>
      <c r="DZ123" s="358">
        <v>35</v>
      </c>
      <c r="EA123" s="358">
        <v>39</v>
      </c>
      <c r="EB123" s="358">
        <v>43</v>
      </c>
      <c r="EC123" s="358">
        <v>48</v>
      </c>
      <c r="ED123" s="358">
        <v>54</v>
      </c>
      <c r="EE123" s="358">
        <v>60</v>
      </c>
      <c r="EF123" s="358">
        <v>63</v>
      </c>
      <c r="EG123" s="358">
        <v>67</v>
      </c>
      <c r="EH123" s="358">
        <v>72</v>
      </c>
      <c r="EI123" s="358">
        <v>77</v>
      </c>
      <c r="EJ123" s="358">
        <v>81</v>
      </c>
      <c r="EK123" s="358">
        <v>86</v>
      </c>
      <c r="EL123" s="358">
        <v>90</v>
      </c>
      <c r="EM123" s="358">
        <v>145</v>
      </c>
      <c r="EN123" s="358">
        <v>157</v>
      </c>
      <c r="EO123" s="358">
        <v>168</v>
      </c>
      <c r="EP123" s="358">
        <v>178</v>
      </c>
      <c r="EQ123" s="358">
        <v>185</v>
      </c>
      <c r="ES123" s="358">
        <v>197</v>
      </c>
      <c r="ET123" s="358">
        <v>202</v>
      </c>
      <c r="EU123" s="358">
        <v>211</v>
      </c>
      <c r="EV123" s="358">
        <v>217</v>
      </c>
      <c r="EW123" s="358">
        <v>141</v>
      </c>
      <c r="EX123" s="358">
        <v>152</v>
      </c>
      <c r="EY123" s="358">
        <v>163</v>
      </c>
      <c r="EZ123" s="358">
        <v>179</v>
      </c>
      <c r="FA123" s="358">
        <v>187</v>
      </c>
      <c r="FB123" s="358">
        <v>197</v>
      </c>
      <c r="FC123" s="358">
        <v>211</v>
      </c>
      <c r="FD123" s="358">
        <v>223</v>
      </c>
      <c r="FE123" s="358">
        <v>230</v>
      </c>
      <c r="FF123" s="358">
        <v>235</v>
      </c>
      <c r="FG123" s="358">
        <v>247</v>
      </c>
      <c r="FH123" s="358">
        <v>256</v>
      </c>
      <c r="FI123" s="358">
        <v>267</v>
      </c>
      <c r="FJ123" s="358">
        <v>273</v>
      </c>
      <c r="FK123" s="358">
        <v>278</v>
      </c>
      <c r="FL123" s="358">
        <v>120</v>
      </c>
      <c r="FM123" s="358">
        <v>130</v>
      </c>
      <c r="FN123" s="358">
        <v>136</v>
      </c>
      <c r="FO123" s="358">
        <v>143</v>
      </c>
      <c r="FP123" s="358">
        <v>156</v>
      </c>
      <c r="FQ123" s="358">
        <v>171</v>
      </c>
      <c r="FR123" s="358">
        <v>179</v>
      </c>
      <c r="FS123" s="358">
        <v>186</v>
      </c>
      <c r="FT123" s="358">
        <v>193</v>
      </c>
      <c r="FU123" s="358">
        <v>200</v>
      </c>
      <c r="FV123" s="358">
        <v>210</v>
      </c>
      <c r="FW123" s="358">
        <v>79</v>
      </c>
      <c r="FX123" s="358">
        <v>126</v>
      </c>
      <c r="FY123" s="358">
        <v>133</v>
      </c>
      <c r="FZ123" s="358">
        <v>161</v>
      </c>
      <c r="GA123" s="358">
        <v>230</v>
      </c>
      <c r="GB123" s="358">
        <v>258</v>
      </c>
      <c r="GC123" s="358">
        <v>118</v>
      </c>
      <c r="GD123" s="358">
        <v>154</v>
      </c>
      <c r="GE123" s="358">
        <v>183</v>
      </c>
      <c r="GF123" s="358">
        <v>175</v>
      </c>
      <c r="GG123" s="358">
        <v>99</v>
      </c>
      <c r="GH123" s="358">
        <v>111</v>
      </c>
      <c r="GI123" s="361">
        <v>137</v>
      </c>
    </row>
    <row r="124" spans="1:191">
      <c r="A124" s="336" t="s">
        <v>375</v>
      </c>
      <c r="B124" s="358">
        <v>12</v>
      </c>
      <c r="C124" s="358">
        <v>16</v>
      </c>
      <c r="D124" s="358">
        <v>18</v>
      </c>
      <c r="E124" s="358">
        <v>19</v>
      </c>
      <c r="F124" s="358">
        <v>22</v>
      </c>
      <c r="G124" s="358">
        <v>25</v>
      </c>
      <c r="H124" s="358">
        <v>28</v>
      </c>
      <c r="I124" s="358">
        <v>30</v>
      </c>
      <c r="J124" s="358">
        <v>33</v>
      </c>
      <c r="K124" s="358">
        <v>37</v>
      </c>
      <c r="L124" s="358">
        <v>39</v>
      </c>
      <c r="M124" s="358">
        <v>42</v>
      </c>
      <c r="N124" s="358">
        <v>44</v>
      </c>
      <c r="O124" s="358">
        <v>49</v>
      </c>
      <c r="P124" s="358">
        <v>55</v>
      </c>
      <c r="Q124" s="358">
        <v>57</v>
      </c>
      <c r="R124" s="358">
        <v>60</v>
      </c>
      <c r="S124" s="358">
        <v>62</v>
      </c>
      <c r="T124" s="358">
        <v>65</v>
      </c>
      <c r="U124" s="358">
        <v>68</v>
      </c>
      <c r="V124" s="358">
        <v>10</v>
      </c>
      <c r="W124" s="358">
        <v>8</v>
      </c>
      <c r="X124" s="358">
        <v>10</v>
      </c>
      <c r="Y124" s="358">
        <v>12</v>
      </c>
      <c r="Z124" s="358">
        <v>14</v>
      </c>
      <c r="AA124" s="358">
        <v>15</v>
      </c>
      <c r="AB124" s="358">
        <v>17</v>
      </c>
      <c r="AC124" s="358">
        <v>20</v>
      </c>
      <c r="AD124" s="358">
        <v>22</v>
      </c>
      <c r="AE124" s="358">
        <v>27</v>
      </c>
      <c r="AF124" s="358">
        <v>32</v>
      </c>
      <c r="AG124" s="358">
        <v>37</v>
      </c>
      <c r="AH124" s="358">
        <v>38</v>
      </c>
      <c r="AI124" s="358">
        <v>39</v>
      </c>
      <c r="AJ124" s="358">
        <v>43</v>
      </c>
      <c r="AK124" s="358">
        <v>49</v>
      </c>
      <c r="AL124" s="358">
        <v>55</v>
      </c>
      <c r="AM124" s="358">
        <v>60</v>
      </c>
      <c r="AN124" s="358">
        <v>66</v>
      </c>
      <c r="AO124" s="358">
        <v>70</v>
      </c>
      <c r="AP124" s="358">
        <v>76</v>
      </c>
      <c r="AQ124" s="358">
        <v>82</v>
      </c>
      <c r="AR124" s="358">
        <v>86</v>
      </c>
      <c r="AS124" s="358">
        <v>98</v>
      </c>
      <c r="AT124" s="358">
        <v>106</v>
      </c>
      <c r="AU124" s="358">
        <v>116</v>
      </c>
      <c r="AV124" s="358">
        <v>125</v>
      </c>
      <c r="AW124" s="358">
        <v>133</v>
      </c>
      <c r="AX124" s="358">
        <v>15</v>
      </c>
      <c r="AY124" s="358">
        <v>19</v>
      </c>
      <c r="AZ124" s="358">
        <v>20</v>
      </c>
      <c r="BA124" s="358">
        <v>21</v>
      </c>
      <c r="BB124" s="358">
        <v>22</v>
      </c>
      <c r="BC124" s="358">
        <v>25</v>
      </c>
      <c r="BD124" s="358">
        <v>29</v>
      </c>
      <c r="BE124" s="358">
        <v>31</v>
      </c>
      <c r="BF124" s="358">
        <v>32</v>
      </c>
      <c r="BG124" s="358">
        <v>35</v>
      </c>
      <c r="BH124" s="358">
        <v>36</v>
      </c>
      <c r="BI124" s="358">
        <v>37</v>
      </c>
      <c r="BJ124" s="358">
        <v>39</v>
      </c>
      <c r="BK124" s="358">
        <v>40</v>
      </c>
      <c r="BL124" s="358">
        <v>41</v>
      </c>
      <c r="BM124" s="358">
        <v>43</v>
      </c>
      <c r="BN124" s="358">
        <v>44</v>
      </c>
      <c r="BO124" s="358">
        <v>47</v>
      </c>
      <c r="BP124" s="358">
        <v>52</v>
      </c>
      <c r="BQ124" s="358">
        <v>56</v>
      </c>
      <c r="BR124" s="358">
        <v>66</v>
      </c>
      <c r="BS124" s="358">
        <v>73</v>
      </c>
      <c r="BT124" s="358">
        <v>77</v>
      </c>
      <c r="BU124" s="358">
        <v>80</v>
      </c>
      <c r="BV124" s="358">
        <v>17</v>
      </c>
      <c r="BW124" s="358">
        <v>18</v>
      </c>
      <c r="BX124" s="358">
        <v>21</v>
      </c>
      <c r="BY124" s="358">
        <v>25</v>
      </c>
      <c r="BZ124" s="358">
        <v>30</v>
      </c>
      <c r="CA124" s="358">
        <v>34</v>
      </c>
      <c r="CB124" s="358">
        <v>41</v>
      </c>
      <c r="CC124" s="358">
        <v>46</v>
      </c>
      <c r="CD124" s="358">
        <v>49</v>
      </c>
      <c r="CE124" s="358">
        <v>53</v>
      </c>
      <c r="CF124" s="358">
        <v>55</v>
      </c>
      <c r="CG124" s="358">
        <v>62</v>
      </c>
      <c r="CH124" s="358">
        <v>64</v>
      </c>
      <c r="CI124" s="358">
        <v>68</v>
      </c>
      <c r="CJ124" s="358">
        <v>71</v>
      </c>
      <c r="CK124" s="358">
        <v>78</v>
      </c>
      <c r="CL124" s="358">
        <v>84</v>
      </c>
      <c r="CM124" s="358">
        <v>88</v>
      </c>
      <c r="CN124" s="358">
        <v>93</v>
      </c>
      <c r="CO124" s="358">
        <v>100</v>
      </c>
      <c r="CP124" s="358">
        <v>111</v>
      </c>
      <c r="CQ124" s="358">
        <v>124</v>
      </c>
      <c r="CR124" s="358">
        <v>129</v>
      </c>
      <c r="CS124" s="358">
        <v>18</v>
      </c>
      <c r="CT124" s="358">
        <v>23</v>
      </c>
      <c r="CU124" s="358">
        <v>29</v>
      </c>
      <c r="CV124" s="358">
        <v>35</v>
      </c>
      <c r="CW124" s="358">
        <v>41</v>
      </c>
      <c r="CX124" s="358">
        <v>46</v>
      </c>
      <c r="CY124" s="358">
        <v>53</v>
      </c>
      <c r="CZ124" s="358">
        <v>56</v>
      </c>
      <c r="DA124" s="358">
        <v>60</v>
      </c>
      <c r="DB124" s="358">
        <v>65</v>
      </c>
      <c r="DC124" s="358">
        <v>76</v>
      </c>
      <c r="DD124" s="358">
        <v>86</v>
      </c>
      <c r="DE124" s="358">
        <v>90</v>
      </c>
      <c r="DF124" s="358">
        <v>96</v>
      </c>
      <c r="DG124" s="358">
        <v>105</v>
      </c>
      <c r="DH124" s="358">
        <v>110</v>
      </c>
      <c r="DI124" s="358">
        <v>117</v>
      </c>
      <c r="DJ124" s="358">
        <v>126</v>
      </c>
      <c r="DK124" s="358">
        <v>133</v>
      </c>
      <c r="DL124" s="358">
        <v>141</v>
      </c>
      <c r="DM124" s="358">
        <v>153</v>
      </c>
      <c r="DN124" s="358">
        <v>156</v>
      </c>
      <c r="DO124" s="358">
        <v>167</v>
      </c>
      <c r="DP124" s="358">
        <v>176</v>
      </c>
      <c r="DQ124" s="358">
        <v>5</v>
      </c>
      <c r="DS124" s="358">
        <v>4</v>
      </c>
      <c r="DT124" s="358">
        <v>6</v>
      </c>
      <c r="DU124" s="358">
        <v>9</v>
      </c>
      <c r="DV124" s="358">
        <v>10</v>
      </c>
      <c r="DW124" s="358">
        <v>16</v>
      </c>
      <c r="DX124" s="358">
        <v>19</v>
      </c>
      <c r="DY124" s="358">
        <v>25</v>
      </c>
      <c r="DZ124" s="358">
        <v>30</v>
      </c>
      <c r="EA124" s="358">
        <v>34</v>
      </c>
      <c r="EB124" s="358">
        <v>38</v>
      </c>
      <c r="EC124" s="358">
        <v>43</v>
      </c>
      <c r="ED124" s="358">
        <v>49</v>
      </c>
      <c r="EE124" s="358">
        <v>55</v>
      </c>
      <c r="EF124" s="358">
        <v>58</v>
      </c>
      <c r="EG124" s="358">
        <v>62</v>
      </c>
      <c r="EH124" s="358">
        <v>67</v>
      </c>
      <c r="EI124" s="358">
        <v>72</v>
      </c>
      <c r="EJ124" s="358">
        <v>76</v>
      </c>
      <c r="EK124" s="358">
        <v>81</v>
      </c>
      <c r="EL124" s="358">
        <v>85</v>
      </c>
      <c r="EM124" s="358">
        <v>150</v>
      </c>
      <c r="EN124" s="358">
        <v>162</v>
      </c>
      <c r="EO124" s="358">
        <v>173</v>
      </c>
      <c r="EP124" s="358">
        <v>183</v>
      </c>
      <c r="EQ124" s="358">
        <v>190</v>
      </c>
      <c r="ES124" s="358">
        <v>202</v>
      </c>
      <c r="ET124" s="358">
        <v>207</v>
      </c>
      <c r="EU124" s="358">
        <v>216</v>
      </c>
      <c r="EV124" s="358">
        <v>222</v>
      </c>
      <c r="EW124" s="358">
        <v>146</v>
      </c>
      <c r="EX124" s="358">
        <v>157</v>
      </c>
      <c r="EY124" s="358">
        <v>168</v>
      </c>
      <c r="EZ124" s="358">
        <v>184</v>
      </c>
      <c r="FA124" s="358">
        <v>192</v>
      </c>
      <c r="FB124" s="358">
        <v>202</v>
      </c>
      <c r="FC124" s="358">
        <v>216</v>
      </c>
      <c r="FD124" s="358">
        <v>228</v>
      </c>
      <c r="FE124" s="358">
        <v>235</v>
      </c>
      <c r="FF124" s="358">
        <v>240</v>
      </c>
      <c r="FG124" s="358">
        <v>252</v>
      </c>
      <c r="FH124" s="358">
        <v>261</v>
      </c>
      <c r="FI124" s="358">
        <v>272</v>
      </c>
      <c r="FJ124" s="358">
        <v>278</v>
      </c>
      <c r="FK124" s="358">
        <v>283</v>
      </c>
      <c r="FL124" s="358">
        <v>125</v>
      </c>
      <c r="FM124" s="358">
        <v>135</v>
      </c>
      <c r="FN124" s="358">
        <v>141</v>
      </c>
      <c r="FO124" s="358">
        <v>148</v>
      </c>
      <c r="FP124" s="358">
        <v>161</v>
      </c>
      <c r="FQ124" s="358">
        <v>176</v>
      </c>
      <c r="FR124" s="358">
        <v>184</v>
      </c>
      <c r="FS124" s="358">
        <v>191</v>
      </c>
      <c r="FT124" s="358">
        <v>198</v>
      </c>
      <c r="FU124" s="358">
        <v>205</v>
      </c>
      <c r="FV124" s="358">
        <v>215</v>
      </c>
      <c r="FW124" s="358">
        <v>84</v>
      </c>
      <c r="FX124" s="358">
        <v>131</v>
      </c>
      <c r="FY124" s="358">
        <v>138</v>
      </c>
      <c r="FZ124" s="358">
        <v>166</v>
      </c>
      <c r="GA124" s="358">
        <v>235</v>
      </c>
      <c r="GB124" s="358">
        <v>263</v>
      </c>
      <c r="GC124" s="358">
        <v>123</v>
      </c>
      <c r="GD124" s="358">
        <v>159</v>
      </c>
      <c r="GE124" s="358">
        <v>188</v>
      </c>
      <c r="GF124" s="358">
        <v>180</v>
      </c>
      <c r="GG124" s="358">
        <v>104</v>
      </c>
      <c r="GH124" s="358">
        <v>116</v>
      </c>
      <c r="GI124" s="361">
        <v>142</v>
      </c>
    </row>
    <row r="125" spans="1:191">
      <c r="A125" s="336" t="s">
        <v>374</v>
      </c>
      <c r="B125" s="358">
        <v>16</v>
      </c>
      <c r="C125" s="358">
        <v>20</v>
      </c>
      <c r="D125" s="358">
        <v>22</v>
      </c>
      <c r="E125" s="358">
        <v>23</v>
      </c>
      <c r="F125" s="358">
        <v>26</v>
      </c>
      <c r="G125" s="358">
        <v>29</v>
      </c>
      <c r="H125" s="358">
        <v>32</v>
      </c>
      <c r="I125" s="358">
        <v>34</v>
      </c>
      <c r="J125" s="358">
        <v>37</v>
      </c>
      <c r="K125" s="358">
        <v>41</v>
      </c>
      <c r="L125" s="358">
        <v>43</v>
      </c>
      <c r="M125" s="358">
        <v>46</v>
      </c>
      <c r="N125" s="358">
        <v>48</v>
      </c>
      <c r="O125" s="358">
        <v>53</v>
      </c>
      <c r="P125" s="358">
        <v>59</v>
      </c>
      <c r="Q125" s="358">
        <v>61</v>
      </c>
      <c r="R125" s="358">
        <v>64</v>
      </c>
      <c r="S125" s="358">
        <v>66</v>
      </c>
      <c r="T125" s="358">
        <v>69</v>
      </c>
      <c r="U125" s="358">
        <v>72</v>
      </c>
      <c r="V125" s="358">
        <v>14</v>
      </c>
      <c r="W125" s="358">
        <v>12</v>
      </c>
      <c r="X125" s="358">
        <v>14</v>
      </c>
      <c r="Y125" s="358">
        <v>16</v>
      </c>
      <c r="Z125" s="358">
        <v>18</v>
      </c>
      <c r="AA125" s="358">
        <v>19</v>
      </c>
      <c r="AB125" s="358">
        <v>21</v>
      </c>
      <c r="AC125" s="358">
        <v>24</v>
      </c>
      <c r="AD125" s="358">
        <v>26</v>
      </c>
      <c r="AE125" s="358">
        <v>31</v>
      </c>
      <c r="AF125" s="358">
        <v>36</v>
      </c>
      <c r="AG125" s="358">
        <v>41</v>
      </c>
      <c r="AH125" s="358">
        <v>42</v>
      </c>
      <c r="AI125" s="358">
        <v>43</v>
      </c>
      <c r="AJ125" s="358">
        <v>47</v>
      </c>
      <c r="AK125" s="358">
        <v>53</v>
      </c>
      <c r="AL125" s="358">
        <v>59</v>
      </c>
      <c r="AM125" s="358">
        <v>64</v>
      </c>
      <c r="AN125" s="358">
        <v>70</v>
      </c>
      <c r="AO125" s="358">
        <v>74</v>
      </c>
      <c r="AP125" s="358">
        <v>80</v>
      </c>
      <c r="AQ125" s="358">
        <v>86</v>
      </c>
      <c r="AR125" s="358">
        <v>90</v>
      </c>
      <c r="AS125" s="358">
        <v>102</v>
      </c>
      <c r="AT125" s="358">
        <v>110</v>
      </c>
      <c r="AU125" s="358">
        <v>120</v>
      </c>
      <c r="AV125" s="358">
        <v>129</v>
      </c>
      <c r="AW125" s="358">
        <v>137</v>
      </c>
      <c r="AX125" s="358">
        <v>19</v>
      </c>
      <c r="AY125" s="358">
        <v>23</v>
      </c>
      <c r="AZ125" s="358">
        <v>24</v>
      </c>
      <c r="BA125" s="358">
        <v>25</v>
      </c>
      <c r="BB125" s="358">
        <v>26</v>
      </c>
      <c r="BC125" s="358">
        <v>29</v>
      </c>
      <c r="BD125" s="358">
        <v>33</v>
      </c>
      <c r="BE125" s="358">
        <v>35</v>
      </c>
      <c r="BF125" s="358">
        <v>36</v>
      </c>
      <c r="BG125" s="358">
        <v>39</v>
      </c>
      <c r="BH125" s="358">
        <v>40</v>
      </c>
      <c r="BI125" s="358">
        <v>41</v>
      </c>
      <c r="BJ125" s="358">
        <v>43</v>
      </c>
      <c r="BK125" s="358">
        <v>44</v>
      </c>
      <c r="BL125" s="358">
        <v>45</v>
      </c>
      <c r="BM125" s="358">
        <v>47</v>
      </c>
      <c r="BN125" s="358">
        <v>48</v>
      </c>
      <c r="BO125" s="358">
        <v>51</v>
      </c>
      <c r="BP125" s="358">
        <v>56</v>
      </c>
      <c r="BQ125" s="358">
        <v>60</v>
      </c>
      <c r="BR125" s="358">
        <v>70</v>
      </c>
      <c r="BS125" s="358">
        <v>77</v>
      </c>
      <c r="BT125" s="358">
        <v>81</v>
      </c>
      <c r="BU125" s="358">
        <v>84</v>
      </c>
      <c r="BV125" s="358">
        <v>21</v>
      </c>
      <c r="BW125" s="358">
        <v>22</v>
      </c>
      <c r="BX125" s="358">
        <v>25</v>
      </c>
      <c r="BY125" s="358">
        <v>29</v>
      </c>
      <c r="BZ125" s="358">
        <v>34</v>
      </c>
      <c r="CA125" s="358">
        <v>38</v>
      </c>
      <c r="CB125" s="358">
        <v>45</v>
      </c>
      <c r="CC125" s="358">
        <v>50</v>
      </c>
      <c r="CD125" s="358">
        <v>53</v>
      </c>
      <c r="CE125" s="358">
        <v>57</v>
      </c>
      <c r="CF125" s="358">
        <v>59</v>
      </c>
      <c r="CG125" s="358">
        <v>66</v>
      </c>
      <c r="CH125" s="358">
        <v>68</v>
      </c>
      <c r="CI125" s="358">
        <v>72</v>
      </c>
      <c r="CJ125" s="358">
        <v>75</v>
      </c>
      <c r="CK125" s="358">
        <v>82</v>
      </c>
      <c r="CL125" s="358">
        <v>88</v>
      </c>
      <c r="CM125" s="358">
        <v>92</v>
      </c>
      <c r="CN125" s="358">
        <v>97</v>
      </c>
      <c r="CO125" s="358">
        <v>104</v>
      </c>
      <c r="CP125" s="358">
        <v>115</v>
      </c>
      <c r="CQ125" s="358">
        <v>128</v>
      </c>
      <c r="CR125" s="358">
        <v>133</v>
      </c>
      <c r="CS125" s="358">
        <v>22</v>
      </c>
      <c r="CT125" s="358">
        <v>27</v>
      </c>
      <c r="CU125" s="358">
        <v>33</v>
      </c>
      <c r="CV125" s="358">
        <v>39</v>
      </c>
      <c r="CW125" s="358">
        <v>45</v>
      </c>
      <c r="CX125" s="358">
        <v>50</v>
      </c>
      <c r="CY125" s="358">
        <v>57</v>
      </c>
      <c r="CZ125" s="358">
        <v>60</v>
      </c>
      <c r="DA125" s="358">
        <v>64</v>
      </c>
      <c r="DB125" s="358">
        <v>69</v>
      </c>
      <c r="DC125" s="358">
        <v>80</v>
      </c>
      <c r="DD125" s="358">
        <v>90</v>
      </c>
      <c r="DE125" s="358">
        <v>94</v>
      </c>
      <c r="DF125" s="358">
        <v>100</v>
      </c>
      <c r="DG125" s="358">
        <v>109</v>
      </c>
      <c r="DH125" s="358">
        <v>114</v>
      </c>
      <c r="DI125" s="358">
        <v>121</v>
      </c>
      <c r="DJ125" s="358">
        <v>130</v>
      </c>
      <c r="DK125" s="358">
        <v>137</v>
      </c>
      <c r="DL125" s="358">
        <v>145</v>
      </c>
      <c r="DM125" s="358">
        <v>157</v>
      </c>
      <c r="DN125" s="358">
        <v>160</v>
      </c>
      <c r="DO125" s="358">
        <v>171</v>
      </c>
      <c r="DP125" s="358">
        <v>180</v>
      </c>
      <c r="DQ125" s="358">
        <v>9</v>
      </c>
      <c r="DR125" s="358">
        <v>4</v>
      </c>
      <c r="DT125" s="358">
        <v>2</v>
      </c>
      <c r="DU125" s="358">
        <v>5</v>
      </c>
      <c r="DV125" s="358">
        <v>6</v>
      </c>
      <c r="DW125" s="358">
        <v>12</v>
      </c>
      <c r="DX125" s="358">
        <v>15</v>
      </c>
      <c r="DY125" s="358">
        <v>21</v>
      </c>
      <c r="DZ125" s="358">
        <v>26</v>
      </c>
      <c r="EA125" s="358">
        <v>30</v>
      </c>
      <c r="EB125" s="358">
        <v>34</v>
      </c>
      <c r="EC125" s="358">
        <v>39</v>
      </c>
      <c r="ED125" s="358">
        <v>45</v>
      </c>
      <c r="EE125" s="358">
        <v>51</v>
      </c>
      <c r="EF125" s="358">
        <v>54</v>
      </c>
      <c r="EG125" s="358">
        <v>58</v>
      </c>
      <c r="EH125" s="358">
        <v>63</v>
      </c>
      <c r="EI125" s="358">
        <v>68</v>
      </c>
      <c r="EJ125" s="358">
        <v>72</v>
      </c>
      <c r="EK125" s="358">
        <v>77</v>
      </c>
      <c r="EL125" s="358">
        <v>81</v>
      </c>
      <c r="EM125" s="358">
        <v>154</v>
      </c>
      <c r="EN125" s="358">
        <v>166</v>
      </c>
      <c r="EO125" s="358">
        <v>177</v>
      </c>
      <c r="EP125" s="358">
        <v>187</v>
      </c>
      <c r="EQ125" s="358">
        <v>194</v>
      </c>
      <c r="ES125" s="358">
        <v>206</v>
      </c>
      <c r="ET125" s="358">
        <v>211</v>
      </c>
      <c r="EU125" s="358">
        <v>220</v>
      </c>
      <c r="EV125" s="358">
        <v>226</v>
      </c>
      <c r="EW125" s="358">
        <v>150</v>
      </c>
      <c r="EX125" s="358">
        <v>161</v>
      </c>
      <c r="EY125" s="358">
        <v>172</v>
      </c>
      <c r="EZ125" s="358">
        <v>188</v>
      </c>
      <c r="FA125" s="358">
        <v>196</v>
      </c>
      <c r="FB125" s="358">
        <v>206</v>
      </c>
      <c r="FC125" s="358">
        <v>220</v>
      </c>
      <c r="FD125" s="358">
        <v>232</v>
      </c>
      <c r="FE125" s="358">
        <v>239</v>
      </c>
      <c r="FF125" s="358">
        <v>244</v>
      </c>
      <c r="FG125" s="358">
        <v>256</v>
      </c>
      <c r="FH125" s="358">
        <v>265</v>
      </c>
      <c r="FI125" s="358">
        <v>276</v>
      </c>
      <c r="FJ125" s="358">
        <v>282</v>
      </c>
      <c r="FK125" s="358">
        <v>287</v>
      </c>
      <c r="FL125" s="358">
        <v>129</v>
      </c>
      <c r="FM125" s="358">
        <v>139</v>
      </c>
      <c r="FN125" s="358">
        <v>145</v>
      </c>
      <c r="FO125" s="358">
        <v>152</v>
      </c>
      <c r="FP125" s="358">
        <v>165</v>
      </c>
      <c r="FQ125" s="358">
        <v>180</v>
      </c>
      <c r="FR125" s="358">
        <v>188</v>
      </c>
      <c r="FS125" s="358">
        <v>195</v>
      </c>
      <c r="FT125" s="358">
        <v>202</v>
      </c>
      <c r="FU125" s="358">
        <v>209</v>
      </c>
      <c r="FV125" s="358">
        <v>219</v>
      </c>
      <c r="FW125" s="358">
        <v>88</v>
      </c>
      <c r="FX125" s="358">
        <v>135</v>
      </c>
      <c r="FY125" s="358">
        <v>142</v>
      </c>
      <c r="FZ125" s="358">
        <v>170</v>
      </c>
      <c r="GA125" s="358">
        <v>239</v>
      </c>
      <c r="GB125" s="358">
        <v>267</v>
      </c>
      <c r="GC125" s="358">
        <v>127</v>
      </c>
      <c r="GD125" s="358">
        <v>163</v>
      </c>
      <c r="GE125" s="358">
        <v>192</v>
      </c>
      <c r="GF125" s="358">
        <v>184</v>
      </c>
      <c r="GG125" s="358">
        <v>108</v>
      </c>
      <c r="GH125" s="358">
        <v>120</v>
      </c>
      <c r="GI125" s="361">
        <v>146</v>
      </c>
    </row>
    <row r="126" spans="1:191">
      <c r="A126" s="336" t="s">
        <v>373</v>
      </c>
      <c r="B126" s="358">
        <v>18</v>
      </c>
      <c r="C126" s="358">
        <v>22</v>
      </c>
      <c r="D126" s="358">
        <v>24</v>
      </c>
      <c r="E126" s="358">
        <v>25</v>
      </c>
      <c r="F126" s="358">
        <v>28</v>
      </c>
      <c r="G126" s="358">
        <v>31</v>
      </c>
      <c r="H126" s="358">
        <v>34</v>
      </c>
      <c r="I126" s="358">
        <v>36</v>
      </c>
      <c r="J126" s="358">
        <v>39</v>
      </c>
      <c r="K126" s="358">
        <v>43</v>
      </c>
      <c r="L126" s="358">
        <v>45</v>
      </c>
      <c r="M126" s="358">
        <v>48</v>
      </c>
      <c r="N126" s="358">
        <v>50</v>
      </c>
      <c r="O126" s="358">
        <v>55</v>
      </c>
      <c r="P126" s="358">
        <v>61</v>
      </c>
      <c r="Q126" s="358">
        <v>63</v>
      </c>
      <c r="R126" s="358">
        <v>66</v>
      </c>
      <c r="S126" s="358">
        <v>68</v>
      </c>
      <c r="T126" s="358">
        <v>71</v>
      </c>
      <c r="U126" s="358">
        <v>74</v>
      </c>
      <c r="V126" s="358">
        <v>16</v>
      </c>
      <c r="W126" s="358">
        <v>14</v>
      </c>
      <c r="X126" s="358">
        <v>16</v>
      </c>
      <c r="Y126" s="358">
        <v>18</v>
      </c>
      <c r="Z126" s="358">
        <v>20</v>
      </c>
      <c r="AA126" s="358">
        <v>21</v>
      </c>
      <c r="AB126" s="358">
        <v>23</v>
      </c>
      <c r="AC126" s="358">
        <v>26</v>
      </c>
      <c r="AD126" s="358">
        <v>28</v>
      </c>
      <c r="AE126" s="358">
        <v>33</v>
      </c>
      <c r="AF126" s="358">
        <v>38</v>
      </c>
      <c r="AG126" s="358">
        <v>43</v>
      </c>
      <c r="AH126" s="358">
        <v>44</v>
      </c>
      <c r="AI126" s="358">
        <v>45</v>
      </c>
      <c r="AJ126" s="358">
        <v>49</v>
      </c>
      <c r="AK126" s="358">
        <v>55</v>
      </c>
      <c r="AL126" s="358">
        <v>61</v>
      </c>
      <c r="AM126" s="358">
        <v>66</v>
      </c>
      <c r="AN126" s="358">
        <v>72</v>
      </c>
      <c r="AO126" s="358">
        <v>76</v>
      </c>
      <c r="AP126" s="358">
        <v>82</v>
      </c>
      <c r="AQ126" s="358">
        <v>88</v>
      </c>
      <c r="AR126" s="358">
        <v>92</v>
      </c>
      <c r="AS126" s="358">
        <v>104</v>
      </c>
      <c r="AT126" s="358">
        <v>112</v>
      </c>
      <c r="AU126" s="358">
        <v>122</v>
      </c>
      <c r="AV126" s="358">
        <v>131</v>
      </c>
      <c r="AW126" s="358">
        <v>139</v>
      </c>
      <c r="AX126" s="358">
        <v>21</v>
      </c>
      <c r="AY126" s="358">
        <v>25</v>
      </c>
      <c r="AZ126" s="358">
        <v>26</v>
      </c>
      <c r="BA126" s="358">
        <v>27</v>
      </c>
      <c r="BB126" s="358">
        <v>28</v>
      </c>
      <c r="BC126" s="358">
        <v>31</v>
      </c>
      <c r="BD126" s="358">
        <v>35</v>
      </c>
      <c r="BE126" s="358">
        <v>37</v>
      </c>
      <c r="BF126" s="358">
        <v>38</v>
      </c>
      <c r="BG126" s="358">
        <v>41</v>
      </c>
      <c r="BH126" s="358">
        <v>42</v>
      </c>
      <c r="BI126" s="358">
        <v>43</v>
      </c>
      <c r="BJ126" s="358">
        <v>45</v>
      </c>
      <c r="BK126" s="358">
        <v>46</v>
      </c>
      <c r="BL126" s="358">
        <v>47</v>
      </c>
      <c r="BM126" s="358">
        <v>49</v>
      </c>
      <c r="BN126" s="358">
        <v>50</v>
      </c>
      <c r="BO126" s="358">
        <v>53</v>
      </c>
      <c r="BP126" s="358">
        <v>58</v>
      </c>
      <c r="BQ126" s="358">
        <v>62</v>
      </c>
      <c r="BR126" s="358">
        <v>72</v>
      </c>
      <c r="BS126" s="358">
        <v>79</v>
      </c>
      <c r="BT126" s="358">
        <v>83</v>
      </c>
      <c r="BU126" s="358">
        <v>86</v>
      </c>
      <c r="BV126" s="358">
        <v>23</v>
      </c>
      <c r="BW126" s="358">
        <v>24</v>
      </c>
      <c r="BX126" s="358">
        <v>27</v>
      </c>
      <c r="BY126" s="358">
        <v>31</v>
      </c>
      <c r="BZ126" s="358">
        <v>36</v>
      </c>
      <c r="CA126" s="358">
        <v>40</v>
      </c>
      <c r="CB126" s="358">
        <v>47</v>
      </c>
      <c r="CC126" s="358">
        <v>52</v>
      </c>
      <c r="CD126" s="358">
        <v>55</v>
      </c>
      <c r="CE126" s="358">
        <v>59</v>
      </c>
      <c r="CF126" s="358">
        <v>61</v>
      </c>
      <c r="CG126" s="358">
        <v>68</v>
      </c>
      <c r="CH126" s="358">
        <v>70</v>
      </c>
      <c r="CI126" s="358">
        <v>74</v>
      </c>
      <c r="CJ126" s="358">
        <v>77</v>
      </c>
      <c r="CK126" s="358">
        <v>84</v>
      </c>
      <c r="CL126" s="358">
        <v>90</v>
      </c>
      <c r="CM126" s="358">
        <v>94</v>
      </c>
      <c r="CN126" s="358">
        <v>99</v>
      </c>
      <c r="CO126" s="358">
        <v>106</v>
      </c>
      <c r="CP126" s="358">
        <v>117</v>
      </c>
      <c r="CQ126" s="358">
        <v>130</v>
      </c>
      <c r="CR126" s="358">
        <v>135</v>
      </c>
      <c r="CS126" s="358">
        <v>24</v>
      </c>
      <c r="CT126" s="358">
        <v>29</v>
      </c>
      <c r="CU126" s="358">
        <v>35</v>
      </c>
      <c r="CV126" s="358">
        <v>41</v>
      </c>
      <c r="CW126" s="358">
        <v>47</v>
      </c>
      <c r="CX126" s="358">
        <v>52</v>
      </c>
      <c r="CY126" s="358">
        <v>59</v>
      </c>
      <c r="CZ126" s="358">
        <v>62</v>
      </c>
      <c r="DA126" s="358">
        <v>66</v>
      </c>
      <c r="DB126" s="358">
        <v>71</v>
      </c>
      <c r="DC126" s="358">
        <v>82</v>
      </c>
      <c r="DD126" s="358">
        <v>92</v>
      </c>
      <c r="DE126" s="358">
        <v>96</v>
      </c>
      <c r="DF126" s="358">
        <v>102</v>
      </c>
      <c r="DG126" s="358">
        <v>111</v>
      </c>
      <c r="DH126" s="358">
        <v>116</v>
      </c>
      <c r="DI126" s="358">
        <v>123</v>
      </c>
      <c r="DJ126" s="358">
        <v>132</v>
      </c>
      <c r="DK126" s="358">
        <v>139</v>
      </c>
      <c r="DL126" s="358">
        <v>147</v>
      </c>
      <c r="DM126" s="358">
        <v>159</v>
      </c>
      <c r="DN126" s="358">
        <v>162</v>
      </c>
      <c r="DO126" s="358">
        <v>173</v>
      </c>
      <c r="DP126" s="358">
        <v>182</v>
      </c>
      <c r="DQ126" s="358">
        <v>11</v>
      </c>
      <c r="DR126" s="358">
        <v>6</v>
      </c>
      <c r="DS126" s="358">
        <v>2</v>
      </c>
      <c r="DU126" s="358">
        <v>3</v>
      </c>
      <c r="DV126" s="358">
        <v>4</v>
      </c>
      <c r="DW126" s="358">
        <v>10</v>
      </c>
      <c r="DX126" s="358">
        <v>13</v>
      </c>
      <c r="DY126" s="358">
        <v>19</v>
      </c>
      <c r="DZ126" s="358">
        <v>24</v>
      </c>
      <c r="EA126" s="358">
        <v>28</v>
      </c>
      <c r="EB126" s="358">
        <v>32</v>
      </c>
      <c r="EC126" s="358">
        <v>37</v>
      </c>
      <c r="ED126" s="358">
        <v>43</v>
      </c>
      <c r="EE126" s="358">
        <v>49</v>
      </c>
      <c r="EF126" s="358">
        <v>52</v>
      </c>
      <c r="EG126" s="358">
        <v>56</v>
      </c>
      <c r="EH126" s="358">
        <v>61</v>
      </c>
      <c r="EI126" s="358">
        <v>66</v>
      </c>
      <c r="EJ126" s="358">
        <v>70</v>
      </c>
      <c r="EK126" s="358">
        <v>75</v>
      </c>
      <c r="EL126" s="358">
        <v>79</v>
      </c>
      <c r="EM126" s="358">
        <v>156</v>
      </c>
      <c r="EN126" s="358">
        <v>168</v>
      </c>
      <c r="EO126" s="358">
        <v>179</v>
      </c>
      <c r="EP126" s="358">
        <v>189</v>
      </c>
      <c r="EQ126" s="358">
        <v>196</v>
      </c>
      <c r="ES126" s="358">
        <v>208</v>
      </c>
      <c r="ET126" s="358">
        <v>213</v>
      </c>
      <c r="EU126" s="358">
        <v>222</v>
      </c>
      <c r="EV126" s="358">
        <v>228</v>
      </c>
      <c r="EW126" s="358">
        <v>152</v>
      </c>
      <c r="EX126" s="358">
        <v>163</v>
      </c>
      <c r="EY126" s="358">
        <v>174</v>
      </c>
      <c r="EZ126" s="358">
        <v>190</v>
      </c>
      <c r="FA126" s="358">
        <v>198</v>
      </c>
      <c r="FB126" s="358">
        <v>208</v>
      </c>
      <c r="FC126" s="358">
        <v>222</v>
      </c>
      <c r="FD126" s="358">
        <v>234</v>
      </c>
      <c r="FE126" s="358">
        <v>241</v>
      </c>
      <c r="FF126" s="358">
        <v>246</v>
      </c>
      <c r="FG126" s="358">
        <v>258</v>
      </c>
      <c r="FH126" s="358">
        <v>267</v>
      </c>
      <c r="FI126" s="358">
        <v>278</v>
      </c>
      <c r="FJ126" s="358">
        <v>284</v>
      </c>
      <c r="FK126" s="358">
        <v>289</v>
      </c>
      <c r="FL126" s="358">
        <v>131</v>
      </c>
      <c r="FM126" s="358">
        <v>141</v>
      </c>
      <c r="FN126" s="358">
        <v>147</v>
      </c>
      <c r="FO126" s="358">
        <v>154</v>
      </c>
      <c r="FP126" s="358">
        <v>167</v>
      </c>
      <c r="FQ126" s="358">
        <v>182</v>
      </c>
      <c r="FR126" s="358">
        <v>190</v>
      </c>
      <c r="FS126" s="358">
        <v>197</v>
      </c>
      <c r="FT126" s="358">
        <v>204</v>
      </c>
      <c r="FU126" s="358">
        <v>211</v>
      </c>
      <c r="FV126" s="358">
        <v>221</v>
      </c>
      <c r="FW126" s="358">
        <v>90</v>
      </c>
      <c r="FX126" s="358">
        <v>137</v>
      </c>
      <c r="FY126" s="358">
        <v>144</v>
      </c>
      <c r="FZ126" s="358">
        <v>172</v>
      </c>
      <c r="GA126" s="358">
        <v>241</v>
      </c>
      <c r="GB126" s="358">
        <v>269</v>
      </c>
      <c r="GC126" s="358">
        <v>129</v>
      </c>
      <c r="GD126" s="358">
        <v>165</v>
      </c>
      <c r="GE126" s="358">
        <v>194</v>
      </c>
      <c r="GF126" s="358">
        <v>186</v>
      </c>
      <c r="GG126" s="358">
        <v>110</v>
      </c>
      <c r="GH126" s="358">
        <v>122</v>
      </c>
      <c r="GI126" s="361">
        <v>148</v>
      </c>
    </row>
    <row r="127" spans="1:191">
      <c r="A127" s="336" t="s">
        <v>372</v>
      </c>
      <c r="B127" s="358">
        <v>21</v>
      </c>
      <c r="C127" s="358">
        <v>25</v>
      </c>
      <c r="D127" s="358">
        <v>27</v>
      </c>
      <c r="E127" s="358">
        <v>28</v>
      </c>
      <c r="F127" s="358">
        <v>31</v>
      </c>
      <c r="G127" s="358">
        <v>34</v>
      </c>
      <c r="H127" s="358">
        <v>37</v>
      </c>
      <c r="I127" s="358">
        <v>39</v>
      </c>
      <c r="J127" s="358">
        <v>42</v>
      </c>
      <c r="K127" s="358">
        <v>46</v>
      </c>
      <c r="L127" s="358">
        <v>48</v>
      </c>
      <c r="M127" s="358">
        <v>51</v>
      </c>
      <c r="N127" s="358">
        <v>53</v>
      </c>
      <c r="O127" s="358">
        <v>58</v>
      </c>
      <c r="P127" s="358">
        <v>64</v>
      </c>
      <c r="Q127" s="358">
        <v>66</v>
      </c>
      <c r="R127" s="358">
        <v>69</v>
      </c>
      <c r="S127" s="358">
        <v>71</v>
      </c>
      <c r="T127" s="358">
        <v>74</v>
      </c>
      <c r="U127" s="358">
        <v>77</v>
      </c>
      <c r="V127" s="358">
        <v>19</v>
      </c>
      <c r="W127" s="358">
        <v>17</v>
      </c>
      <c r="X127" s="358">
        <v>19</v>
      </c>
      <c r="Y127" s="358">
        <v>21</v>
      </c>
      <c r="Z127" s="358">
        <v>23</v>
      </c>
      <c r="AA127" s="358">
        <v>24</v>
      </c>
      <c r="AB127" s="358">
        <v>26</v>
      </c>
      <c r="AC127" s="358">
        <v>29</v>
      </c>
      <c r="AD127" s="358">
        <v>31</v>
      </c>
      <c r="AE127" s="358">
        <v>36</v>
      </c>
      <c r="AF127" s="358">
        <v>41</v>
      </c>
      <c r="AG127" s="358">
        <v>46</v>
      </c>
      <c r="AH127" s="358">
        <v>47</v>
      </c>
      <c r="AI127" s="358">
        <v>48</v>
      </c>
      <c r="AJ127" s="358">
        <v>52</v>
      </c>
      <c r="AK127" s="358">
        <v>58</v>
      </c>
      <c r="AL127" s="358">
        <v>64</v>
      </c>
      <c r="AM127" s="358">
        <v>69</v>
      </c>
      <c r="AN127" s="358">
        <v>75</v>
      </c>
      <c r="AO127" s="358">
        <v>79</v>
      </c>
      <c r="AP127" s="358">
        <v>85</v>
      </c>
      <c r="AQ127" s="358">
        <v>91</v>
      </c>
      <c r="AR127" s="358">
        <v>95</v>
      </c>
      <c r="AS127" s="358">
        <v>107</v>
      </c>
      <c r="AT127" s="358">
        <v>115</v>
      </c>
      <c r="AU127" s="358">
        <v>125</v>
      </c>
      <c r="AV127" s="358">
        <v>134</v>
      </c>
      <c r="AW127" s="358">
        <v>142</v>
      </c>
      <c r="AX127" s="358">
        <v>24</v>
      </c>
      <c r="AY127" s="358">
        <v>28</v>
      </c>
      <c r="AZ127" s="358">
        <v>29</v>
      </c>
      <c r="BA127" s="358">
        <v>30</v>
      </c>
      <c r="BB127" s="358">
        <v>31</v>
      </c>
      <c r="BC127" s="358">
        <v>34</v>
      </c>
      <c r="BD127" s="358">
        <v>38</v>
      </c>
      <c r="BE127" s="358">
        <v>40</v>
      </c>
      <c r="BF127" s="358">
        <v>41</v>
      </c>
      <c r="BG127" s="358">
        <v>44</v>
      </c>
      <c r="BH127" s="358">
        <v>45</v>
      </c>
      <c r="BI127" s="358">
        <v>46</v>
      </c>
      <c r="BJ127" s="358">
        <v>48</v>
      </c>
      <c r="BK127" s="358">
        <v>49</v>
      </c>
      <c r="BL127" s="358">
        <v>50</v>
      </c>
      <c r="BM127" s="358">
        <v>52</v>
      </c>
      <c r="BN127" s="358">
        <v>53</v>
      </c>
      <c r="BO127" s="358">
        <v>56</v>
      </c>
      <c r="BP127" s="358">
        <v>61</v>
      </c>
      <c r="BQ127" s="358">
        <v>65</v>
      </c>
      <c r="BR127" s="358">
        <v>75</v>
      </c>
      <c r="BS127" s="358">
        <v>82</v>
      </c>
      <c r="BT127" s="358">
        <v>86</v>
      </c>
      <c r="BU127" s="358">
        <v>89</v>
      </c>
      <c r="BV127" s="358">
        <v>26</v>
      </c>
      <c r="BW127" s="358">
        <v>27</v>
      </c>
      <c r="BX127" s="358">
        <v>30</v>
      </c>
      <c r="BY127" s="358">
        <v>34</v>
      </c>
      <c r="BZ127" s="358">
        <v>39</v>
      </c>
      <c r="CA127" s="358">
        <v>43</v>
      </c>
      <c r="CB127" s="358">
        <v>50</v>
      </c>
      <c r="CC127" s="358">
        <v>55</v>
      </c>
      <c r="CD127" s="358">
        <v>58</v>
      </c>
      <c r="CE127" s="358">
        <v>62</v>
      </c>
      <c r="CF127" s="358">
        <v>64</v>
      </c>
      <c r="CG127" s="358">
        <v>71</v>
      </c>
      <c r="CH127" s="358">
        <v>73</v>
      </c>
      <c r="CI127" s="358">
        <v>77</v>
      </c>
      <c r="CJ127" s="358">
        <v>80</v>
      </c>
      <c r="CK127" s="358">
        <v>87</v>
      </c>
      <c r="CL127" s="358">
        <v>93</v>
      </c>
      <c r="CM127" s="358">
        <v>97</v>
      </c>
      <c r="CN127" s="358">
        <v>102</v>
      </c>
      <c r="CO127" s="358">
        <v>109</v>
      </c>
      <c r="CP127" s="358">
        <v>120</v>
      </c>
      <c r="CQ127" s="358">
        <v>133</v>
      </c>
      <c r="CR127" s="358">
        <v>138</v>
      </c>
      <c r="CS127" s="358">
        <v>27</v>
      </c>
      <c r="CT127" s="358">
        <v>32</v>
      </c>
      <c r="CU127" s="358">
        <v>38</v>
      </c>
      <c r="CV127" s="358">
        <v>44</v>
      </c>
      <c r="CW127" s="358">
        <v>50</v>
      </c>
      <c r="CX127" s="358">
        <v>55</v>
      </c>
      <c r="CY127" s="358">
        <v>62</v>
      </c>
      <c r="CZ127" s="358">
        <v>65</v>
      </c>
      <c r="DA127" s="358">
        <v>69</v>
      </c>
      <c r="DB127" s="358">
        <v>74</v>
      </c>
      <c r="DC127" s="358">
        <v>85</v>
      </c>
      <c r="DD127" s="358">
        <v>95</v>
      </c>
      <c r="DE127" s="358">
        <v>99</v>
      </c>
      <c r="DF127" s="358">
        <v>105</v>
      </c>
      <c r="DG127" s="358">
        <v>114</v>
      </c>
      <c r="DH127" s="358">
        <v>119</v>
      </c>
      <c r="DI127" s="358">
        <v>126</v>
      </c>
      <c r="DJ127" s="358">
        <v>135</v>
      </c>
      <c r="DK127" s="358">
        <v>142</v>
      </c>
      <c r="DL127" s="358">
        <v>150</v>
      </c>
      <c r="DM127" s="358">
        <v>162</v>
      </c>
      <c r="DN127" s="358">
        <v>165</v>
      </c>
      <c r="DO127" s="358">
        <v>176</v>
      </c>
      <c r="DP127" s="358">
        <v>185</v>
      </c>
      <c r="DQ127" s="358">
        <v>14</v>
      </c>
      <c r="DR127" s="358">
        <v>9</v>
      </c>
      <c r="DS127" s="358">
        <v>5</v>
      </c>
      <c r="DT127" s="358">
        <v>3</v>
      </c>
      <c r="DV127" s="358">
        <v>1</v>
      </c>
      <c r="DW127" s="358">
        <v>7</v>
      </c>
      <c r="DX127" s="358">
        <v>10</v>
      </c>
      <c r="DY127" s="358">
        <v>16</v>
      </c>
      <c r="DZ127" s="358">
        <v>21</v>
      </c>
      <c r="EA127" s="358">
        <v>25</v>
      </c>
      <c r="EB127" s="358">
        <v>29</v>
      </c>
      <c r="EC127" s="358">
        <v>34</v>
      </c>
      <c r="ED127" s="358">
        <v>40</v>
      </c>
      <c r="EE127" s="358">
        <v>46</v>
      </c>
      <c r="EF127" s="358">
        <v>49</v>
      </c>
      <c r="EG127" s="358">
        <v>53</v>
      </c>
      <c r="EH127" s="358">
        <v>58</v>
      </c>
      <c r="EI127" s="358">
        <v>63</v>
      </c>
      <c r="EJ127" s="358">
        <v>67</v>
      </c>
      <c r="EK127" s="358">
        <v>72</v>
      </c>
      <c r="EL127" s="358">
        <v>76</v>
      </c>
      <c r="EM127" s="358">
        <v>159</v>
      </c>
      <c r="EN127" s="358">
        <v>171</v>
      </c>
      <c r="EO127" s="358">
        <v>182</v>
      </c>
      <c r="EP127" s="358">
        <v>192</v>
      </c>
      <c r="EQ127" s="358">
        <v>199</v>
      </c>
      <c r="ES127" s="358">
        <v>211</v>
      </c>
      <c r="ET127" s="358">
        <v>216</v>
      </c>
      <c r="EU127" s="358">
        <v>225</v>
      </c>
      <c r="EV127" s="358">
        <v>231</v>
      </c>
      <c r="EW127" s="358">
        <v>155</v>
      </c>
      <c r="EX127" s="358">
        <v>166</v>
      </c>
      <c r="EY127" s="358">
        <v>177</v>
      </c>
      <c r="EZ127" s="358">
        <v>193</v>
      </c>
      <c r="FA127" s="358">
        <v>201</v>
      </c>
      <c r="FB127" s="358">
        <v>211</v>
      </c>
      <c r="FC127" s="358">
        <v>225</v>
      </c>
      <c r="FD127" s="358">
        <v>237</v>
      </c>
      <c r="FE127" s="358">
        <v>244</v>
      </c>
      <c r="FF127" s="358">
        <v>249</v>
      </c>
      <c r="FG127" s="358">
        <v>261</v>
      </c>
      <c r="FH127" s="358">
        <v>270</v>
      </c>
      <c r="FI127" s="358">
        <v>281</v>
      </c>
      <c r="FJ127" s="358">
        <v>287</v>
      </c>
      <c r="FK127" s="358">
        <v>292</v>
      </c>
      <c r="FL127" s="358">
        <v>134</v>
      </c>
      <c r="FM127" s="358">
        <v>144</v>
      </c>
      <c r="FN127" s="358">
        <v>150</v>
      </c>
      <c r="FO127" s="358">
        <v>157</v>
      </c>
      <c r="FP127" s="358">
        <v>170</v>
      </c>
      <c r="FQ127" s="358">
        <v>185</v>
      </c>
      <c r="FR127" s="358">
        <v>193</v>
      </c>
      <c r="FS127" s="358">
        <v>200</v>
      </c>
      <c r="FT127" s="358">
        <v>207</v>
      </c>
      <c r="FU127" s="358">
        <v>214</v>
      </c>
      <c r="FV127" s="358">
        <v>224</v>
      </c>
      <c r="FW127" s="358">
        <v>93</v>
      </c>
      <c r="FX127" s="358">
        <v>140</v>
      </c>
      <c r="FY127" s="358">
        <v>147</v>
      </c>
      <c r="FZ127" s="358">
        <v>175</v>
      </c>
      <c r="GA127" s="358">
        <v>244</v>
      </c>
      <c r="GB127" s="358">
        <v>272</v>
      </c>
      <c r="GC127" s="358">
        <v>132</v>
      </c>
      <c r="GD127" s="358">
        <v>168</v>
      </c>
      <c r="GE127" s="358">
        <v>197</v>
      </c>
      <c r="GF127" s="358">
        <v>189</v>
      </c>
      <c r="GG127" s="358">
        <v>113</v>
      </c>
      <c r="GH127" s="358">
        <v>125</v>
      </c>
      <c r="GI127" s="361">
        <v>151</v>
      </c>
    </row>
    <row r="128" spans="1:191">
      <c r="A128" s="336" t="s">
        <v>371</v>
      </c>
      <c r="B128" s="358">
        <v>22</v>
      </c>
      <c r="C128" s="358">
        <v>26</v>
      </c>
      <c r="D128" s="358">
        <v>28</v>
      </c>
      <c r="E128" s="358">
        <v>29</v>
      </c>
      <c r="F128" s="358">
        <v>32</v>
      </c>
      <c r="G128" s="358">
        <v>35</v>
      </c>
      <c r="H128" s="358">
        <v>38</v>
      </c>
      <c r="I128" s="358">
        <v>40</v>
      </c>
      <c r="J128" s="358">
        <v>43</v>
      </c>
      <c r="K128" s="358">
        <v>47</v>
      </c>
      <c r="L128" s="358">
        <v>49</v>
      </c>
      <c r="M128" s="358">
        <v>52</v>
      </c>
      <c r="N128" s="358">
        <v>54</v>
      </c>
      <c r="O128" s="358">
        <v>59</v>
      </c>
      <c r="P128" s="358">
        <v>65</v>
      </c>
      <c r="Q128" s="358">
        <v>67</v>
      </c>
      <c r="R128" s="358">
        <v>70</v>
      </c>
      <c r="S128" s="358">
        <v>72</v>
      </c>
      <c r="T128" s="358">
        <v>75</v>
      </c>
      <c r="U128" s="358">
        <v>78</v>
      </c>
      <c r="V128" s="358">
        <v>20</v>
      </c>
      <c r="W128" s="358">
        <v>18</v>
      </c>
      <c r="X128" s="358">
        <v>20</v>
      </c>
      <c r="Y128" s="358">
        <v>22</v>
      </c>
      <c r="Z128" s="358">
        <v>24</v>
      </c>
      <c r="AA128" s="358">
        <v>25</v>
      </c>
      <c r="AB128" s="358">
        <v>27</v>
      </c>
      <c r="AC128" s="358">
        <v>30</v>
      </c>
      <c r="AD128" s="358">
        <v>32</v>
      </c>
      <c r="AE128" s="358">
        <v>37</v>
      </c>
      <c r="AF128" s="358">
        <v>42</v>
      </c>
      <c r="AG128" s="358">
        <v>47</v>
      </c>
      <c r="AH128" s="358">
        <v>48</v>
      </c>
      <c r="AI128" s="358">
        <v>49</v>
      </c>
      <c r="AJ128" s="358">
        <v>53</v>
      </c>
      <c r="AK128" s="358">
        <v>59</v>
      </c>
      <c r="AL128" s="358">
        <v>65</v>
      </c>
      <c r="AM128" s="358">
        <v>70</v>
      </c>
      <c r="AN128" s="358">
        <v>76</v>
      </c>
      <c r="AO128" s="358">
        <v>80</v>
      </c>
      <c r="AP128" s="358">
        <v>86</v>
      </c>
      <c r="AQ128" s="358">
        <v>92</v>
      </c>
      <c r="AR128" s="358">
        <v>96</v>
      </c>
      <c r="AS128" s="358">
        <v>108</v>
      </c>
      <c r="AT128" s="358">
        <v>116</v>
      </c>
      <c r="AU128" s="358">
        <v>126</v>
      </c>
      <c r="AV128" s="358">
        <v>135</v>
      </c>
      <c r="AW128" s="358">
        <v>143</v>
      </c>
      <c r="AX128" s="358">
        <v>25</v>
      </c>
      <c r="AY128" s="358">
        <v>29</v>
      </c>
      <c r="AZ128" s="358">
        <v>30</v>
      </c>
      <c r="BA128" s="358">
        <v>31</v>
      </c>
      <c r="BB128" s="358">
        <v>32</v>
      </c>
      <c r="BC128" s="358">
        <v>35</v>
      </c>
      <c r="BD128" s="358">
        <v>39</v>
      </c>
      <c r="BE128" s="358">
        <v>41</v>
      </c>
      <c r="BF128" s="358">
        <v>42</v>
      </c>
      <c r="BG128" s="358">
        <v>45</v>
      </c>
      <c r="BH128" s="358">
        <v>46</v>
      </c>
      <c r="BI128" s="358">
        <v>47</v>
      </c>
      <c r="BJ128" s="358">
        <v>49</v>
      </c>
      <c r="BK128" s="358">
        <v>50</v>
      </c>
      <c r="BL128" s="358">
        <v>51</v>
      </c>
      <c r="BM128" s="358">
        <v>53</v>
      </c>
      <c r="BN128" s="358">
        <v>54</v>
      </c>
      <c r="BO128" s="358">
        <v>57</v>
      </c>
      <c r="BP128" s="358">
        <v>62</v>
      </c>
      <c r="BQ128" s="358">
        <v>66</v>
      </c>
      <c r="BR128" s="358">
        <v>76</v>
      </c>
      <c r="BS128" s="358">
        <v>83</v>
      </c>
      <c r="BT128" s="358">
        <v>87</v>
      </c>
      <c r="BU128" s="358">
        <v>90</v>
      </c>
      <c r="BV128" s="358">
        <v>27</v>
      </c>
      <c r="BW128" s="358">
        <v>28</v>
      </c>
      <c r="BX128" s="358">
        <v>31</v>
      </c>
      <c r="BY128" s="358">
        <v>35</v>
      </c>
      <c r="BZ128" s="358">
        <v>40</v>
      </c>
      <c r="CA128" s="358">
        <v>44</v>
      </c>
      <c r="CB128" s="358">
        <v>51</v>
      </c>
      <c r="CC128" s="358">
        <v>56</v>
      </c>
      <c r="CD128" s="358">
        <v>59</v>
      </c>
      <c r="CE128" s="358">
        <v>63</v>
      </c>
      <c r="CF128" s="358">
        <v>65</v>
      </c>
      <c r="CG128" s="358">
        <v>72</v>
      </c>
      <c r="CH128" s="358">
        <v>74</v>
      </c>
      <c r="CI128" s="358">
        <v>78</v>
      </c>
      <c r="CJ128" s="358">
        <v>81</v>
      </c>
      <c r="CK128" s="358">
        <v>88</v>
      </c>
      <c r="CL128" s="358">
        <v>94</v>
      </c>
      <c r="CM128" s="358">
        <v>98</v>
      </c>
      <c r="CN128" s="358">
        <v>103</v>
      </c>
      <c r="CO128" s="358">
        <v>110</v>
      </c>
      <c r="CP128" s="358">
        <v>121</v>
      </c>
      <c r="CQ128" s="358">
        <v>134</v>
      </c>
      <c r="CR128" s="358">
        <v>139</v>
      </c>
      <c r="CS128" s="358">
        <v>28</v>
      </c>
      <c r="CT128" s="358">
        <v>33</v>
      </c>
      <c r="CU128" s="358">
        <v>39</v>
      </c>
      <c r="CV128" s="358">
        <v>45</v>
      </c>
      <c r="CW128" s="358">
        <v>51</v>
      </c>
      <c r="CX128" s="358">
        <v>56</v>
      </c>
      <c r="CY128" s="358">
        <v>63</v>
      </c>
      <c r="CZ128" s="358">
        <v>66</v>
      </c>
      <c r="DA128" s="358">
        <v>70</v>
      </c>
      <c r="DB128" s="358">
        <v>75</v>
      </c>
      <c r="DC128" s="358">
        <v>86</v>
      </c>
      <c r="DD128" s="358">
        <v>96</v>
      </c>
      <c r="DE128" s="358">
        <v>100</v>
      </c>
      <c r="DF128" s="358">
        <v>106</v>
      </c>
      <c r="DG128" s="358">
        <v>115</v>
      </c>
      <c r="DH128" s="358">
        <v>120</v>
      </c>
      <c r="DI128" s="358">
        <v>127</v>
      </c>
      <c r="DJ128" s="358">
        <v>136</v>
      </c>
      <c r="DK128" s="358">
        <v>143</v>
      </c>
      <c r="DL128" s="358">
        <v>151</v>
      </c>
      <c r="DM128" s="358">
        <v>163</v>
      </c>
      <c r="DN128" s="358">
        <v>166</v>
      </c>
      <c r="DO128" s="358">
        <v>177</v>
      </c>
      <c r="DP128" s="358">
        <v>186</v>
      </c>
      <c r="DQ128" s="358">
        <v>15</v>
      </c>
      <c r="DR128" s="358">
        <v>10</v>
      </c>
      <c r="DS128" s="358">
        <v>6</v>
      </c>
      <c r="DT128" s="358">
        <v>4</v>
      </c>
      <c r="DU128" s="358">
        <v>1</v>
      </c>
      <c r="DW128" s="358">
        <v>6</v>
      </c>
      <c r="DX128" s="358">
        <v>9</v>
      </c>
      <c r="DY128" s="358">
        <v>15</v>
      </c>
      <c r="DZ128" s="358">
        <v>20</v>
      </c>
      <c r="EA128" s="358">
        <v>24</v>
      </c>
      <c r="EB128" s="358">
        <v>28</v>
      </c>
      <c r="EC128" s="358">
        <v>33</v>
      </c>
      <c r="ED128" s="358">
        <v>39</v>
      </c>
      <c r="EE128" s="358">
        <v>45</v>
      </c>
      <c r="EF128" s="358">
        <v>48</v>
      </c>
      <c r="EG128" s="358">
        <v>52</v>
      </c>
      <c r="EH128" s="358">
        <v>57</v>
      </c>
      <c r="EI128" s="358">
        <v>62</v>
      </c>
      <c r="EJ128" s="358">
        <v>66</v>
      </c>
      <c r="EK128" s="358">
        <v>71</v>
      </c>
      <c r="EL128" s="358">
        <v>75</v>
      </c>
      <c r="EM128" s="358">
        <v>160</v>
      </c>
      <c r="EN128" s="358">
        <v>172</v>
      </c>
      <c r="EO128" s="358">
        <v>183</v>
      </c>
      <c r="EP128" s="358">
        <v>193</v>
      </c>
      <c r="EQ128" s="358">
        <v>200</v>
      </c>
      <c r="ES128" s="358">
        <v>212</v>
      </c>
      <c r="ET128" s="358">
        <v>217</v>
      </c>
      <c r="EU128" s="358">
        <v>226</v>
      </c>
      <c r="EV128" s="358">
        <v>232</v>
      </c>
      <c r="EW128" s="358">
        <v>156</v>
      </c>
      <c r="EX128" s="358">
        <v>167</v>
      </c>
      <c r="EY128" s="358">
        <v>178</v>
      </c>
      <c r="EZ128" s="358">
        <v>194</v>
      </c>
      <c r="FA128" s="358">
        <v>202</v>
      </c>
      <c r="FB128" s="358">
        <v>212</v>
      </c>
      <c r="FC128" s="358">
        <v>226</v>
      </c>
      <c r="FD128" s="358">
        <v>238</v>
      </c>
      <c r="FE128" s="358">
        <v>245</v>
      </c>
      <c r="FF128" s="358">
        <v>250</v>
      </c>
      <c r="FG128" s="358">
        <v>262</v>
      </c>
      <c r="FH128" s="358">
        <v>271</v>
      </c>
      <c r="FI128" s="358">
        <v>282</v>
      </c>
      <c r="FJ128" s="358">
        <v>288</v>
      </c>
      <c r="FK128" s="358">
        <v>293</v>
      </c>
      <c r="FL128" s="358">
        <v>135</v>
      </c>
      <c r="FM128" s="358">
        <v>145</v>
      </c>
      <c r="FN128" s="358">
        <v>151</v>
      </c>
      <c r="FO128" s="358">
        <v>158</v>
      </c>
      <c r="FP128" s="358">
        <v>171</v>
      </c>
      <c r="FQ128" s="358">
        <v>186</v>
      </c>
      <c r="FR128" s="358">
        <v>194</v>
      </c>
      <c r="FS128" s="358">
        <v>201</v>
      </c>
      <c r="FT128" s="358">
        <v>208</v>
      </c>
      <c r="FU128" s="358">
        <v>215</v>
      </c>
      <c r="FV128" s="358">
        <v>225</v>
      </c>
      <c r="FW128" s="358">
        <v>94</v>
      </c>
      <c r="FX128" s="358">
        <v>141</v>
      </c>
      <c r="FY128" s="358">
        <v>148</v>
      </c>
      <c r="FZ128" s="358">
        <v>176</v>
      </c>
      <c r="GA128" s="358">
        <v>245</v>
      </c>
      <c r="GB128" s="358">
        <v>273</v>
      </c>
      <c r="GC128" s="358">
        <v>133</v>
      </c>
      <c r="GD128" s="358">
        <v>169</v>
      </c>
      <c r="GE128" s="358">
        <v>198</v>
      </c>
      <c r="GF128" s="358">
        <v>190</v>
      </c>
      <c r="GG128" s="358">
        <v>114</v>
      </c>
      <c r="GH128" s="358">
        <v>126</v>
      </c>
      <c r="GI128" s="361">
        <v>152</v>
      </c>
    </row>
    <row r="129" spans="1:191">
      <c r="A129" s="336" t="s">
        <v>370</v>
      </c>
      <c r="B129" s="358">
        <v>28</v>
      </c>
      <c r="C129" s="358">
        <v>32</v>
      </c>
      <c r="D129" s="358">
        <v>34</v>
      </c>
      <c r="E129" s="358">
        <v>35</v>
      </c>
      <c r="F129" s="358">
        <v>38</v>
      </c>
      <c r="G129" s="358">
        <v>41</v>
      </c>
      <c r="H129" s="358">
        <v>44</v>
      </c>
      <c r="I129" s="358">
        <v>46</v>
      </c>
      <c r="J129" s="358">
        <v>49</v>
      </c>
      <c r="K129" s="358">
        <v>53</v>
      </c>
      <c r="L129" s="358">
        <v>55</v>
      </c>
      <c r="M129" s="358">
        <v>58</v>
      </c>
      <c r="N129" s="358">
        <v>60</v>
      </c>
      <c r="O129" s="358">
        <v>65</v>
      </c>
      <c r="P129" s="358">
        <v>71</v>
      </c>
      <c r="Q129" s="358">
        <v>73</v>
      </c>
      <c r="R129" s="358">
        <v>76</v>
      </c>
      <c r="S129" s="358">
        <v>78</v>
      </c>
      <c r="T129" s="358">
        <v>81</v>
      </c>
      <c r="U129" s="358">
        <v>84</v>
      </c>
      <c r="V129" s="358">
        <v>26</v>
      </c>
      <c r="W129" s="358">
        <v>24</v>
      </c>
      <c r="X129" s="358">
        <v>26</v>
      </c>
      <c r="Y129" s="358">
        <v>28</v>
      </c>
      <c r="Z129" s="358">
        <v>30</v>
      </c>
      <c r="AA129" s="358">
        <v>31</v>
      </c>
      <c r="AB129" s="358">
        <v>33</v>
      </c>
      <c r="AC129" s="358">
        <v>36</v>
      </c>
      <c r="AD129" s="358">
        <v>38</v>
      </c>
      <c r="AE129" s="358">
        <v>43</v>
      </c>
      <c r="AF129" s="358">
        <v>48</v>
      </c>
      <c r="AG129" s="358">
        <v>53</v>
      </c>
      <c r="AH129" s="358">
        <v>54</v>
      </c>
      <c r="AI129" s="358">
        <v>55</v>
      </c>
      <c r="AJ129" s="358">
        <v>59</v>
      </c>
      <c r="AK129" s="358">
        <v>65</v>
      </c>
      <c r="AL129" s="358">
        <v>71</v>
      </c>
      <c r="AM129" s="358">
        <v>76</v>
      </c>
      <c r="AN129" s="358">
        <v>82</v>
      </c>
      <c r="AO129" s="358">
        <v>86</v>
      </c>
      <c r="AP129" s="358">
        <v>92</v>
      </c>
      <c r="AQ129" s="358">
        <v>98</v>
      </c>
      <c r="AR129" s="358">
        <v>102</v>
      </c>
      <c r="AS129" s="358">
        <v>114</v>
      </c>
      <c r="AT129" s="358">
        <v>122</v>
      </c>
      <c r="AU129" s="358">
        <v>132</v>
      </c>
      <c r="AV129" s="358">
        <v>141</v>
      </c>
      <c r="AW129" s="358">
        <v>149</v>
      </c>
      <c r="AX129" s="358">
        <v>31</v>
      </c>
      <c r="AY129" s="358">
        <v>35</v>
      </c>
      <c r="AZ129" s="358">
        <v>36</v>
      </c>
      <c r="BA129" s="358">
        <v>37</v>
      </c>
      <c r="BB129" s="358">
        <v>38</v>
      </c>
      <c r="BC129" s="358">
        <v>41</v>
      </c>
      <c r="BD129" s="358">
        <v>45</v>
      </c>
      <c r="BE129" s="358">
        <v>47</v>
      </c>
      <c r="BF129" s="358">
        <v>48</v>
      </c>
      <c r="BG129" s="358">
        <v>51</v>
      </c>
      <c r="BH129" s="358">
        <v>52</v>
      </c>
      <c r="BI129" s="358">
        <v>53</v>
      </c>
      <c r="BJ129" s="358">
        <v>55</v>
      </c>
      <c r="BK129" s="358">
        <v>56</v>
      </c>
      <c r="BL129" s="358">
        <v>57</v>
      </c>
      <c r="BM129" s="358">
        <v>59</v>
      </c>
      <c r="BN129" s="358">
        <v>60</v>
      </c>
      <c r="BO129" s="358">
        <v>63</v>
      </c>
      <c r="BP129" s="358">
        <v>68</v>
      </c>
      <c r="BQ129" s="358">
        <v>72</v>
      </c>
      <c r="BR129" s="358">
        <v>82</v>
      </c>
      <c r="BS129" s="358">
        <v>89</v>
      </c>
      <c r="BT129" s="358">
        <v>93</v>
      </c>
      <c r="BU129" s="358">
        <v>96</v>
      </c>
      <c r="BV129" s="358">
        <v>33</v>
      </c>
      <c r="BW129" s="358">
        <v>34</v>
      </c>
      <c r="BX129" s="358">
        <v>37</v>
      </c>
      <c r="BY129" s="358">
        <v>41</v>
      </c>
      <c r="BZ129" s="358">
        <v>46</v>
      </c>
      <c r="CA129" s="358">
        <v>50</v>
      </c>
      <c r="CB129" s="358">
        <v>57</v>
      </c>
      <c r="CC129" s="358">
        <v>62</v>
      </c>
      <c r="CD129" s="358">
        <v>65</v>
      </c>
      <c r="CE129" s="358">
        <v>69</v>
      </c>
      <c r="CF129" s="358">
        <v>71</v>
      </c>
      <c r="CG129" s="358">
        <v>78</v>
      </c>
      <c r="CH129" s="358">
        <v>80</v>
      </c>
      <c r="CI129" s="358">
        <v>84</v>
      </c>
      <c r="CJ129" s="358">
        <v>87</v>
      </c>
      <c r="CK129" s="358">
        <v>94</v>
      </c>
      <c r="CL129" s="358">
        <v>100</v>
      </c>
      <c r="CM129" s="358">
        <v>104</v>
      </c>
      <c r="CN129" s="358">
        <v>109</v>
      </c>
      <c r="CO129" s="358">
        <v>116</v>
      </c>
      <c r="CP129" s="358">
        <v>127</v>
      </c>
      <c r="CQ129" s="358">
        <v>140</v>
      </c>
      <c r="CR129" s="358">
        <v>145</v>
      </c>
      <c r="CS129" s="358">
        <v>34</v>
      </c>
      <c r="CT129" s="358">
        <v>39</v>
      </c>
      <c r="CU129" s="358">
        <v>45</v>
      </c>
      <c r="CV129" s="358">
        <v>51</v>
      </c>
      <c r="CW129" s="358">
        <v>57</v>
      </c>
      <c r="CX129" s="358">
        <v>62</v>
      </c>
      <c r="CY129" s="358">
        <v>69</v>
      </c>
      <c r="CZ129" s="358">
        <v>72</v>
      </c>
      <c r="DA129" s="358">
        <v>76</v>
      </c>
      <c r="DB129" s="358">
        <v>81</v>
      </c>
      <c r="DC129" s="358">
        <v>92</v>
      </c>
      <c r="DD129" s="358">
        <v>102</v>
      </c>
      <c r="DE129" s="358">
        <v>106</v>
      </c>
      <c r="DF129" s="358">
        <v>112</v>
      </c>
      <c r="DG129" s="358">
        <v>121</v>
      </c>
      <c r="DH129" s="358">
        <v>126</v>
      </c>
      <c r="DI129" s="358">
        <v>133</v>
      </c>
      <c r="DJ129" s="358">
        <v>142</v>
      </c>
      <c r="DK129" s="358">
        <v>149</v>
      </c>
      <c r="DL129" s="358">
        <v>157</v>
      </c>
      <c r="DM129" s="358">
        <v>169</v>
      </c>
      <c r="DN129" s="358">
        <v>172</v>
      </c>
      <c r="DO129" s="358">
        <v>183</v>
      </c>
      <c r="DP129" s="358">
        <v>192</v>
      </c>
      <c r="DQ129" s="358">
        <v>21</v>
      </c>
      <c r="DR129" s="358">
        <v>16</v>
      </c>
      <c r="DS129" s="358">
        <v>12</v>
      </c>
      <c r="DT129" s="358">
        <v>10</v>
      </c>
      <c r="DU129" s="358">
        <v>7</v>
      </c>
      <c r="DV129" s="358">
        <v>6</v>
      </c>
      <c r="DX129" s="358">
        <v>3</v>
      </c>
      <c r="DY129" s="358">
        <v>9</v>
      </c>
      <c r="DZ129" s="358">
        <v>14</v>
      </c>
      <c r="EA129" s="358">
        <v>18</v>
      </c>
      <c r="EB129" s="358">
        <v>22</v>
      </c>
      <c r="EC129" s="358">
        <v>27</v>
      </c>
      <c r="ED129" s="358">
        <v>33</v>
      </c>
      <c r="EE129" s="358">
        <v>39</v>
      </c>
      <c r="EF129" s="358">
        <v>42</v>
      </c>
      <c r="EG129" s="358">
        <v>46</v>
      </c>
      <c r="EH129" s="358">
        <v>51</v>
      </c>
      <c r="EI129" s="358">
        <v>56</v>
      </c>
      <c r="EJ129" s="358">
        <v>60</v>
      </c>
      <c r="EK129" s="358">
        <v>65</v>
      </c>
      <c r="EL129" s="358">
        <v>69</v>
      </c>
      <c r="EM129" s="358">
        <v>166</v>
      </c>
      <c r="EN129" s="358">
        <v>178</v>
      </c>
      <c r="EO129" s="358">
        <v>189</v>
      </c>
      <c r="EP129" s="358">
        <v>199</v>
      </c>
      <c r="EQ129" s="358">
        <v>206</v>
      </c>
      <c r="ES129" s="358">
        <v>218</v>
      </c>
      <c r="ET129" s="358">
        <v>223</v>
      </c>
      <c r="EU129" s="358">
        <v>232</v>
      </c>
      <c r="EV129" s="358">
        <v>238</v>
      </c>
      <c r="EW129" s="358">
        <v>162</v>
      </c>
      <c r="EX129" s="358">
        <v>173</v>
      </c>
      <c r="EY129" s="358">
        <v>184</v>
      </c>
      <c r="EZ129" s="358">
        <v>200</v>
      </c>
      <c r="FA129" s="358">
        <v>208</v>
      </c>
      <c r="FB129" s="358">
        <v>218</v>
      </c>
      <c r="FC129" s="358">
        <v>232</v>
      </c>
      <c r="FD129" s="358">
        <v>244</v>
      </c>
      <c r="FE129" s="358">
        <v>251</v>
      </c>
      <c r="FF129" s="358">
        <v>256</v>
      </c>
      <c r="FG129" s="358">
        <v>268</v>
      </c>
      <c r="FH129" s="358">
        <v>277</v>
      </c>
      <c r="FI129" s="358">
        <v>288</v>
      </c>
      <c r="FJ129" s="358">
        <v>294</v>
      </c>
      <c r="FK129" s="358">
        <v>299</v>
      </c>
      <c r="FL129" s="358">
        <v>141</v>
      </c>
      <c r="FM129" s="358">
        <v>151</v>
      </c>
      <c r="FN129" s="358">
        <v>157</v>
      </c>
      <c r="FO129" s="358">
        <v>164</v>
      </c>
      <c r="FP129" s="358">
        <v>177</v>
      </c>
      <c r="FQ129" s="358">
        <v>192</v>
      </c>
      <c r="FR129" s="358">
        <v>200</v>
      </c>
      <c r="FS129" s="358">
        <v>207</v>
      </c>
      <c r="FT129" s="358">
        <v>214</v>
      </c>
      <c r="FU129" s="358">
        <v>221</v>
      </c>
      <c r="FV129" s="358">
        <v>231</v>
      </c>
      <c r="FW129" s="358">
        <v>100</v>
      </c>
      <c r="FX129" s="358">
        <v>147</v>
      </c>
      <c r="FY129" s="358">
        <v>154</v>
      </c>
      <c r="FZ129" s="358">
        <v>182</v>
      </c>
      <c r="GA129" s="358">
        <v>251</v>
      </c>
      <c r="GB129" s="358">
        <v>279</v>
      </c>
      <c r="GC129" s="358">
        <v>139</v>
      </c>
      <c r="GD129" s="358">
        <v>175</v>
      </c>
      <c r="GE129" s="358">
        <v>204</v>
      </c>
      <c r="GF129" s="358">
        <v>196</v>
      </c>
      <c r="GG129" s="358">
        <v>120</v>
      </c>
      <c r="GH129" s="358">
        <v>132</v>
      </c>
      <c r="GI129" s="361">
        <v>158</v>
      </c>
    </row>
    <row r="130" spans="1:191">
      <c r="A130" s="336" t="s">
        <v>369</v>
      </c>
      <c r="B130" s="358">
        <v>31</v>
      </c>
      <c r="C130" s="358">
        <v>35</v>
      </c>
      <c r="D130" s="358">
        <v>37</v>
      </c>
      <c r="E130" s="358">
        <v>38</v>
      </c>
      <c r="F130" s="358">
        <v>41</v>
      </c>
      <c r="G130" s="358">
        <v>44</v>
      </c>
      <c r="H130" s="358">
        <v>47</v>
      </c>
      <c r="I130" s="358">
        <v>49</v>
      </c>
      <c r="J130" s="358">
        <v>52</v>
      </c>
      <c r="K130" s="358">
        <v>56</v>
      </c>
      <c r="L130" s="358">
        <v>58</v>
      </c>
      <c r="M130" s="358">
        <v>61</v>
      </c>
      <c r="N130" s="358">
        <v>63</v>
      </c>
      <c r="O130" s="358">
        <v>68</v>
      </c>
      <c r="P130" s="358">
        <v>74</v>
      </c>
      <c r="Q130" s="358">
        <v>76</v>
      </c>
      <c r="R130" s="358">
        <v>79</v>
      </c>
      <c r="S130" s="358">
        <v>81</v>
      </c>
      <c r="T130" s="358">
        <v>84</v>
      </c>
      <c r="U130" s="358">
        <v>87</v>
      </c>
      <c r="V130" s="358">
        <v>29</v>
      </c>
      <c r="W130" s="358">
        <v>27</v>
      </c>
      <c r="X130" s="358">
        <v>29</v>
      </c>
      <c r="Y130" s="358">
        <v>31</v>
      </c>
      <c r="Z130" s="358">
        <v>33</v>
      </c>
      <c r="AA130" s="358">
        <v>34</v>
      </c>
      <c r="AB130" s="358">
        <v>36</v>
      </c>
      <c r="AC130" s="358">
        <v>39</v>
      </c>
      <c r="AD130" s="358">
        <v>41</v>
      </c>
      <c r="AE130" s="358">
        <v>46</v>
      </c>
      <c r="AF130" s="358">
        <v>51</v>
      </c>
      <c r="AG130" s="358">
        <v>56</v>
      </c>
      <c r="AH130" s="358">
        <v>57</v>
      </c>
      <c r="AI130" s="358">
        <v>58</v>
      </c>
      <c r="AJ130" s="358">
        <v>62</v>
      </c>
      <c r="AK130" s="358">
        <v>68</v>
      </c>
      <c r="AL130" s="358">
        <v>74</v>
      </c>
      <c r="AM130" s="358">
        <v>79</v>
      </c>
      <c r="AN130" s="358">
        <v>85</v>
      </c>
      <c r="AO130" s="358">
        <v>89</v>
      </c>
      <c r="AP130" s="358">
        <v>95</v>
      </c>
      <c r="AQ130" s="358">
        <v>101</v>
      </c>
      <c r="AR130" s="358">
        <v>105</v>
      </c>
      <c r="AS130" s="358">
        <v>117</v>
      </c>
      <c r="AT130" s="358">
        <v>125</v>
      </c>
      <c r="AU130" s="358">
        <v>135</v>
      </c>
      <c r="AV130" s="358">
        <v>144</v>
      </c>
      <c r="AW130" s="358">
        <v>152</v>
      </c>
      <c r="AX130" s="358">
        <v>34</v>
      </c>
      <c r="AY130" s="358">
        <v>38</v>
      </c>
      <c r="AZ130" s="358">
        <v>39</v>
      </c>
      <c r="BA130" s="358">
        <v>40</v>
      </c>
      <c r="BB130" s="358">
        <v>41</v>
      </c>
      <c r="BC130" s="358">
        <v>44</v>
      </c>
      <c r="BD130" s="358">
        <v>48</v>
      </c>
      <c r="BE130" s="358">
        <v>50</v>
      </c>
      <c r="BF130" s="358">
        <v>51</v>
      </c>
      <c r="BG130" s="358">
        <v>54</v>
      </c>
      <c r="BH130" s="358">
        <v>55</v>
      </c>
      <c r="BI130" s="358">
        <v>56</v>
      </c>
      <c r="BJ130" s="358">
        <v>58</v>
      </c>
      <c r="BK130" s="358">
        <v>59</v>
      </c>
      <c r="BL130" s="358">
        <v>60</v>
      </c>
      <c r="BM130" s="358">
        <v>62</v>
      </c>
      <c r="BN130" s="358">
        <v>63</v>
      </c>
      <c r="BO130" s="358">
        <v>66</v>
      </c>
      <c r="BP130" s="358">
        <v>71</v>
      </c>
      <c r="BQ130" s="358">
        <v>75</v>
      </c>
      <c r="BR130" s="358">
        <v>85</v>
      </c>
      <c r="BS130" s="358">
        <v>92</v>
      </c>
      <c r="BT130" s="358">
        <v>96</v>
      </c>
      <c r="BU130" s="358">
        <v>99</v>
      </c>
      <c r="BV130" s="358">
        <v>36</v>
      </c>
      <c r="BW130" s="358">
        <v>37</v>
      </c>
      <c r="BX130" s="358">
        <v>40</v>
      </c>
      <c r="BY130" s="358">
        <v>44</v>
      </c>
      <c r="BZ130" s="358">
        <v>49</v>
      </c>
      <c r="CA130" s="358">
        <v>53</v>
      </c>
      <c r="CB130" s="358">
        <v>60</v>
      </c>
      <c r="CC130" s="358">
        <v>65</v>
      </c>
      <c r="CD130" s="358">
        <v>68</v>
      </c>
      <c r="CE130" s="358">
        <v>72</v>
      </c>
      <c r="CF130" s="358">
        <v>74</v>
      </c>
      <c r="CG130" s="358">
        <v>81</v>
      </c>
      <c r="CH130" s="358">
        <v>83</v>
      </c>
      <c r="CI130" s="358">
        <v>87</v>
      </c>
      <c r="CJ130" s="358">
        <v>90</v>
      </c>
      <c r="CK130" s="358">
        <v>97</v>
      </c>
      <c r="CL130" s="358">
        <v>103</v>
      </c>
      <c r="CM130" s="358">
        <v>107</v>
      </c>
      <c r="CN130" s="358">
        <v>112</v>
      </c>
      <c r="CO130" s="358">
        <v>119</v>
      </c>
      <c r="CP130" s="358">
        <v>130</v>
      </c>
      <c r="CQ130" s="358">
        <v>143</v>
      </c>
      <c r="CR130" s="358">
        <v>148</v>
      </c>
      <c r="CS130" s="358">
        <v>37</v>
      </c>
      <c r="CT130" s="358">
        <v>42</v>
      </c>
      <c r="CU130" s="358">
        <v>48</v>
      </c>
      <c r="CV130" s="358">
        <v>54</v>
      </c>
      <c r="CW130" s="358">
        <v>60</v>
      </c>
      <c r="CX130" s="358">
        <v>65</v>
      </c>
      <c r="CY130" s="358">
        <v>72</v>
      </c>
      <c r="CZ130" s="358">
        <v>75</v>
      </c>
      <c r="DA130" s="358">
        <v>79</v>
      </c>
      <c r="DB130" s="358">
        <v>84</v>
      </c>
      <c r="DC130" s="358">
        <v>95</v>
      </c>
      <c r="DD130" s="358">
        <v>105</v>
      </c>
      <c r="DE130" s="358">
        <v>109</v>
      </c>
      <c r="DF130" s="358">
        <v>115</v>
      </c>
      <c r="DG130" s="358">
        <v>124</v>
      </c>
      <c r="DH130" s="358">
        <v>129</v>
      </c>
      <c r="DI130" s="358">
        <v>136</v>
      </c>
      <c r="DJ130" s="358">
        <v>145</v>
      </c>
      <c r="DK130" s="358">
        <v>152</v>
      </c>
      <c r="DL130" s="358">
        <v>160</v>
      </c>
      <c r="DM130" s="358">
        <v>172</v>
      </c>
      <c r="DN130" s="358">
        <v>175</v>
      </c>
      <c r="DO130" s="358">
        <v>186</v>
      </c>
      <c r="DP130" s="358">
        <v>195</v>
      </c>
      <c r="DQ130" s="358">
        <v>24</v>
      </c>
      <c r="DR130" s="358">
        <v>19</v>
      </c>
      <c r="DS130" s="358">
        <v>15</v>
      </c>
      <c r="DT130" s="358">
        <v>13</v>
      </c>
      <c r="DU130" s="358">
        <v>10</v>
      </c>
      <c r="DV130" s="358">
        <v>9</v>
      </c>
      <c r="DW130" s="358">
        <v>3</v>
      </c>
      <c r="DY130" s="358">
        <v>6</v>
      </c>
      <c r="DZ130" s="358">
        <v>11</v>
      </c>
      <c r="EA130" s="358">
        <v>15</v>
      </c>
      <c r="EB130" s="358">
        <v>19</v>
      </c>
      <c r="EC130" s="358">
        <v>24</v>
      </c>
      <c r="ED130" s="358">
        <v>30</v>
      </c>
      <c r="EE130" s="358">
        <v>36</v>
      </c>
      <c r="EF130" s="358">
        <v>39</v>
      </c>
      <c r="EG130" s="358">
        <v>43</v>
      </c>
      <c r="EH130" s="358">
        <v>48</v>
      </c>
      <c r="EI130" s="358">
        <v>53</v>
      </c>
      <c r="EJ130" s="358">
        <v>57</v>
      </c>
      <c r="EK130" s="358">
        <v>62</v>
      </c>
      <c r="EL130" s="358">
        <v>66</v>
      </c>
      <c r="EM130" s="358">
        <v>169</v>
      </c>
      <c r="EN130" s="358">
        <v>181</v>
      </c>
      <c r="EO130" s="358">
        <v>192</v>
      </c>
      <c r="EP130" s="358">
        <v>202</v>
      </c>
      <c r="EQ130" s="358">
        <v>209</v>
      </c>
      <c r="ES130" s="358">
        <v>221</v>
      </c>
      <c r="ET130" s="358">
        <v>226</v>
      </c>
      <c r="EU130" s="358">
        <v>235</v>
      </c>
      <c r="EV130" s="358">
        <v>241</v>
      </c>
      <c r="EW130" s="358">
        <v>165</v>
      </c>
      <c r="EX130" s="358">
        <v>176</v>
      </c>
      <c r="EY130" s="358">
        <v>187</v>
      </c>
      <c r="EZ130" s="358">
        <v>203</v>
      </c>
      <c r="FA130" s="358">
        <v>211</v>
      </c>
      <c r="FB130" s="358">
        <v>221</v>
      </c>
      <c r="FC130" s="358">
        <v>235</v>
      </c>
      <c r="FD130" s="358">
        <v>247</v>
      </c>
      <c r="FE130" s="358">
        <v>254</v>
      </c>
      <c r="FF130" s="358">
        <v>259</v>
      </c>
      <c r="FG130" s="358">
        <v>271</v>
      </c>
      <c r="FH130" s="358">
        <v>280</v>
      </c>
      <c r="FI130" s="358">
        <v>291</v>
      </c>
      <c r="FJ130" s="358">
        <v>297</v>
      </c>
      <c r="FK130" s="358">
        <v>302</v>
      </c>
      <c r="FL130" s="358">
        <v>144</v>
      </c>
      <c r="FM130" s="358">
        <v>154</v>
      </c>
      <c r="FN130" s="358">
        <v>160</v>
      </c>
      <c r="FO130" s="358">
        <v>167</v>
      </c>
      <c r="FP130" s="358">
        <v>180</v>
      </c>
      <c r="FQ130" s="358">
        <v>195</v>
      </c>
      <c r="FR130" s="358">
        <v>203</v>
      </c>
      <c r="FS130" s="358">
        <v>210</v>
      </c>
      <c r="FT130" s="358">
        <v>217</v>
      </c>
      <c r="FU130" s="358">
        <v>224</v>
      </c>
      <c r="FV130" s="358">
        <v>234</v>
      </c>
      <c r="FW130" s="358">
        <v>103</v>
      </c>
      <c r="FX130" s="358">
        <v>150</v>
      </c>
      <c r="FY130" s="358">
        <v>157</v>
      </c>
      <c r="FZ130" s="358">
        <v>185</v>
      </c>
      <c r="GA130" s="358">
        <v>254</v>
      </c>
      <c r="GB130" s="358">
        <v>282</v>
      </c>
      <c r="GC130" s="358">
        <v>142</v>
      </c>
      <c r="GD130" s="358">
        <v>178</v>
      </c>
      <c r="GE130" s="358">
        <v>207</v>
      </c>
      <c r="GF130" s="358">
        <v>199</v>
      </c>
      <c r="GG130" s="358">
        <v>123</v>
      </c>
      <c r="GH130" s="358">
        <v>135</v>
      </c>
      <c r="GI130" s="361">
        <v>161</v>
      </c>
    </row>
    <row r="131" spans="1:191">
      <c r="A131" s="336" t="s">
        <v>368</v>
      </c>
      <c r="B131" s="358">
        <v>37</v>
      </c>
      <c r="C131" s="358">
        <v>41</v>
      </c>
      <c r="D131" s="358">
        <v>43</v>
      </c>
      <c r="E131" s="358">
        <v>44</v>
      </c>
      <c r="F131" s="358">
        <v>47</v>
      </c>
      <c r="G131" s="358">
        <v>50</v>
      </c>
      <c r="H131" s="358">
        <v>53</v>
      </c>
      <c r="I131" s="358">
        <v>55</v>
      </c>
      <c r="J131" s="358">
        <v>58</v>
      </c>
      <c r="K131" s="358">
        <v>62</v>
      </c>
      <c r="L131" s="358">
        <v>64</v>
      </c>
      <c r="M131" s="358">
        <v>67</v>
      </c>
      <c r="N131" s="358">
        <v>69</v>
      </c>
      <c r="O131" s="358">
        <v>74</v>
      </c>
      <c r="P131" s="358">
        <v>80</v>
      </c>
      <c r="Q131" s="358">
        <v>82</v>
      </c>
      <c r="R131" s="358">
        <v>85</v>
      </c>
      <c r="S131" s="358">
        <v>87</v>
      </c>
      <c r="T131" s="358">
        <v>90</v>
      </c>
      <c r="U131" s="358">
        <v>93</v>
      </c>
      <c r="V131" s="358">
        <v>35</v>
      </c>
      <c r="W131" s="358">
        <v>33</v>
      </c>
      <c r="X131" s="358">
        <v>35</v>
      </c>
      <c r="Y131" s="358">
        <v>37</v>
      </c>
      <c r="Z131" s="358">
        <v>39</v>
      </c>
      <c r="AA131" s="358">
        <v>40</v>
      </c>
      <c r="AB131" s="358">
        <v>42</v>
      </c>
      <c r="AC131" s="358">
        <v>45</v>
      </c>
      <c r="AD131" s="358">
        <v>47</v>
      </c>
      <c r="AE131" s="358">
        <v>52</v>
      </c>
      <c r="AF131" s="358">
        <v>57</v>
      </c>
      <c r="AG131" s="358">
        <v>62</v>
      </c>
      <c r="AH131" s="358">
        <v>63</v>
      </c>
      <c r="AI131" s="358">
        <v>64</v>
      </c>
      <c r="AJ131" s="358">
        <v>68</v>
      </c>
      <c r="AK131" s="358">
        <v>74</v>
      </c>
      <c r="AL131" s="358">
        <v>80</v>
      </c>
      <c r="AM131" s="358">
        <v>85</v>
      </c>
      <c r="AN131" s="358">
        <v>91</v>
      </c>
      <c r="AO131" s="358">
        <v>95</v>
      </c>
      <c r="AP131" s="358">
        <v>101</v>
      </c>
      <c r="AQ131" s="358">
        <v>107</v>
      </c>
      <c r="AR131" s="358">
        <v>111</v>
      </c>
      <c r="AS131" s="358">
        <v>123</v>
      </c>
      <c r="AT131" s="358">
        <v>131</v>
      </c>
      <c r="AU131" s="358">
        <v>141</v>
      </c>
      <c r="AV131" s="358">
        <v>150</v>
      </c>
      <c r="AW131" s="358">
        <v>158</v>
      </c>
      <c r="AX131" s="358">
        <v>40</v>
      </c>
      <c r="AY131" s="358">
        <v>44</v>
      </c>
      <c r="AZ131" s="358">
        <v>45</v>
      </c>
      <c r="BA131" s="358">
        <v>46</v>
      </c>
      <c r="BB131" s="358">
        <v>47</v>
      </c>
      <c r="BC131" s="358">
        <v>50</v>
      </c>
      <c r="BD131" s="358">
        <v>54</v>
      </c>
      <c r="BE131" s="358">
        <v>56</v>
      </c>
      <c r="BF131" s="358">
        <v>57</v>
      </c>
      <c r="BG131" s="358">
        <v>60</v>
      </c>
      <c r="BH131" s="358">
        <v>61</v>
      </c>
      <c r="BI131" s="358">
        <v>62</v>
      </c>
      <c r="BJ131" s="358">
        <v>64</v>
      </c>
      <c r="BK131" s="358">
        <v>65</v>
      </c>
      <c r="BL131" s="358">
        <v>66</v>
      </c>
      <c r="BM131" s="358">
        <v>68</v>
      </c>
      <c r="BN131" s="358">
        <v>69</v>
      </c>
      <c r="BO131" s="358">
        <v>72</v>
      </c>
      <c r="BP131" s="358">
        <v>77</v>
      </c>
      <c r="BQ131" s="358">
        <v>81</v>
      </c>
      <c r="BR131" s="358">
        <v>91</v>
      </c>
      <c r="BS131" s="358">
        <v>98</v>
      </c>
      <c r="BT131" s="358">
        <v>102</v>
      </c>
      <c r="BU131" s="358">
        <v>105</v>
      </c>
      <c r="BV131" s="358">
        <v>42</v>
      </c>
      <c r="BW131" s="358">
        <v>43</v>
      </c>
      <c r="BX131" s="358">
        <v>46</v>
      </c>
      <c r="BY131" s="358">
        <v>50</v>
      </c>
      <c r="BZ131" s="358">
        <v>55</v>
      </c>
      <c r="CA131" s="358">
        <v>59</v>
      </c>
      <c r="CB131" s="358">
        <v>66</v>
      </c>
      <c r="CC131" s="358">
        <v>71</v>
      </c>
      <c r="CD131" s="358">
        <v>74</v>
      </c>
      <c r="CE131" s="358">
        <v>78</v>
      </c>
      <c r="CF131" s="358">
        <v>80</v>
      </c>
      <c r="CG131" s="358">
        <v>87</v>
      </c>
      <c r="CH131" s="358">
        <v>89</v>
      </c>
      <c r="CI131" s="358">
        <v>93</v>
      </c>
      <c r="CJ131" s="358">
        <v>96</v>
      </c>
      <c r="CK131" s="358">
        <v>103</v>
      </c>
      <c r="CL131" s="358">
        <v>109</v>
      </c>
      <c r="CM131" s="358">
        <v>113</v>
      </c>
      <c r="CN131" s="358">
        <v>118</v>
      </c>
      <c r="CO131" s="358">
        <v>125</v>
      </c>
      <c r="CP131" s="358">
        <v>136</v>
      </c>
      <c r="CQ131" s="358">
        <v>149</v>
      </c>
      <c r="CR131" s="358">
        <v>154</v>
      </c>
      <c r="CS131" s="358">
        <v>43</v>
      </c>
      <c r="CT131" s="358">
        <v>48</v>
      </c>
      <c r="CU131" s="358">
        <v>54</v>
      </c>
      <c r="CV131" s="358">
        <v>60</v>
      </c>
      <c r="CW131" s="358">
        <v>66</v>
      </c>
      <c r="CX131" s="358">
        <v>71</v>
      </c>
      <c r="CY131" s="358">
        <v>78</v>
      </c>
      <c r="CZ131" s="358">
        <v>81</v>
      </c>
      <c r="DA131" s="358">
        <v>85</v>
      </c>
      <c r="DB131" s="358">
        <v>90</v>
      </c>
      <c r="DC131" s="358">
        <v>101</v>
      </c>
      <c r="DD131" s="358">
        <v>111</v>
      </c>
      <c r="DE131" s="358">
        <v>115</v>
      </c>
      <c r="DF131" s="358">
        <v>121</v>
      </c>
      <c r="DG131" s="358">
        <v>130</v>
      </c>
      <c r="DH131" s="358">
        <v>135</v>
      </c>
      <c r="DI131" s="358">
        <v>142</v>
      </c>
      <c r="DJ131" s="358">
        <v>151</v>
      </c>
      <c r="DK131" s="358">
        <v>158</v>
      </c>
      <c r="DL131" s="358">
        <v>166</v>
      </c>
      <c r="DM131" s="358">
        <v>178</v>
      </c>
      <c r="DN131" s="358">
        <v>181</v>
      </c>
      <c r="DO131" s="358">
        <v>192</v>
      </c>
      <c r="DP131" s="358">
        <v>201</v>
      </c>
      <c r="DQ131" s="358">
        <v>30</v>
      </c>
      <c r="DR131" s="358">
        <v>25</v>
      </c>
      <c r="DS131" s="358">
        <v>21</v>
      </c>
      <c r="DT131" s="358">
        <v>19</v>
      </c>
      <c r="DU131" s="358">
        <v>16</v>
      </c>
      <c r="DV131" s="358">
        <v>15</v>
      </c>
      <c r="DW131" s="358">
        <v>9</v>
      </c>
      <c r="DX131" s="358">
        <v>6</v>
      </c>
      <c r="DZ131" s="358">
        <v>5</v>
      </c>
      <c r="EA131" s="358">
        <v>9</v>
      </c>
      <c r="EB131" s="358">
        <v>13</v>
      </c>
      <c r="EC131" s="358">
        <v>18</v>
      </c>
      <c r="ED131" s="358">
        <v>24</v>
      </c>
      <c r="EE131" s="358">
        <v>30</v>
      </c>
      <c r="EF131" s="358">
        <v>33</v>
      </c>
      <c r="EG131" s="358">
        <v>37</v>
      </c>
      <c r="EH131" s="358">
        <v>42</v>
      </c>
      <c r="EI131" s="358">
        <v>47</v>
      </c>
      <c r="EJ131" s="358">
        <v>51</v>
      </c>
      <c r="EK131" s="358">
        <v>56</v>
      </c>
      <c r="EL131" s="358">
        <v>60</v>
      </c>
      <c r="EM131" s="358">
        <v>175</v>
      </c>
      <c r="EN131" s="358">
        <v>187</v>
      </c>
      <c r="EO131" s="358">
        <v>198</v>
      </c>
      <c r="EP131" s="358">
        <v>208</v>
      </c>
      <c r="EQ131" s="358">
        <v>215</v>
      </c>
      <c r="ES131" s="358">
        <v>227</v>
      </c>
      <c r="ET131" s="358">
        <v>232</v>
      </c>
      <c r="EU131" s="358">
        <v>241</v>
      </c>
      <c r="EV131" s="358">
        <v>247</v>
      </c>
      <c r="EW131" s="358">
        <v>171</v>
      </c>
      <c r="EX131" s="358">
        <v>182</v>
      </c>
      <c r="EY131" s="358">
        <v>193</v>
      </c>
      <c r="EZ131" s="358">
        <v>209</v>
      </c>
      <c r="FA131" s="358">
        <v>217</v>
      </c>
      <c r="FB131" s="358">
        <v>227</v>
      </c>
      <c r="FC131" s="358">
        <v>241</v>
      </c>
      <c r="FD131" s="358">
        <v>253</v>
      </c>
      <c r="FE131" s="358">
        <v>260</v>
      </c>
      <c r="FF131" s="358">
        <v>265</v>
      </c>
      <c r="FG131" s="358">
        <v>277</v>
      </c>
      <c r="FH131" s="358">
        <v>286</v>
      </c>
      <c r="FI131" s="358">
        <v>297</v>
      </c>
      <c r="FJ131" s="358">
        <v>303</v>
      </c>
      <c r="FK131" s="358">
        <v>308</v>
      </c>
      <c r="FL131" s="358">
        <v>150</v>
      </c>
      <c r="FM131" s="358">
        <v>160</v>
      </c>
      <c r="FN131" s="358">
        <v>166</v>
      </c>
      <c r="FO131" s="358">
        <v>173</v>
      </c>
      <c r="FP131" s="358">
        <v>186</v>
      </c>
      <c r="FQ131" s="358">
        <v>201</v>
      </c>
      <c r="FR131" s="358">
        <v>209</v>
      </c>
      <c r="FS131" s="358">
        <v>216</v>
      </c>
      <c r="FT131" s="358">
        <v>223</v>
      </c>
      <c r="FU131" s="358">
        <v>230</v>
      </c>
      <c r="FV131" s="358">
        <v>240</v>
      </c>
      <c r="FW131" s="358">
        <v>109</v>
      </c>
      <c r="FX131" s="358">
        <v>156</v>
      </c>
      <c r="FY131" s="358">
        <v>163</v>
      </c>
      <c r="FZ131" s="358">
        <v>191</v>
      </c>
      <c r="GA131" s="358">
        <v>260</v>
      </c>
      <c r="GB131" s="358">
        <v>288</v>
      </c>
      <c r="GC131" s="358">
        <v>148</v>
      </c>
      <c r="GD131" s="358">
        <v>184</v>
      </c>
      <c r="GE131" s="358">
        <v>213</v>
      </c>
      <c r="GF131" s="358">
        <v>205</v>
      </c>
      <c r="GG131" s="358">
        <v>129</v>
      </c>
      <c r="GH131" s="358">
        <v>141</v>
      </c>
      <c r="GI131" s="361">
        <v>167</v>
      </c>
    </row>
    <row r="132" spans="1:191">
      <c r="A132" s="336" t="s">
        <v>367</v>
      </c>
      <c r="B132" s="358">
        <v>42</v>
      </c>
      <c r="C132" s="358">
        <v>46</v>
      </c>
      <c r="D132" s="358">
        <v>48</v>
      </c>
      <c r="E132" s="358">
        <v>49</v>
      </c>
      <c r="F132" s="358">
        <v>52</v>
      </c>
      <c r="G132" s="358">
        <v>55</v>
      </c>
      <c r="H132" s="358">
        <v>58</v>
      </c>
      <c r="I132" s="358">
        <v>60</v>
      </c>
      <c r="J132" s="358">
        <v>63</v>
      </c>
      <c r="K132" s="358">
        <v>67</v>
      </c>
      <c r="L132" s="358">
        <v>69</v>
      </c>
      <c r="M132" s="358">
        <v>72</v>
      </c>
      <c r="N132" s="358">
        <v>74</v>
      </c>
      <c r="O132" s="358">
        <v>79</v>
      </c>
      <c r="P132" s="358">
        <v>85</v>
      </c>
      <c r="Q132" s="358">
        <v>87</v>
      </c>
      <c r="R132" s="358">
        <v>90</v>
      </c>
      <c r="S132" s="358">
        <v>92</v>
      </c>
      <c r="T132" s="358">
        <v>95</v>
      </c>
      <c r="U132" s="358">
        <v>98</v>
      </c>
      <c r="V132" s="358">
        <v>40</v>
      </c>
      <c r="W132" s="358">
        <v>38</v>
      </c>
      <c r="X132" s="358">
        <v>40</v>
      </c>
      <c r="Y132" s="358">
        <v>42</v>
      </c>
      <c r="Z132" s="358">
        <v>44</v>
      </c>
      <c r="AA132" s="358">
        <v>45</v>
      </c>
      <c r="AB132" s="358">
        <v>47</v>
      </c>
      <c r="AC132" s="358">
        <v>50</v>
      </c>
      <c r="AD132" s="358">
        <v>52</v>
      </c>
      <c r="AE132" s="358">
        <v>57</v>
      </c>
      <c r="AF132" s="358">
        <v>62</v>
      </c>
      <c r="AG132" s="358">
        <v>67</v>
      </c>
      <c r="AH132" s="358">
        <v>68</v>
      </c>
      <c r="AI132" s="358">
        <v>69</v>
      </c>
      <c r="AJ132" s="358">
        <v>73</v>
      </c>
      <c r="AK132" s="358">
        <v>79</v>
      </c>
      <c r="AL132" s="358">
        <v>85</v>
      </c>
      <c r="AM132" s="358">
        <v>90</v>
      </c>
      <c r="AN132" s="358">
        <v>96</v>
      </c>
      <c r="AO132" s="358">
        <v>100</v>
      </c>
      <c r="AP132" s="358">
        <v>106</v>
      </c>
      <c r="AQ132" s="358">
        <v>112</v>
      </c>
      <c r="AR132" s="358">
        <v>116</v>
      </c>
      <c r="AS132" s="358">
        <v>128</v>
      </c>
      <c r="AT132" s="358">
        <v>136</v>
      </c>
      <c r="AU132" s="358">
        <v>146</v>
      </c>
      <c r="AV132" s="358">
        <v>155</v>
      </c>
      <c r="AW132" s="358">
        <v>163</v>
      </c>
      <c r="AX132" s="358">
        <v>45</v>
      </c>
      <c r="AY132" s="358">
        <v>49</v>
      </c>
      <c r="AZ132" s="358">
        <v>50</v>
      </c>
      <c r="BA132" s="358">
        <v>51</v>
      </c>
      <c r="BB132" s="358">
        <v>52</v>
      </c>
      <c r="BC132" s="358">
        <v>55</v>
      </c>
      <c r="BD132" s="358">
        <v>59</v>
      </c>
      <c r="BE132" s="358">
        <v>61</v>
      </c>
      <c r="BF132" s="358">
        <v>62</v>
      </c>
      <c r="BG132" s="358">
        <v>65</v>
      </c>
      <c r="BH132" s="358">
        <v>66</v>
      </c>
      <c r="BI132" s="358">
        <v>67</v>
      </c>
      <c r="BJ132" s="358">
        <v>69</v>
      </c>
      <c r="BK132" s="358">
        <v>70</v>
      </c>
      <c r="BL132" s="358">
        <v>71</v>
      </c>
      <c r="BM132" s="358">
        <v>73</v>
      </c>
      <c r="BN132" s="358">
        <v>74</v>
      </c>
      <c r="BO132" s="358">
        <v>77</v>
      </c>
      <c r="BP132" s="358">
        <v>82</v>
      </c>
      <c r="BQ132" s="358">
        <v>86</v>
      </c>
      <c r="BR132" s="358">
        <v>96</v>
      </c>
      <c r="BS132" s="358">
        <v>103</v>
      </c>
      <c r="BT132" s="358">
        <v>107</v>
      </c>
      <c r="BU132" s="358">
        <v>110</v>
      </c>
      <c r="BV132" s="358">
        <v>47</v>
      </c>
      <c r="BW132" s="358">
        <v>48</v>
      </c>
      <c r="BX132" s="358">
        <v>51</v>
      </c>
      <c r="BY132" s="358">
        <v>55</v>
      </c>
      <c r="BZ132" s="358">
        <v>60</v>
      </c>
      <c r="CA132" s="358">
        <v>64</v>
      </c>
      <c r="CB132" s="358">
        <v>71</v>
      </c>
      <c r="CC132" s="358">
        <v>76</v>
      </c>
      <c r="CD132" s="358">
        <v>79</v>
      </c>
      <c r="CE132" s="358">
        <v>83</v>
      </c>
      <c r="CF132" s="358">
        <v>85</v>
      </c>
      <c r="CG132" s="358">
        <v>92</v>
      </c>
      <c r="CH132" s="358">
        <v>94</v>
      </c>
      <c r="CI132" s="358">
        <v>98</v>
      </c>
      <c r="CJ132" s="358">
        <v>101</v>
      </c>
      <c r="CK132" s="358">
        <v>108</v>
      </c>
      <c r="CL132" s="358">
        <v>114</v>
      </c>
      <c r="CM132" s="358">
        <v>118</v>
      </c>
      <c r="CN132" s="358">
        <v>123</v>
      </c>
      <c r="CO132" s="358">
        <v>130</v>
      </c>
      <c r="CP132" s="358">
        <v>141</v>
      </c>
      <c r="CQ132" s="358">
        <v>154</v>
      </c>
      <c r="CR132" s="358">
        <v>159</v>
      </c>
      <c r="CS132" s="358">
        <v>48</v>
      </c>
      <c r="CT132" s="358">
        <v>53</v>
      </c>
      <c r="CU132" s="358">
        <v>59</v>
      </c>
      <c r="CV132" s="358">
        <v>65</v>
      </c>
      <c r="CW132" s="358">
        <v>71</v>
      </c>
      <c r="CX132" s="358">
        <v>76</v>
      </c>
      <c r="CY132" s="358">
        <v>83</v>
      </c>
      <c r="CZ132" s="358">
        <v>86</v>
      </c>
      <c r="DA132" s="358">
        <v>90</v>
      </c>
      <c r="DB132" s="358">
        <v>95</v>
      </c>
      <c r="DC132" s="358">
        <v>106</v>
      </c>
      <c r="DD132" s="358">
        <v>116</v>
      </c>
      <c r="DE132" s="358">
        <v>120</v>
      </c>
      <c r="DF132" s="358">
        <v>126</v>
      </c>
      <c r="DG132" s="358">
        <v>135</v>
      </c>
      <c r="DH132" s="358">
        <v>140</v>
      </c>
      <c r="DI132" s="358">
        <v>147</v>
      </c>
      <c r="DJ132" s="358">
        <v>156</v>
      </c>
      <c r="DK132" s="358">
        <v>163</v>
      </c>
      <c r="DL132" s="358">
        <v>171</v>
      </c>
      <c r="DM132" s="358">
        <v>183</v>
      </c>
      <c r="DN132" s="358">
        <v>186</v>
      </c>
      <c r="DO132" s="358">
        <v>197</v>
      </c>
      <c r="DP132" s="358">
        <v>206</v>
      </c>
      <c r="DQ132" s="358">
        <v>35</v>
      </c>
      <c r="DR132" s="358">
        <v>30</v>
      </c>
      <c r="DS132" s="358">
        <v>26</v>
      </c>
      <c r="DT132" s="358">
        <v>24</v>
      </c>
      <c r="DU132" s="358">
        <v>21</v>
      </c>
      <c r="DV132" s="358">
        <v>20</v>
      </c>
      <c r="DW132" s="358">
        <v>14</v>
      </c>
      <c r="DX132" s="358">
        <v>11</v>
      </c>
      <c r="DY132" s="358">
        <v>5</v>
      </c>
      <c r="EA132" s="358">
        <v>4</v>
      </c>
      <c r="EB132" s="358">
        <v>8</v>
      </c>
      <c r="EC132" s="358">
        <v>13</v>
      </c>
      <c r="ED132" s="358">
        <v>19</v>
      </c>
      <c r="EE132" s="358">
        <v>25</v>
      </c>
      <c r="EF132" s="358">
        <v>28</v>
      </c>
      <c r="EG132" s="358">
        <v>32</v>
      </c>
      <c r="EH132" s="358">
        <v>37</v>
      </c>
      <c r="EI132" s="358">
        <v>42</v>
      </c>
      <c r="EJ132" s="358">
        <v>46</v>
      </c>
      <c r="EK132" s="358">
        <v>51</v>
      </c>
      <c r="EL132" s="358">
        <v>55</v>
      </c>
      <c r="EM132" s="358">
        <v>180</v>
      </c>
      <c r="EN132" s="358">
        <v>192</v>
      </c>
      <c r="EO132" s="358">
        <v>203</v>
      </c>
      <c r="EP132" s="358">
        <v>213</v>
      </c>
      <c r="EQ132" s="358">
        <v>220</v>
      </c>
      <c r="ES132" s="358">
        <v>232</v>
      </c>
      <c r="ET132" s="358">
        <v>237</v>
      </c>
      <c r="EU132" s="358">
        <v>246</v>
      </c>
      <c r="EV132" s="358">
        <v>252</v>
      </c>
      <c r="EW132" s="358">
        <v>176</v>
      </c>
      <c r="EX132" s="358">
        <v>187</v>
      </c>
      <c r="EY132" s="358">
        <v>198</v>
      </c>
      <c r="EZ132" s="358">
        <v>214</v>
      </c>
      <c r="FA132" s="358">
        <v>222</v>
      </c>
      <c r="FB132" s="358">
        <v>232</v>
      </c>
      <c r="FC132" s="358">
        <v>246</v>
      </c>
      <c r="FD132" s="358">
        <v>258</v>
      </c>
      <c r="FE132" s="358">
        <v>265</v>
      </c>
      <c r="FF132" s="358">
        <v>270</v>
      </c>
      <c r="FG132" s="358">
        <v>282</v>
      </c>
      <c r="FH132" s="358">
        <v>291</v>
      </c>
      <c r="FI132" s="358">
        <v>302</v>
      </c>
      <c r="FJ132" s="358">
        <v>308</v>
      </c>
      <c r="FK132" s="358">
        <v>313</v>
      </c>
      <c r="FL132" s="358">
        <v>155</v>
      </c>
      <c r="FM132" s="358">
        <v>165</v>
      </c>
      <c r="FN132" s="358">
        <v>171</v>
      </c>
      <c r="FO132" s="358">
        <v>178</v>
      </c>
      <c r="FP132" s="358">
        <v>191</v>
      </c>
      <c r="FQ132" s="358">
        <v>206</v>
      </c>
      <c r="FR132" s="358">
        <v>214</v>
      </c>
      <c r="FS132" s="358">
        <v>221</v>
      </c>
      <c r="FT132" s="358">
        <v>228</v>
      </c>
      <c r="FU132" s="358">
        <v>235</v>
      </c>
      <c r="FV132" s="358">
        <v>245</v>
      </c>
      <c r="FW132" s="358">
        <v>114</v>
      </c>
      <c r="FX132" s="358">
        <v>161</v>
      </c>
      <c r="FY132" s="358">
        <v>168</v>
      </c>
      <c r="FZ132" s="358">
        <v>196</v>
      </c>
      <c r="GA132" s="358">
        <v>265</v>
      </c>
      <c r="GB132" s="358">
        <v>293</v>
      </c>
      <c r="GC132" s="358">
        <v>153</v>
      </c>
      <c r="GD132" s="358">
        <v>189</v>
      </c>
      <c r="GE132" s="358">
        <v>218</v>
      </c>
      <c r="GF132" s="358">
        <v>210</v>
      </c>
      <c r="GG132" s="358">
        <v>134</v>
      </c>
      <c r="GH132" s="358">
        <v>146</v>
      </c>
      <c r="GI132" s="361">
        <v>172</v>
      </c>
    </row>
    <row r="133" spans="1:191">
      <c r="A133" s="336" t="s">
        <v>366</v>
      </c>
      <c r="B133" s="358">
        <v>46</v>
      </c>
      <c r="C133" s="358">
        <v>50</v>
      </c>
      <c r="D133" s="358">
        <v>52</v>
      </c>
      <c r="E133" s="358">
        <v>53</v>
      </c>
      <c r="F133" s="358">
        <v>56</v>
      </c>
      <c r="G133" s="358">
        <v>59</v>
      </c>
      <c r="H133" s="358">
        <v>62</v>
      </c>
      <c r="I133" s="358">
        <v>64</v>
      </c>
      <c r="J133" s="358">
        <v>67</v>
      </c>
      <c r="K133" s="358">
        <v>71</v>
      </c>
      <c r="L133" s="358">
        <v>73</v>
      </c>
      <c r="M133" s="358">
        <v>76</v>
      </c>
      <c r="N133" s="358">
        <v>78</v>
      </c>
      <c r="O133" s="358">
        <v>83</v>
      </c>
      <c r="P133" s="358">
        <v>89</v>
      </c>
      <c r="Q133" s="358">
        <v>91</v>
      </c>
      <c r="R133" s="358">
        <v>94</v>
      </c>
      <c r="S133" s="358">
        <v>96</v>
      </c>
      <c r="T133" s="358">
        <v>99</v>
      </c>
      <c r="U133" s="358">
        <v>102</v>
      </c>
      <c r="V133" s="358">
        <v>44</v>
      </c>
      <c r="W133" s="358">
        <v>42</v>
      </c>
      <c r="X133" s="358">
        <v>44</v>
      </c>
      <c r="Y133" s="358">
        <v>46</v>
      </c>
      <c r="Z133" s="358">
        <v>48</v>
      </c>
      <c r="AA133" s="358">
        <v>49</v>
      </c>
      <c r="AB133" s="358">
        <v>51</v>
      </c>
      <c r="AC133" s="358">
        <v>54</v>
      </c>
      <c r="AD133" s="358">
        <v>56</v>
      </c>
      <c r="AE133" s="358">
        <v>61</v>
      </c>
      <c r="AF133" s="358">
        <v>66</v>
      </c>
      <c r="AG133" s="358">
        <v>71</v>
      </c>
      <c r="AH133" s="358">
        <v>72</v>
      </c>
      <c r="AI133" s="358">
        <v>73</v>
      </c>
      <c r="AJ133" s="358">
        <v>77</v>
      </c>
      <c r="AK133" s="358">
        <v>83</v>
      </c>
      <c r="AL133" s="358">
        <v>89</v>
      </c>
      <c r="AM133" s="358">
        <v>94</v>
      </c>
      <c r="AN133" s="358">
        <v>100</v>
      </c>
      <c r="AO133" s="358">
        <v>104</v>
      </c>
      <c r="AP133" s="358">
        <v>110</v>
      </c>
      <c r="AQ133" s="358">
        <v>116</v>
      </c>
      <c r="AR133" s="358">
        <v>120</v>
      </c>
      <c r="AS133" s="358">
        <v>132</v>
      </c>
      <c r="AT133" s="358">
        <v>140</v>
      </c>
      <c r="AU133" s="358">
        <v>150</v>
      </c>
      <c r="AV133" s="358">
        <v>159</v>
      </c>
      <c r="AW133" s="358">
        <v>167</v>
      </c>
      <c r="AX133" s="358">
        <v>49</v>
      </c>
      <c r="AY133" s="358">
        <v>53</v>
      </c>
      <c r="AZ133" s="358">
        <v>54</v>
      </c>
      <c r="BA133" s="358">
        <v>55</v>
      </c>
      <c r="BB133" s="358">
        <v>56</v>
      </c>
      <c r="BC133" s="358">
        <v>59</v>
      </c>
      <c r="BD133" s="358">
        <v>63</v>
      </c>
      <c r="BE133" s="358">
        <v>65</v>
      </c>
      <c r="BF133" s="358">
        <v>66</v>
      </c>
      <c r="BG133" s="358">
        <v>69</v>
      </c>
      <c r="BH133" s="358">
        <v>70</v>
      </c>
      <c r="BI133" s="358">
        <v>71</v>
      </c>
      <c r="BJ133" s="358">
        <v>73</v>
      </c>
      <c r="BK133" s="358">
        <v>74</v>
      </c>
      <c r="BL133" s="358">
        <v>75</v>
      </c>
      <c r="BM133" s="358">
        <v>77</v>
      </c>
      <c r="BN133" s="358">
        <v>78</v>
      </c>
      <c r="BO133" s="358">
        <v>81</v>
      </c>
      <c r="BP133" s="358">
        <v>86</v>
      </c>
      <c r="BQ133" s="358">
        <v>90</v>
      </c>
      <c r="BR133" s="358">
        <v>100</v>
      </c>
      <c r="BS133" s="358">
        <v>107</v>
      </c>
      <c r="BT133" s="358">
        <v>111</v>
      </c>
      <c r="BU133" s="358">
        <v>114</v>
      </c>
      <c r="BV133" s="358">
        <v>51</v>
      </c>
      <c r="BW133" s="358">
        <v>52</v>
      </c>
      <c r="BX133" s="358">
        <v>55</v>
      </c>
      <c r="BY133" s="358">
        <v>59</v>
      </c>
      <c r="BZ133" s="358">
        <v>64</v>
      </c>
      <c r="CA133" s="358">
        <v>68</v>
      </c>
      <c r="CB133" s="358">
        <v>75</v>
      </c>
      <c r="CC133" s="358">
        <v>80</v>
      </c>
      <c r="CD133" s="358">
        <v>83</v>
      </c>
      <c r="CE133" s="358">
        <v>87</v>
      </c>
      <c r="CF133" s="358">
        <v>89</v>
      </c>
      <c r="CG133" s="358">
        <v>96</v>
      </c>
      <c r="CH133" s="358">
        <v>98</v>
      </c>
      <c r="CI133" s="358">
        <v>102</v>
      </c>
      <c r="CJ133" s="358">
        <v>105</v>
      </c>
      <c r="CK133" s="358">
        <v>112</v>
      </c>
      <c r="CL133" s="358">
        <v>118</v>
      </c>
      <c r="CM133" s="358">
        <v>122</v>
      </c>
      <c r="CN133" s="358">
        <v>127</v>
      </c>
      <c r="CO133" s="358">
        <v>134</v>
      </c>
      <c r="CP133" s="358">
        <v>145</v>
      </c>
      <c r="CQ133" s="358">
        <v>158</v>
      </c>
      <c r="CR133" s="358">
        <v>163</v>
      </c>
      <c r="CS133" s="358">
        <v>52</v>
      </c>
      <c r="CT133" s="358">
        <v>57</v>
      </c>
      <c r="CU133" s="358">
        <v>63</v>
      </c>
      <c r="CV133" s="358">
        <v>69</v>
      </c>
      <c r="CW133" s="358">
        <v>75</v>
      </c>
      <c r="CX133" s="358">
        <v>80</v>
      </c>
      <c r="CY133" s="358">
        <v>87</v>
      </c>
      <c r="CZ133" s="358">
        <v>90</v>
      </c>
      <c r="DA133" s="358">
        <v>94</v>
      </c>
      <c r="DB133" s="358">
        <v>99</v>
      </c>
      <c r="DC133" s="358">
        <v>110</v>
      </c>
      <c r="DD133" s="358">
        <v>120</v>
      </c>
      <c r="DE133" s="358">
        <v>124</v>
      </c>
      <c r="DF133" s="358">
        <v>130</v>
      </c>
      <c r="DG133" s="358">
        <v>139</v>
      </c>
      <c r="DH133" s="358">
        <v>144</v>
      </c>
      <c r="DI133" s="358">
        <v>151</v>
      </c>
      <c r="DJ133" s="358">
        <v>160</v>
      </c>
      <c r="DK133" s="358">
        <v>167</v>
      </c>
      <c r="DL133" s="358">
        <v>175</v>
      </c>
      <c r="DM133" s="358">
        <v>187</v>
      </c>
      <c r="DN133" s="358">
        <v>190</v>
      </c>
      <c r="DO133" s="358">
        <v>201</v>
      </c>
      <c r="DP133" s="358">
        <v>210</v>
      </c>
      <c r="DQ133" s="358">
        <v>39</v>
      </c>
      <c r="DR133" s="358">
        <v>34</v>
      </c>
      <c r="DS133" s="358">
        <v>30</v>
      </c>
      <c r="DT133" s="358">
        <v>28</v>
      </c>
      <c r="DU133" s="358">
        <v>25</v>
      </c>
      <c r="DV133" s="358">
        <v>24</v>
      </c>
      <c r="DW133" s="358">
        <v>18</v>
      </c>
      <c r="DX133" s="358">
        <v>15</v>
      </c>
      <c r="DY133" s="358">
        <v>9</v>
      </c>
      <c r="DZ133" s="358">
        <v>4</v>
      </c>
      <c r="EB133" s="358">
        <v>4</v>
      </c>
      <c r="EC133" s="358">
        <v>9</v>
      </c>
      <c r="ED133" s="358">
        <v>15</v>
      </c>
      <c r="EE133" s="358">
        <v>21</v>
      </c>
      <c r="EF133" s="358">
        <v>24</v>
      </c>
      <c r="EG133" s="358">
        <v>28</v>
      </c>
      <c r="EH133" s="358">
        <v>33</v>
      </c>
      <c r="EI133" s="358">
        <v>38</v>
      </c>
      <c r="EJ133" s="358">
        <v>42</v>
      </c>
      <c r="EK133" s="358">
        <v>47</v>
      </c>
      <c r="EL133" s="358">
        <v>51</v>
      </c>
      <c r="EM133" s="358">
        <v>184</v>
      </c>
      <c r="EN133" s="358">
        <v>196</v>
      </c>
      <c r="EO133" s="358">
        <v>207</v>
      </c>
      <c r="EP133" s="358">
        <v>217</v>
      </c>
      <c r="EQ133" s="358">
        <v>224</v>
      </c>
      <c r="ES133" s="358">
        <v>236</v>
      </c>
      <c r="ET133" s="358">
        <v>241</v>
      </c>
      <c r="EU133" s="358">
        <v>250</v>
      </c>
      <c r="EV133" s="358">
        <v>256</v>
      </c>
      <c r="EW133" s="358">
        <v>180</v>
      </c>
      <c r="EX133" s="358">
        <v>191</v>
      </c>
      <c r="EY133" s="358">
        <v>202</v>
      </c>
      <c r="EZ133" s="358">
        <v>218</v>
      </c>
      <c r="FA133" s="358">
        <v>226</v>
      </c>
      <c r="FB133" s="358">
        <v>236</v>
      </c>
      <c r="FC133" s="358">
        <v>250</v>
      </c>
      <c r="FD133" s="358">
        <v>262</v>
      </c>
      <c r="FE133" s="358">
        <v>269</v>
      </c>
      <c r="FF133" s="358">
        <v>274</v>
      </c>
      <c r="FG133" s="358">
        <v>286</v>
      </c>
      <c r="FH133" s="358">
        <v>295</v>
      </c>
      <c r="FI133" s="358">
        <v>306</v>
      </c>
      <c r="FJ133" s="358">
        <v>312</v>
      </c>
      <c r="FK133" s="358">
        <v>317</v>
      </c>
      <c r="FL133" s="358">
        <v>159</v>
      </c>
      <c r="FM133" s="358">
        <v>169</v>
      </c>
      <c r="FN133" s="358">
        <v>175</v>
      </c>
      <c r="FO133" s="358">
        <v>182</v>
      </c>
      <c r="FP133" s="358">
        <v>195</v>
      </c>
      <c r="FQ133" s="358">
        <v>210</v>
      </c>
      <c r="FR133" s="358">
        <v>218</v>
      </c>
      <c r="FS133" s="358">
        <v>225</v>
      </c>
      <c r="FT133" s="358">
        <v>232</v>
      </c>
      <c r="FU133" s="358">
        <v>239</v>
      </c>
      <c r="FV133" s="358">
        <v>249</v>
      </c>
      <c r="FW133" s="358">
        <v>118</v>
      </c>
      <c r="FX133" s="358">
        <v>165</v>
      </c>
      <c r="FY133" s="358">
        <v>172</v>
      </c>
      <c r="FZ133" s="358">
        <v>200</v>
      </c>
      <c r="GA133" s="358">
        <v>269</v>
      </c>
      <c r="GB133" s="358">
        <v>297</v>
      </c>
      <c r="GC133" s="358">
        <v>157</v>
      </c>
      <c r="GD133" s="358">
        <v>193</v>
      </c>
      <c r="GE133" s="358">
        <v>222</v>
      </c>
      <c r="GF133" s="358">
        <v>214</v>
      </c>
      <c r="GG133" s="358">
        <v>138</v>
      </c>
      <c r="GH133" s="358">
        <v>150</v>
      </c>
      <c r="GI133" s="361">
        <v>176</v>
      </c>
    </row>
    <row r="134" spans="1:191">
      <c r="A134" s="336" t="s">
        <v>365</v>
      </c>
      <c r="B134" s="358">
        <v>50</v>
      </c>
      <c r="C134" s="358">
        <v>54</v>
      </c>
      <c r="D134" s="358">
        <v>56</v>
      </c>
      <c r="E134" s="358">
        <v>57</v>
      </c>
      <c r="F134" s="358">
        <v>60</v>
      </c>
      <c r="G134" s="358">
        <v>63</v>
      </c>
      <c r="H134" s="358">
        <v>66</v>
      </c>
      <c r="I134" s="358">
        <v>68</v>
      </c>
      <c r="J134" s="358">
        <v>71</v>
      </c>
      <c r="K134" s="358">
        <v>75</v>
      </c>
      <c r="L134" s="358">
        <v>77</v>
      </c>
      <c r="M134" s="358">
        <v>80</v>
      </c>
      <c r="N134" s="358">
        <v>82</v>
      </c>
      <c r="O134" s="358">
        <v>87</v>
      </c>
      <c r="P134" s="358">
        <v>93</v>
      </c>
      <c r="Q134" s="358">
        <v>95</v>
      </c>
      <c r="R134" s="358">
        <v>98</v>
      </c>
      <c r="S134" s="358">
        <v>100</v>
      </c>
      <c r="T134" s="358">
        <v>103</v>
      </c>
      <c r="U134" s="358">
        <v>106</v>
      </c>
      <c r="V134" s="358">
        <v>48</v>
      </c>
      <c r="W134" s="358">
        <v>46</v>
      </c>
      <c r="X134" s="358">
        <v>48</v>
      </c>
      <c r="Y134" s="358">
        <v>50</v>
      </c>
      <c r="Z134" s="358">
        <v>52</v>
      </c>
      <c r="AA134" s="358">
        <v>53</v>
      </c>
      <c r="AB134" s="358">
        <v>55</v>
      </c>
      <c r="AC134" s="358">
        <v>58</v>
      </c>
      <c r="AD134" s="358">
        <v>60</v>
      </c>
      <c r="AE134" s="358">
        <v>65</v>
      </c>
      <c r="AF134" s="358">
        <v>70</v>
      </c>
      <c r="AG134" s="358">
        <v>75</v>
      </c>
      <c r="AH134" s="358">
        <v>76</v>
      </c>
      <c r="AI134" s="358">
        <v>77</v>
      </c>
      <c r="AJ134" s="358">
        <v>81</v>
      </c>
      <c r="AK134" s="358">
        <v>87</v>
      </c>
      <c r="AL134" s="358">
        <v>93</v>
      </c>
      <c r="AM134" s="358">
        <v>98</v>
      </c>
      <c r="AN134" s="358">
        <v>104</v>
      </c>
      <c r="AO134" s="358">
        <v>108</v>
      </c>
      <c r="AP134" s="358">
        <v>114</v>
      </c>
      <c r="AQ134" s="358">
        <v>120</v>
      </c>
      <c r="AR134" s="358">
        <v>124</v>
      </c>
      <c r="AS134" s="358">
        <v>136</v>
      </c>
      <c r="AT134" s="358">
        <v>144</v>
      </c>
      <c r="AU134" s="358">
        <v>154</v>
      </c>
      <c r="AV134" s="358">
        <v>163</v>
      </c>
      <c r="AW134" s="358">
        <v>171</v>
      </c>
      <c r="AX134" s="358">
        <v>53</v>
      </c>
      <c r="AY134" s="358">
        <v>57</v>
      </c>
      <c r="AZ134" s="358">
        <v>58</v>
      </c>
      <c r="BA134" s="358">
        <v>59</v>
      </c>
      <c r="BB134" s="358">
        <v>60</v>
      </c>
      <c r="BC134" s="358">
        <v>63</v>
      </c>
      <c r="BD134" s="358">
        <v>67</v>
      </c>
      <c r="BE134" s="358">
        <v>69</v>
      </c>
      <c r="BF134" s="358">
        <v>70</v>
      </c>
      <c r="BG134" s="358">
        <v>73</v>
      </c>
      <c r="BH134" s="358">
        <v>74</v>
      </c>
      <c r="BI134" s="358">
        <v>75</v>
      </c>
      <c r="BJ134" s="358">
        <v>77</v>
      </c>
      <c r="BK134" s="358">
        <v>78</v>
      </c>
      <c r="BL134" s="358">
        <v>79</v>
      </c>
      <c r="BM134" s="358">
        <v>81</v>
      </c>
      <c r="BN134" s="358">
        <v>82</v>
      </c>
      <c r="BO134" s="358">
        <v>85</v>
      </c>
      <c r="BP134" s="358">
        <v>90</v>
      </c>
      <c r="BQ134" s="358">
        <v>94</v>
      </c>
      <c r="BR134" s="358">
        <v>104</v>
      </c>
      <c r="BS134" s="358">
        <v>111</v>
      </c>
      <c r="BT134" s="358">
        <v>115</v>
      </c>
      <c r="BU134" s="358">
        <v>118</v>
      </c>
      <c r="BV134" s="358">
        <v>55</v>
      </c>
      <c r="BW134" s="358">
        <v>56</v>
      </c>
      <c r="BX134" s="358">
        <v>59</v>
      </c>
      <c r="BY134" s="358">
        <v>63</v>
      </c>
      <c r="BZ134" s="358">
        <v>68</v>
      </c>
      <c r="CA134" s="358">
        <v>72</v>
      </c>
      <c r="CB134" s="358">
        <v>79</v>
      </c>
      <c r="CC134" s="358">
        <v>84</v>
      </c>
      <c r="CD134" s="358">
        <v>87</v>
      </c>
      <c r="CE134" s="358">
        <v>91</v>
      </c>
      <c r="CF134" s="358">
        <v>93</v>
      </c>
      <c r="CG134" s="358">
        <v>100</v>
      </c>
      <c r="CH134" s="358">
        <v>102</v>
      </c>
      <c r="CI134" s="358">
        <v>106</v>
      </c>
      <c r="CJ134" s="358">
        <v>109</v>
      </c>
      <c r="CK134" s="358">
        <v>116</v>
      </c>
      <c r="CL134" s="358">
        <v>122</v>
      </c>
      <c r="CM134" s="358">
        <v>126</v>
      </c>
      <c r="CN134" s="358">
        <v>131</v>
      </c>
      <c r="CO134" s="358">
        <v>138</v>
      </c>
      <c r="CP134" s="358">
        <v>149</v>
      </c>
      <c r="CQ134" s="358">
        <v>162</v>
      </c>
      <c r="CR134" s="358">
        <v>167</v>
      </c>
      <c r="CS134" s="358">
        <v>56</v>
      </c>
      <c r="CT134" s="358">
        <v>61</v>
      </c>
      <c r="CU134" s="358">
        <v>67</v>
      </c>
      <c r="CV134" s="358">
        <v>73</v>
      </c>
      <c r="CW134" s="358">
        <v>79</v>
      </c>
      <c r="CX134" s="358">
        <v>84</v>
      </c>
      <c r="CY134" s="358">
        <v>91</v>
      </c>
      <c r="CZ134" s="358">
        <v>94</v>
      </c>
      <c r="DA134" s="358">
        <v>98</v>
      </c>
      <c r="DB134" s="358">
        <v>103</v>
      </c>
      <c r="DC134" s="358">
        <v>114</v>
      </c>
      <c r="DD134" s="358">
        <v>124</v>
      </c>
      <c r="DE134" s="358">
        <v>128</v>
      </c>
      <c r="DF134" s="358">
        <v>134</v>
      </c>
      <c r="DG134" s="358">
        <v>143</v>
      </c>
      <c r="DH134" s="358">
        <v>148</v>
      </c>
      <c r="DI134" s="358">
        <v>155</v>
      </c>
      <c r="DJ134" s="358">
        <v>164</v>
      </c>
      <c r="DK134" s="358">
        <v>171</v>
      </c>
      <c r="DL134" s="358">
        <v>179</v>
      </c>
      <c r="DM134" s="358">
        <v>191</v>
      </c>
      <c r="DN134" s="358">
        <v>194</v>
      </c>
      <c r="DO134" s="358">
        <v>205</v>
      </c>
      <c r="DP134" s="358">
        <v>214</v>
      </c>
      <c r="DQ134" s="358">
        <v>43</v>
      </c>
      <c r="DR134" s="358">
        <v>38</v>
      </c>
      <c r="DS134" s="358">
        <v>34</v>
      </c>
      <c r="DT134" s="358">
        <v>32</v>
      </c>
      <c r="DU134" s="358">
        <v>29</v>
      </c>
      <c r="DV134" s="358">
        <v>28</v>
      </c>
      <c r="DW134" s="358">
        <v>22</v>
      </c>
      <c r="DX134" s="358">
        <v>19</v>
      </c>
      <c r="DY134" s="358">
        <v>13</v>
      </c>
      <c r="DZ134" s="358">
        <v>8</v>
      </c>
      <c r="EA134" s="358">
        <v>4</v>
      </c>
      <c r="EC134" s="358">
        <v>5</v>
      </c>
      <c r="ED134" s="358">
        <v>11</v>
      </c>
      <c r="EE134" s="358">
        <v>17</v>
      </c>
      <c r="EF134" s="358">
        <v>20</v>
      </c>
      <c r="EG134" s="358">
        <v>24</v>
      </c>
      <c r="EH134" s="358">
        <v>29</v>
      </c>
      <c r="EI134" s="358">
        <v>34</v>
      </c>
      <c r="EJ134" s="358">
        <v>38</v>
      </c>
      <c r="EK134" s="358">
        <v>43</v>
      </c>
      <c r="EL134" s="358">
        <v>47</v>
      </c>
      <c r="EM134" s="358">
        <v>188</v>
      </c>
      <c r="EN134" s="358">
        <v>200</v>
      </c>
      <c r="EO134" s="358">
        <v>211</v>
      </c>
      <c r="EP134" s="358">
        <v>221</v>
      </c>
      <c r="EQ134" s="358">
        <v>228</v>
      </c>
      <c r="ES134" s="358">
        <v>240</v>
      </c>
      <c r="ET134" s="358">
        <v>245</v>
      </c>
      <c r="EU134" s="358">
        <v>254</v>
      </c>
      <c r="EV134" s="358">
        <v>260</v>
      </c>
      <c r="EW134" s="358">
        <v>184</v>
      </c>
      <c r="EX134" s="358">
        <v>195</v>
      </c>
      <c r="EY134" s="358">
        <v>206</v>
      </c>
      <c r="EZ134" s="358">
        <v>222</v>
      </c>
      <c r="FA134" s="358">
        <v>230</v>
      </c>
      <c r="FB134" s="358">
        <v>240</v>
      </c>
      <c r="FC134" s="358">
        <v>254</v>
      </c>
      <c r="FD134" s="358">
        <v>266</v>
      </c>
      <c r="FE134" s="358">
        <v>273</v>
      </c>
      <c r="FF134" s="358">
        <v>278</v>
      </c>
      <c r="FG134" s="358">
        <v>290</v>
      </c>
      <c r="FH134" s="358">
        <v>299</v>
      </c>
      <c r="FI134" s="358">
        <v>310</v>
      </c>
      <c r="FJ134" s="358">
        <v>316</v>
      </c>
      <c r="FK134" s="358">
        <v>321</v>
      </c>
      <c r="FL134" s="358">
        <v>163</v>
      </c>
      <c r="FM134" s="358">
        <v>173</v>
      </c>
      <c r="FN134" s="358">
        <v>179</v>
      </c>
      <c r="FO134" s="358">
        <v>186</v>
      </c>
      <c r="FP134" s="358">
        <v>199</v>
      </c>
      <c r="FQ134" s="358">
        <v>214</v>
      </c>
      <c r="FR134" s="358">
        <v>222</v>
      </c>
      <c r="FS134" s="358">
        <v>229</v>
      </c>
      <c r="FT134" s="358">
        <v>236</v>
      </c>
      <c r="FU134" s="358">
        <v>243</v>
      </c>
      <c r="FV134" s="358">
        <v>253</v>
      </c>
      <c r="FW134" s="358">
        <v>122</v>
      </c>
      <c r="FX134" s="358">
        <v>169</v>
      </c>
      <c r="FY134" s="358">
        <v>176</v>
      </c>
      <c r="FZ134" s="358">
        <v>204</v>
      </c>
      <c r="GA134" s="358">
        <v>273</v>
      </c>
      <c r="GB134" s="358">
        <v>301</v>
      </c>
      <c r="GC134" s="358">
        <v>161</v>
      </c>
      <c r="GD134" s="358">
        <v>197</v>
      </c>
      <c r="GE134" s="358">
        <v>226</v>
      </c>
      <c r="GF134" s="358">
        <v>218</v>
      </c>
      <c r="GG134" s="358">
        <v>142</v>
      </c>
      <c r="GH134" s="358">
        <v>154</v>
      </c>
      <c r="GI134" s="361">
        <v>180</v>
      </c>
    </row>
    <row r="135" spans="1:191">
      <c r="A135" s="336" t="s">
        <v>364</v>
      </c>
      <c r="B135" s="358">
        <v>55</v>
      </c>
      <c r="C135" s="358">
        <v>59</v>
      </c>
      <c r="D135" s="358">
        <v>61</v>
      </c>
      <c r="E135" s="358">
        <v>62</v>
      </c>
      <c r="F135" s="358">
        <v>65</v>
      </c>
      <c r="G135" s="358">
        <v>68</v>
      </c>
      <c r="H135" s="358">
        <v>71</v>
      </c>
      <c r="I135" s="358">
        <v>73</v>
      </c>
      <c r="J135" s="358">
        <v>76</v>
      </c>
      <c r="K135" s="358">
        <v>80</v>
      </c>
      <c r="L135" s="358">
        <v>82</v>
      </c>
      <c r="M135" s="358">
        <v>85</v>
      </c>
      <c r="N135" s="358">
        <v>87</v>
      </c>
      <c r="O135" s="358">
        <v>92</v>
      </c>
      <c r="P135" s="358">
        <v>98</v>
      </c>
      <c r="Q135" s="358">
        <v>100</v>
      </c>
      <c r="R135" s="358">
        <v>103</v>
      </c>
      <c r="S135" s="358">
        <v>105</v>
      </c>
      <c r="T135" s="358">
        <v>108</v>
      </c>
      <c r="U135" s="358">
        <v>111</v>
      </c>
      <c r="V135" s="358">
        <v>53</v>
      </c>
      <c r="W135" s="358">
        <v>51</v>
      </c>
      <c r="X135" s="358">
        <v>53</v>
      </c>
      <c r="Y135" s="358">
        <v>55</v>
      </c>
      <c r="Z135" s="358">
        <v>57</v>
      </c>
      <c r="AA135" s="358">
        <v>58</v>
      </c>
      <c r="AB135" s="358">
        <v>60</v>
      </c>
      <c r="AC135" s="358">
        <v>63</v>
      </c>
      <c r="AD135" s="358">
        <v>65</v>
      </c>
      <c r="AE135" s="358">
        <v>70</v>
      </c>
      <c r="AF135" s="358">
        <v>75</v>
      </c>
      <c r="AG135" s="358">
        <v>80</v>
      </c>
      <c r="AH135" s="358">
        <v>81</v>
      </c>
      <c r="AI135" s="358">
        <v>82</v>
      </c>
      <c r="AJ135" s="358">
        <v>86</v>
      </c>
      <c r="AK135" s="358">
        <v>92</v>
      </c>
      <c r="AL135" s="358">
        <v>98</v>
      </c>
      <c r="AM135" s="358">
        <v>103</v>
      </c>
      <c r="AN135" s="358">
        <v>109</v>
      </c>
      <c r="AO135" s="358">
        <v>113</v>
      </c>
      <c r="AP135" s="358">
        <v>119</v>
      </c>
      <c r="AQ135" s="358">
        <v>125</v>
      </c>
      <c r="AR135" s="358">
        <v>129</v>
      </c>
      <c r="AS135" s="358">
        <v>141</v>
      </c>
      <c r="AT135" s="358">
        <v>149</v>
      </c>
      <c r="AU135" s="358">
        <v>159</v>
      </c>
      <c r="AV135" s="358">
        <v>168</v>
      </c>
      <c r="AW135" s="358">
        <v>176</v>
      </c>
      <c r="AX135" s="358">
        <v>58</v>
      </c>
      <c r="AY135" s="358">
        <v>62</v>
      </c>
      <c r="AZ135" s="358">
        <v>63</v>
      </c>
      <c r="BA135" s="358">
        <v>64</v>
      </c>
      <c r="BB135" s="358">
        <v>65</v>
      </c>
      <c r="BC135" s="358">
        <v>68</v>
      </c>
      <c r="BD135" s="358">
        <v>72</v>
      </c>
      <c r="BE135" s="358">
        <v>74</v>
      </c>
      <c r="BF135" s="358">
        <v>75</v>
      </c>
      <c r="BG135" s="358">
        <v>78</v>
      </c>
      <c r="BH135" s="358">
        <v>79</v>
      </c>
      <c r="BI135" s="358">
        <v>80</v>
      </c>
      <c r="BJ135" s="358">
        <v>82</v>
      </c>
      <c r="BK135" s="358">
        <v>83</v>
      </c>
      <c r="BL135" s="358">
        <v>84</v>
      </c>
      <c r="BM135" s="358">
        <v>86</v>
      </c>
      <c r="BN135" s="358">
        <v>87</v>
      </c>
      <c r="BO135" s="358">
        <v>90</v>
      </c>
      <c r="BP135" s="358">
        <v>95</v>
      </c>
      <c r="BQ135" s="358">
        <v>99</v>
      </c>
      <c r="BR135" s="358">
        <v>109</v>
      </c>
      <c r="BS135" s="358">
        <v>116</v>
      </c>
      <c r="BT135" s="358">
        <v>120</v>
      </c>
      <c r="BU135" s="358">
        <v>123</v>
      </c>
      <c r="BV135" s="358">
        <v>60</v>
      </c>
      <c r="BW135" s="358">
        <v>61</v>
      </c>
      <c r="BX135" s="358">
        <v>64</v>
      </c>
      <c r="BY135" s="358">
        <v>68</v>
      </c>
      <c r="BZ135" s="358">
        <v>73</v>
      </c>
      <c r="CA135" s="358">
        <v>77</v>
      </c>
      <c r="CB135" s="358">
        <v>84</v>
      </c>
      <c r="CC135" s="358">
        <v>89</v>
      </c>
      <c r="CD135" s="358">
        <v>92</v>
      </c>
      <c r="CE135" s="358">
        <v>96</v>
      </c>
      <c r="CF135" s="358">
        <v>98</v>
      </c>
      <c r="CG135" s="358">
        <v>105</v>
      </c>
      <c r="CH135" s="358">
        <v>107</v>
      </c>
      <c r="CI135" s="358">
        <v>111</v>
      </c>
      <c r="CJ135" s="358">
        <v>114</v>
      </c>
      <c r="CK135" s="358">
        <v>121</v>
      </c>
      <c r="CL135" s="358">
        <v>127</v>
      </c>
      <c r="CM135" s="358">
        <v>131</v>
      </c>
      <c r="CN135" s="358">
        <v>136</v>
      </c>
      <c r="CO135" s="358">
        <v>143</v>
      </c>
      <c r="CP135" s="358">
        <v>154</v>
      </c>
      <c r="CQ135" s="358">
        <v>167</v>
      </c>
      <c r="CR135" s="358">
        <v>172</v>
      </c>
      <c r="CS135" s="358">
        <v>61</v>
      </c>
      <c r="CT135" s="358">
        <v>66</v>
      </c>
      <c r="CU135" s="358">
        <v>72</v>
      </c>
      <c r="CV135" s="358">
        <v>78</v>
      </c>
      <c r="CW135" s="358">
        <v>84</v>
      </c>
      <c r="CX135" s="358">
        <v>89</v>
      </c>
      <c r="CY135" s="358">
        <v>96</v>
      </c>
      <c r="CZ135" s="358">
        <v>99</v>
      </c>
      <c r="DA135" s="358">
        <v>103</v>
      </c>
      <c r="DB135" s="358">
        <v>108</v>
      </c>
      <c r="DC135" s="358">
        <v>119</v>
      </c>
      <c r="DD135" s="358">
        <v>129</v>
      </c>
      <c r="DE135" s="358">
        <v>133</v>
      </c>
      <c r="DF135" s="358">
        <v>139</v>
      </c>
      <c r="DG135" s="358">
        <v>148</v>
      </c>
      <c r="DH135" s="358">
        <v>153</v>
      </c>
      <c r="DI135" s="358">
        <v>160</v>
      </c>
      <c r="DJ135" s="358">
        <v>169</v>
      </c>
      <c r="DK135" s="358">
        <v>176</v>
      </c>
      <c r="DL135" s="358">
        <v>184</v>
      </c>
      <c r="DM135" s="358">
        <v>196</v>
      </c>
      <c r="DN135" s="358">
        <v>199</v>
      </c>
      <c r="DO135" s="358">
        <v>210</v>
      </c>
      <c r="DP135" s="358">
        <v>219</v>
      </c>
      <c r="DQ135" s="358">
        <v>48</v>
      </c>
      <c r="DR135" s="358">
        <v>43</v>
      </c>
      <c r="DS135" s="358">
        <v>39</v>
      </c>
      <c r="DT135" s="358">
        <v>37</v>
      </c>
      <c r="DU135" s="358">
        <v>34</v>
      </c>
      <c r="DV135" s="358">
        <v>33</v>
      </c>
      <c r="DW135" s="358">
        <v>27</v>
      </c>
      <c r="DX135" s="358">
        <v>24</v>
      </c>
      <c r="DY135" s="358">
        <v>18</v>
      </c>
      <c r="DZ135" s="358">
        <v>13</v>
      </c>
      <c r="EA135" s="358">
        <v>9</v>
      </c>
      <c r="EB135" s="358">
        <v>5</v>
      </c>
      <c r="ED135" s="358">
        <v>6</v>
      </c>
      <c r="EE135" s="358">
        <v>12</v>
      </c>
      <c r="EF135" s="358">
        <v>15</v>
      </c>
      <c r="EG135" s="358">
        <v>19</v>
      </c>
      <c r="EH135" s="358">
        <v>24</v>
      </c>
      <c r="EI135" s="358">
        <v>29</v>
      </c>
      <c r="EJ135" s="358">
        <v>33</v>
      </c>
      <c r="EK135" s="358">
        <v>38</v>
      </c>
      <c r="EL135" s="358">
        <v>42</v>
      </c>
      <c r="EM135" s="358">
        <v>193</v>
      </c>
      <c r="EN135" s="358">
        <v>205</v>
      </c>
      <c r="EO135" s="358">
        <v>216</v>
      </c>
      <c r="EP135" s="358">
        <v>226</v>
      </c>
      <c r="EQ135" s="358">
        <v>233</v>
      </c>
      <c r="ES135" s="358">
        <v>245</v>
      </c>
      <c r="ET135" s="358">
        <v>250</v>
      </c>
      <c r="EU135" s="358">
        <v>259</v>
      </c>
      <c r="EV135" s="358">
        <v>265</v>
      </c>
      <c r="EW135" s="358">
        <v>189</v>
      </c>
      <c r="EX135" s="358">
        <v>200</v>
      </c>
      <c r="EY135" s="358">
        <v>211</v>
      </c>
      <c r="EZ135" s="358">
        <v>227</v>
      </c>
      <c r="FA135" s="358">
        <v>235</v>
      </c>
      <c r="FB135" s="358">
        <v>245</v>
      </c>
      <c r="FC135" s="358">
        <v>259</v>
      </c>
      <c r="FD135" s="358">
        <v>271</v>
      </c>
      <c r="FE135" s="358">
        <v>278</v>
      </c>
      <c r="FF135" s="358">
        <v>283</v>
      </c>
      <c r="FG135" s="358">
        <v>295</v>
      </c>
      <c r="FH135" s="358">
        <v>304</v>
      </c>
      <c r="FI135" s="358">
        <v>315</v>
      </c>
      <c r="FJ135" s="358">
        <v>321</v>
      </c>
      <c r="FK135" s="358">
        <v>326</v>
      </c>
      <c r="FL135" s="358">
        <v>168</v>
      </c>
      <c r="FM135" s="358">
        <v>178</v>
      </c>
      <c r="FN135" s="358">
        <v>184</v>
      </c>
      <c r="FO135" s="358">
        <v>191</v>
      </c>
      <c r="FP135" s="358">
        <v>204</v>
      </c>
      <c r="FQ135" s="358">
        <v>219</v>
      </c>
      <c r="FR135" s="358">
        <v>227</v>
      </c>
      <c r="FS135" s="358">
        <v>234</v>
      </c>
      <c r="FT135" s="358">
        <v>241</v>
      </c>
      <c r="FU135" s="358">
        <v>248</v>
      </c>
      <c r="FV135" s="358">
        <v>258</v>
      </c>
      <c r="FW135" s="358">
        <v>127</v>
      </c>
      <c r="FX135" s="358">
        <v>174</v>
      </c>
      <c r="FY135" s="358">
        <v>181</v>
      </c>
      <c r="FZ135" s="358">
        <v>209</v>
      </c>
      <c r="GA135" s="358">
        <v>278</v>
      </c>
      <c r="GB135" s="358">
        <v>306</v>
      </c>
      <c r="GC135" s="358">
        <v>166</v>
      </c>
      <c r="GD135" s="358">
        <v>202</v>
      </c>
      <c r="GE135" s="358">
        <v>231</v>
      </c>
      <c r="GF135" s="358">
        <v>223</v>
      </c>
      <c r="GG135" s="358">
        <v>147</v>
      </c>
      <c r="GH135" s="358">
        <v>159</v>
      </c>
      <c r="GI135" s="361">
        <v>185</v>
      </c>
    </row>
    <row r="136" spans="1:191">
      <c r="A136" s="336" t="s">
        <v>363</v>
      </c>
      <c r="B136" s="358">
        <v>61</v>
      </c>
      <c r="C136" s="358">
        <v>65</v>
      </c>
      <c r="D136" s="358">
        <v>67</v>
      </c>
      <c r="E136" s="358">
        <v>68</v>
      </c>
      <c r="F136" s="358">
        <v>71</v>
      </c>
      <c r="G136" s="358">
        <v>74</v>
      </c>
      <c r="H136" s="358">
        <v>77</v>
      </c>
      <c r="I136" s="358">
        <v>79</v>
      </c>
      <c r="J136" s="358">
        <v>82</v>
      </c>
      <c r="K136" s="358">
        <v>86</v>
      </c>
      <c r="L136" s="358">
        <v>88</v>
      </c>
      <c r="M136" s="358">
        <v>91</v>
      </c>
      <c r="N136" s="358">
        <v>93</v>
      </c>
      <c r="O136" s="358">
        <v>98</v>
      </c>
      <c r="P136" s="358">
        <v>104</v>
      </c>
      <c r="Q136" s="358">
        <v>106</v>
      </c>
      <c r="R136" s="358">
        <v>109</v>
      </c>
      <c r="S136" s="358">
        <v>111</v>
      </c>
      <c r="T136" s="358">
        <v>114</v>
      </c>
      <c r="U136" s="358">
        <v>117</v>
      </c>
      <c r="V136" s="358">
        <v>59</v>
      </c>
      <c r="W136" s="358">
        <v>57</v>
      </c>
      <c r="X136" s="358">
        <v>59</v>
      </c>
      <c r="Y136" s="358">
        <v>61</v>
      </c>
      <c r="Z136" s="358">
        <v>63</v>
      </c>
      <c r="AA136" s="358">
        <v>64</v>
      </c>
      <c r="AB136" s="358">
        <v>66</v>
      </c>
      <c r="AC136" s="358">
        <v>69</v>
      </c>
      <c r="AD136" s="358">
        <v>71</v>
      </c>
      <c r="AE136" s="358">
        <v>76</v>
      </c>
      <c r="AF136" s="358">
        <v>81</v>
      </c>
      <c r="AG136" s="358">
        <v>86</v>
      </c>
      <c r="AH136" s="358">
        <v>87</v>
      </c>
      <c r="AI136" s="358">
        <v>88</v>
      </c>
      <c r="AJ136" s="358">
        <v>92</v>
      </c>
      <c r="AK136" s="358">
        <v>98</v>
      </c>
      <c r="AL136" s="358">
        <v>104</v>
      </c>
      <c r="AM136" s="358">
        <v>109</v>
      </c>
      <c r="AN136" s="358">
        <v>115</v>
      </c>
      <c r="AO136" s="358">
        <v>119</v>
      </c>
      <c r="AP136" s="358">
        <v>125</v>
      </c>
      <c r="AQ136" s="358">
        <v>131</v>
      </c>
      <c r="AR136" s="358">
        <v>135</v>
      </c>
      <c r="AS136" s="358">
        <v>147</v>
      </c>
      <c r="AT136" s="358">
        <v>155</v>
      </c>
      <c r="AU136" s="358">
        <v>165</v>
      </c>
      <c r="AV136" s="358">
        <v>174</v>
      </c>
      <c r="AW136" s="358">
        <v>182</v>
      </c>
      <c r="AX136" s="358">
        <v>64</v>
      </c>
      <c r="AY136" s="358">
        <v>68</v>
      </c>
      <c r="AZ136" s="358">
        <v>69</v>
      </c>
      <c r="BA136" s="358">
        <v>70</v>
      </c>
      <c r="BB136" s="358">
        <v>71</v>
      </c>
      <c r="BC136" s="358">
        <v>74</v>
      </c>
      <c r="BD136" s="358">
        <v>78</v>
      </c>
      <c r="BE136" s="358">
        <v>80</v>
      </c>
      <c r="BF136" s="358">
        <v>81</v>
      </c>
      <c r="BG136" s="358">
        <v>84</v>
      </c>
      <c r="BH136" s="358">
        <v>85</v>
      </c>
      <c r="BI136" s="358">
        <v>86</v>
      </c>
      <c r="BJ136" s="358">
        <v>88</v>
      </c>
      <c r="BK136" s="358">
        <v>89</v>
      </c>
      <c r="BL136" s="358">
        <v>90</v>
      </c>
      <c r="BM136" s="358">
        <v>92</v>
      </c>
      <c r="BN136" s="358">
        <v>93</v>
      </c>
      <c r="BO136" s="358">
        <v>96</v>
      </c>
      <c r="BP136" s="358">
        <v>101</v>
      </c>
      <c r="BQ136" s="358">
        <v>105</v>
      </c>
      <c r="BR136" s="358">
        <v>115</v>
      </c>
      <c r="BS136" s="358">
        <v>122</v>
      </c>
      <c r="BT136" s="358">
        <v>126</v>
      </c>
      <c r="BU136" s="358">
        <v>129</v>
      </c>
      <c r="BV136" s="358">
        <v>66</v>
      </c>
      <c r="BW136" s="358">
        <v>67</v>
      </c>
      <c r="BX136" s="358">
        <v>70</v>
      </c>
      <c r="BY136" s="358">
        <v>74</v>
      </c>
      <c r="BZ136" s="358">
        <v>79</v>
      </c>
      <c r="CA136" s="358">
        <v>83</v>
      </c>
      <c r="CB136" s="358">
        <v>90</v>
      </c>
      <c r="CC136" s="358">
        <v>95</v>
      </c>
      <c r="CD136" s="358">
        <v>98</v>
      </c>
      <c r="CE136" s="358">
        <v>102</v>
      </c>
      <c r="CF136" s="358">
        <v>104</v>
      </c>
      <c r="CG136" s="358">
        <v>111</v>
      </c>
      <c r="CH136" s="358">
        <v>113</v>
      </c>
      <c r="CI136" s="358">
        <v>117</v>
      </c>
      <c r="CJ136" s="358">
        <v>120</v>
      </c>
      <c r="CK136" s="358">
        <v>127</v>
      </c>
      <c r="CL136" s="358">
        <v>133</v>
      </c>
      <c r="CM136" s="358">
        <v>137</v>
      </c>
      <c r="CN136" s="358">
        <v>142</v>
      </c>
      <c r="CO136" s="358">
        <v>149</v>
      </c>
      <c r="CP136" s="358">
        <v>160</v>
      </c>
      <c r="CQ136" s="358">
        <v>173</v>
      </c>
      <c r="CR136" s="358">
        <v>178</v>
      </c>
      <c r="CS136" s="358">
        <v>67</v>
      </c>
      <c r="CT136" s="358">
        <v>72</v>
      </c>
      <c r="CU136" s="358">
        <v>78</v>
      </c>
      <c r="CV136" s="358">
        <v>84</v>
      </c>
      <c r="CW136" s="358">
        <v>90</v>
      </c>
      <c r="CX136" s="358">
        <v>95</v>
      </c>
      <c r="CY136" s="358">
        <v>102</v>
      </c>
      <c r="CZ136" s="358">
        <v>105</v>
      </c>
      <c r="DA136" s="358">
        <v>109</v>
      </c>
      <c r="DB136" s="358">
        <v>114</v>
      </c>
      <c r="DC136" s="358">
        <v>125</v>
      </c>
      <c r="DD136" s="358">
        <v>135</v>
      </c>
      <c r="DE136" s="358">
        <v>139</v>
      </c>
      <c r="DF136" s="358">
        <v>145</v>
      </c>
      <c r="DG136" s="358">
        <v>154</v>
      </c>
      <c r="DH136" s="358">
        <v>159</v>
      </c>
      <c r="DI136" s="358">
        <v>166</v>
      </c>
      <c r="DJ136" s="358">
        <v>175</v>
      </c>
      <c r="DK136" s="358">
        <v>182</v>
      </c>
      <c r="DL136" s="358">
        <v>190</v>
      </c>
      <c r="DM136" s="358">
        <v>202</v>
      </c>
      <c r="DN136" s="358">
        <v>205</v>
      </c>
      <c r="DO136" s="358">
        <v>216</v>
      </c>
      <c r="DP136" s="358">
        <v>225</v>
      </c>
      <c r="DQ136" s="358">
        <v>54</v>
      </c>
      <c r="DR136" s="358">
        <v>49</v>
      </c>
      <c r="DS136" s="358">
        <v>45</v>
      </c>
      <c r="DT136" s="358">
        <v>43</v>
      </c>
      <c r="DU136" s="358">
        <v>40</v>
      </c>
      <c r="DV136" s="358">
        <v>39</v>
      </c>
      <c r="DW136" s="358">
        <v>33</v>
      </c>
      <c r="DX136" s="358">
        <v>30</v>
      </c>
      <c r="DY136" s="358">
        <v>24</v>
      </c>
      <c r="DZ136" s="358">
        <v>19</v>
      </c>
      <c r="EA136" s="358">
        <v>15</v>
      </c>
      <c r="EB136" s="358">
        <v>11</v>
      </c>
      <c r="EC136" s="358">
        <v>6</v>
      </c>
      <c r="EE136" s="358">
        <v>6</v>
      </c>
      <c r="EF136" s="358">
        <v>9</v>
      </c>
      <c r="EG136" s="358">
        <v>13</v>
      </c>
      <c r="EH136" s="358">
        <v>18</v>
      </c>
      <c r="EI136" s="358">
        <v>23</v>
      </c>
      <c r="EJ136" s="358">
        <v>27</v>
      </c>
      <c r="EK136" s="358">
        <v>32</v>
      </c>
      <c r="EL136" s="358">
        <v>36</v>
      </c>
      <c r="EM136" s="358">
        <v>199</v>
      </c>
      <c r="EN136" s="358">
        <v>211</v>
      </c>
      <c r="EO136" s="358">
        <v>222</v>
      </c>
      <c r="EP136" s="358">
        <v>232</v>
      </c>
      <c r="EQ136" s="358">
        <v>239</v>
      </c>
      <c r="ES136" s="358">
        <v>251</v>
      </c>
      <c r="ET136" s="358">
        <v>256</v>
      </c>
      <c r="EU136" s="358">
        <v>265</v>
      </c>
      <c r="EV136" s="358">
        <v>271</v>
      </c>
      <c r="EW136" s="358">
        <v>195</v>
      </c>
      <c r="EX136" s="358">
        <v>206</v>
      </c>
      <c r="EY136" s="358">
        <v>217</v>
      </c>
      <c r="EZ136" s="358">
        <v>233</v>
      </c>
      <c r="FA136" s="358">
        <v>241</v>
      </c>
      <c r="FB136" s="358">
        <v>251</v>
      </c>
      <c r="FC136" s="358">
        <v>265</v>
      </c>
      <c r="FD136" s="358">
        <v>277</v>
      </c>
      <c r="FE136" s="358">
        <v>284</v>
      </c>
      <c r="FF136" s="358">
        <v>289</v>
      </c>
      <c r="FG136" s="358">
        <v>301</v>
      </c>
      <c r="FH136" s="358">
        <v>310</v>
      </c>
      <c r="FI136" s="358">
        <v>321</v>
      </c>
      <c r="FJ136" s="358">
        <v>327</v>
      </c>
      <c r="FK136" s="358">
        <v>332</v>
      </c>
      <c r="FL136" s="358">
        <v>174</v>
      </c>
      <c r="FM136" s="358">
        <v>184</v>
      </c>
      <c r="FN136" s="358">
        <v>190</v>
      </c>
      <c r="FO136" s="358">
        <v>197</v>
      </c>
      <c r="FP136" s="358">
        <v>210</v>
      </c>
      <c r="FQ136" s="358">
        <v>225</v>
      </c>
      <c r="FR136" s="358">
        <v>233</v>
      </c>
      <c r="FS136" s="358">
        <v>240</v>
      </c>
      <c r="FT136" s="358">
        <v>247</v>
      </c>
      <c r="FU136" s="358">
        <v>254</v>
      </c>
      <c r="FV136" s="358">
        <v>264</v>
      </c>
      <c r="FW136" s="358">
        <v>133</v>
      </c>
      <c r="FX136" s="358">
        <v>180</v>
      </c>
      <c r="FY136" s="358">
        <v>187</v>
      </c>
      <c r="FZ136" s="358">
        <v>215</v>
      </c>
      <c r="GA136" s="358">
        <v>284</v>
      </c>
      <c r="GB136" s="358">
        <v>312</v>
      </c>
      <c r="GC136" s="358">
        <v>172</v>
      </c>
      <c r="GD136" s="358">
        <v>208</v>
      </c>
      <c r="GE136" s="358">
        <v>237</v>
      </c>
      <c r="GF136" s="358">
        <v>229</v>
      </c>
      <c r="GG136" s="358">
        <v>153</v>
      </c>
      <c r="GH136" s="358">
        <v>165</v>
      </c>
      <c r="GI136" s="361">
        <v>191</v>
      </c>
    </row>
    <row r="137" spans="1:191">
      <c r="A137" s="336" t="s">
        <v>362</v>
      </c>
      <c r="B137" s="358">
        <v>67</v>
      </c>
      <c r="C137" s="358">
        <v>71</v>
      </c>
      <c r="D137" s="358">
        <v>73</v>
      </c>
      <c r="E137" s="358">
        <v>74</v>
      </c>
      <c r="F137" s="358">
        <v>77</v>
      </c>
      <c r="G137" s="358">
        <v>80</v>
      </c>
      <c r="H137" s="358">
        <v>83</v>
      </c>
      <c r="I137" s="358">
        <v>85</v>
      </c>
      <c r="J137" s="358">
        <v>88</v>
      </c>
      <c r="K137" s="358">
        <v>92</v>
      </c>
      <c r="L137" s="358">
        <v>94</v>
      </c>
      <c r="M137" s="358">
        <v>97</v>
      </c>
      <c r="N137" s="358">
        <v>99</v>
      </c>
      <c r="O137" s="358">
        <v>104</v>
      </c>
      <c r="P137" s="358">
        <v>110</v>
      </c>
      <c r="Q137" s="358">
        <v>112</v>
      </c>
      <c r="R137" s="358">
        <v>115</v>
      </c>
      <c r="S137" s="358">
        <v>117</v>
      </c>
      <c r="T137" s="358">
        <v>120</v>
      </c>
      <c r="U137" s="358">
        <v>123</v>
      </c>
      <c r="V137" s="358">
        <v>65</v>
      </c>
      <c r="W137" s="358">
        <v>63</v>
      </c>
      <c r="X137" s="358">
        <v>65</v>
      </c>
      <c r="Y137" s="358">
        <v>67</v>
      </c>
      <c r="Z137" s="358">
        <v>69</v>
      </c>
      <c r="AA137" s="358">
        <v>70</v>
      </c>
      <c r="AB137" s="358">
        <v>72</v>
      </c>
      <c r="AC137" s="358">
        <v>75</v>
      </c>
      <c r="AD137" s="358">
        <v>77</v>
      </c>
      <c r="AE137" s="358">
        <v>82</v>
      </c>
      <c r="AF137" s="358">
        <v>87</v>
      </c>
      <c r="AG137" s="358">
        <v>92</v>
      </c>
      <c r="AH137" s="358">
        <v>93</v>
      </c>
      <c r="AI137" s="358">
        <v>94</v>
      </c>
      <c r="AJ137" s="358">
        <v>98</v>
      </c>
      <c r="AK137" s="358">
        <v>104</v>
      </c>
      <c r="AL137" s="358">
        <v>110</v>
      </c>
      <c r="AM137" s="358">
        <v>115</v>
      </c>
      <c r="AN137" s="358">
        <v>121</v>
      </c>
      <c r="AO137" s="358">
        <v>125</v>
      </c>
      <c r="AP137" s="358">
        <v>131</v>
      </c>
      <c r="AQ137" s="358">
        <v>137</v>
      </c>
      <c r="AR137" s="358">
        <v>141</v>
      </c>
      <c r="AS137" s="358">
        <v>153</v>
      </c>
      <c r="AT137" s="358">
        <v>161</v>
      </c>
      <c r="AU137" s="358">
        <v>171</v>
      </c>
      <c r="AV137" s="358">
        <v>180</v>
      </c>
      <c r="AW137" s="358">
        <v>188</v>
      </c>
      <c r="AX137" s="358">
        <v>70</v>
      </c>
      <c r="AY137" s="358">
        <v>74</v>
      </c>
      <c r="AZ137" s="358">
        <v>75</v>
      </c>
      <c r="BA137" s="358">
        <v>76</v>
      </c>
      <c r="BB137" s="358">
        <v>77</v>
      </c>
      <c r="BC137" s="358">
        <v>80</v>
      </c>
      <c r="BD137" s="358">
        <v>84</v>
      </c>
      <c r="BE137" s="358">
        <v>86</v>
      </c>
      <c r="BF137" s="358">
        <v>87</v>
      </c>
      <c r="BG137" s="358">
        <v>90</v>
      </c>
      <c r="BH137" s="358">
        <v>91</v>
      </c>
      <c r="BI137" s="358">
        <v>92</v>
      </c>
      <c r="BJ137" s="358">
        <v>94</v>
      </c>
      <c r="BK137" s="358">
        <v>95</v>
      </c>
      <c r="BL137" s="358">
        <v>96</v>
      </c>
      <c r="BM137" s="358">
        <v>98</v>
      </c>
      <c r="BN137" s="358">
        <v>99</v>
      </c>
      <c r="BO137" s="358">
        <v>102</v>
      </c>
      <c r="BP137" s="358">
        <v>107</v>
      </c>
      <c r="BQ137" s="358">
        <v>111</v>
      </c>
      <c r="BR137" s="358">
        <v>121</v>
      </c>
      <c r="BS137" s="358">
        <v>128</v>
      </c>
      <c r="BT137" s="358">
        <v>132</v>
      </c>
      <c r="BU137" s="358">
        <v>135</v>
      </c>
      <c r="BV137" s="358">
        <v>72</v>
      </c>
      <c r="BW137" s="358">
        <v>73</v>
      </c>
      <c r="BX137" s="358">
        <v>76</v>
      </c>
      <c r="BY137" s="358">
        <v>80</v>
      </c>
      <c r="BZ137" s="358">
        <v>85</v>
      </c>
      <c r="CA137" s="358">
        <v>89</v>
      </c>
      <c r="CB137" s="358">
        <v>96</v>
      </c>
      <c r="CC137" s="358">
        <v>101</v>
      </c>
      <c r="CD137" s="358">
        <v>104</v>
      </c>
      <c r="CE137" s="358">
        <v>108</v>
      </c>
      <c r="CF137" s="358">
        <v>110</v>
      </c>
      <c r="CG137" s="358">
        <v>117</v>
      </c>
      <c r="CH137" s="358">
        <v>119</v>
      </c>
      <c r="CI137" s="358">
        <v>123</v>
      </c>
      <c r="CJ137" s="358">
        <v>126</v>
      </c>
      <c r="CK137" s="358">
        <v>133</v>
      </c>
      <c r="CL137" s="358">
        <v>139</v>
      </c>
      <c r="CM137" s="358">
        <v>143</v>
      </c>
      <c r="CN137" s="358">
        <v>148</v>
      </c>
      <c r="CO137" s="358">
        <v>155</v>
      </c>
      <c r="CP137" s="358">
        <v>166</v>
      </c>
      <c r="CQ137" s="358">
        <v>179</v>
      </c>
      <c r="CR137" s="358">
        <v>184</v>
      </c>
      <c r="CS137" s="358">
        <v>73</v>
      </c>
      <c r="CT137" s="358">
        <v>78</v>
      </c>
      <c r="CU137" s="358">
        <v>84</v>
      </c>
      <c r="CV137" s="358">
        <v>90</v>
      </c>
      <c r="CW137" s="358">
        <v>96</v>
      </c>
      <c r="CX137" s="358">
        <v>101</v>
      </c>
      <c r="CY137" s="358">
        <v>108</v>
      </c>
      <c r="CZ137" s="358">
        <v>111</v>
      </c>
      <c r="DA137" s="358">
        <v>115</v>
      </c>
      <c r="DB137" s="358">
        <v>120</v>
      </c>
      <c r="DC137" s="358">
        <v>131</v>
      </c>
      <c r="DD137" s="358">
        <v>141</v>
      </c>
      <c r="DE137" s="358">
        <v>145</v>
      </c>
      <c r="DF137" s="358">
        <v>151</v>
      </c>
      <c r="DG137" s="358">
        <v>160</v>
      </c>
      <c r="DH137" s="358">
        <v>165</v>
      </c>
      <c r="DI137" s="358">
        <v>172</v>
      </c>
      <c r="DJ137" s="358">
        <v>181</v>
      </c>
      <c r="DK137" s="358">
        <v>188</v>
      </c>
      <c r="DL137" s="358">
        <v>196</v>
      </c>
      <c r="DM137" s="358">
        <v>208</v>
      </c>
      <c r="DN137" s="358">
        <v>211</v>
      </c>
      <c r="DO137" s="358">
        <v>222</v>
      </c>
      <c r="DP137" s="358">
        <v>231</v>
      </c>
      <c r="DQ137" s="358">
        <v>60</v>
      </c>
      <c r="DR137" s="358">
        <v>55</v>
      </c>
      <c r="DS137" s="358">
        <v>51</v>
      </c>
      <c r="DT137" s="358">
        <v>49</v>
      </c>
      <c r="DU137" s="358">
        <v>46</v>
      </c>
      <c r="DV137" s="358">
        <v>45</v>
      </c>
      <c r="DW137" s="358">
        <v>39</v>
      </c>
      <c r="DX137" s="358">
        <v>36</v>
      </c>
      <c r="DY137" s="358">
        <v>30</v>
      </c>
      <c r="DZ137" s="358">
        <v>25</v>
      </c>
      <c r="EA137" s="358">
        <v>21</v>
      </c>
      <c r="EB137" s="358">
        <v>17</v>
      </c>
      <c r="EC137" s="358">
        <v>12</v>
      </c>
      <c r="ED137" s="358">
        <v>6</v>
      </c>
      <c r="EF137" s="358">
        <v>3</v>
      </c>
      <c r="EG137" s="358">
        <v>7</v>
      </c>
      <c r="EH137" s="358">
        <v>12</v>
      </c>
      <c r="EI137" s="358">
        <v>17</v>
      </c>
      <c r="EJ137" s="358">
        <v>21</v>
      </c>
      <c r="EK137" s="358">
        <v>26</v>
      </c>
      <c r="EL137" s="358">
        <v>30</v>
      </c>
      <c r="EM137" s="358">
        <v>205</v>
      </c>
      <c r="EN137" s="358">
        <v>217</v>
      </c>
      <c r="EO137" s="358">
        <v>228</v>
      </c>
      <c r="EP137" s="358">
        <v>238</v>
      </c>
      <c r="EQ137" s="358">
        <v>245</v>
      </c>
      <c r="ES137" s="358">
        <v>257</v>
      </c>
      <c r="ET137" s="358">
        <v>262</v>
      </c>
      <c r="EU137" s="358">
        <v>271</v>
      </c>
      <c r="EV137" s="358">
        <v>277</v>
      </c>
      <c r="EW137" s="358">
        <v>201</v>
      </c>
      <c r="EX137" s="358">
        <v>212</v>
      </c>
      <c r="EY137" s="358">
        <v>223</v>
      </c>
      <c r="EZ137" s="358">
        <v>239</v>
      </c>
      <c r="FA137" s="358">
        <v>247</v>
      </c>
      <c r="FB137" s="358">
        <v>257</v>
      </c>
      <c r="FC137" s="358">
        <v>271</v>
      </c>
      <c r="FD137" s="358">
        <v>283</v>
      </c>
      <c r="FE137" s="358">
        <v>290</v>
      </c>
      <c r="FF137" s="358">
        <v>295</v>
      </c>
      <c r="FG137" s="358">
        <v>307</v>
      </c>
      <c r="FH137" s="358">
        <v>316</v>
      </c>
      <c r="FI137" s="358">
        <v>327</v>
      </c>
      <c r="FJ137" s="358">
        <v>333</v>
      </c>
      <c r="FK137" s="358">
        <v>338</v>
      </c>
      <c r="FL137" s="358">
        <v>180</v>
      </c>
      <c r="FM137" s="358">
        <v>190</v>
      </c>
      <c r="FN137" s="358">
        <v>196</v>
      </c>
      <c r="FO137" s="358">
        <v>203</v>
      </c>
      <c r="FP137" s="358">
        <v>216</v>
      </c>
      <c r="FQ137" s="358">
        <v>231</v>
      </c>
      <c r="FR137" s="358">
        <v>239</v>
      </c>
      <c r="FS137" s="358">
        <v>246</v>
      </c>
      <c r="FT137" s="358">
        <v>253</v>
      </c>
      <c r="FU137" s="358">
        <v>260</v>
      </c>
      <c r="FV137" s="358">
        <v>270</v>
      </c>
      <c r="FW137" s="358">
        <v>139</v>
      </c>
      <c r="FX137" s="358">
        <v>186</v>
      </c>
      <c r="FY137" s="358">
        <v>193</v>
      </c>
      <c r="FZ137" s="358">
        <v>221</v>
      </c>
      <c r="GA137" s="358">
        <v>290</v>
      </c>
      <c r="GB137" s="358">
        <v>318</v>
      </c>
      <c r="GC137" s="358">
        <v>178</v>
      </c>
      <c r="GD137" s="358">
        <v>214</v>
      </c>
      <c r="GE137" s="358">
        <v>243</v>
      </c>
      <c r="GF137" s="358">
        <v>235</v>
      </c>
      <c r="GG137" s="358">
        <v>159</v>
      </c>
      <c r="GH137" s="358">
        <v>171</v>
      </c>
      <c r="GI137" s="361">
        <v>197</v>
      </c>
    </row>
    <row r="138" spans="1:191">
      <c r="A138" s="336" t="s">
        <v>361</v>
      </c>
      <c r="B138" s="358">
        <v>70</v>
      </c>
      <c r="C138" s="358">
        <v>74</v>
      </c>
      <c r="D138" s="358">
        <v>76</v>
      </c>
      <c r="E138" s="358">
        <v>77</v>
      </c>
      <c r="F138" s="358">
        <v>80</v>
      </c>
      <c r="G138" s="358">
        <v>83</v>
      </c>
      <c r="H138" s="358">
        <v>86</v>
      </c>
      <c r="I138" s="358">
        <v>88</v>
      </c>
      <c r="J138" s="358">
        <v>91</v>
      </c>
      <c r="K138" s="358">
        <v>95</v>
      </c>
      <c r="L138" s="358">
        <v>97</v>
      </c>
      <c r="M138" s="358">
        <v>100</v>
      </c>
      <c r="N138" s="358">
        <v>102</v>
      </c>
      <c r="O138" s="358">
        <v>107</v>
      </c>
      <c r="P138" s="358">
        <v>113</v>
      </c>
      <c r="Q138" s="358">
        <v>115</v>
      </c>
      <c r="R138" s="358">
        <v>118</v>
      </c>
      <c r="S138" s="358">
        <v>120</v>
      </c>
      <c r="T138" s="358">
        <v>123</v>
      </c>
      <c r="U138" s="358">
        <v>126</v>
      </c>
      <c r="V138" s="358">
        <v>68</v>
      </c>
      <c r="W138" s="358">
        <v>66</v>
      </c>
      <c r="X138" s="358">
        <v>68</v>
      </c>
      <c r="Y138" s="358">
        <v>70</v>
      </c>
      <c r="Z138" s="358">
        <v>72</v>
      </c>
      <c r="AA138" s="358">
        <v>73</v>
      </c>
      <c r="AB138" s="358">
        <v>75</v>
      </c>
      <c r="AC138" s="358">
        <v>78</v>
      </c>
      <c r="AD138" s="358">
        <v>80</v>
      </c>
      <c r="AE138" s="358">
        <v>85</v>
      </c>
      <c r="AF138" s="358">
        <v>90</v>
      </c>
      <c r="AG138" s="358">
        <v>95</v>
      </c>
      <c r="AH138" s="358">
        <v>96</v>
      </c>
      <c r="AI138" s="358">
        <v>97</v>
      </c>
      <c r="AJ138" s="358">
        <v>101</v>
      </c>
      <c r="AK138" s="358">
        <v>107</v>
      </c>
      <c r="AL138" s="358">
        <v>113</v>
      </c>
      <c r="AM138" s="358">
        <v>118</v>
      </c>
      <c r="AN138" s="358">
        <v>124</v>
      </c>
      <c r="AO138" s="358">
        <v>128</v>
      </c>
      <c r="AP138" s="358">
        <v>134</v>
      </c>
      <c r="AQ138" s="358">
        <v>140</v>
      </c>
      <c r="AR138" s="358">
        <v>144</v>
      </c>
      <c r="AS138" s="358">
        <v>156</v>
      </c>
      <c r="AT138" s="358">
        <v>164</v>
      </c>
      <c r="AU138" s="358">
        <v>174</v>
      </c>
      <c r="AV138" s="358">
        <v>183</v>
      </c>
      <c r="AW138" s="358">
        <v>191</v>
      </c>
      <c r="AX138" s="358">
        <v>73</v>
      </c>
      <c r="AY138" s="358">
        <v>77</v>
      </c>
      <c r="AZ138" s="358">
        <v>78</v>
      </c>
      <c r="BA138" s="358">
        <v>79</v>
      </c>
      <c r="BB138" s="358">
        <v>80</v>
      </c>
      <c r="BC138" s="358">
        <v>83</v>
      </c>
      <c r="BD138" s="358">
        <v>87</v>
      </c>
      <c r="BE138" s="358">
        <v>89</v>
      </c>
      <c r="BF138" s="358">
        <v>90</v>
      </c>
      <c r="BG138" s="358">
        <v>93</v>
      </c>
      <c r="BH138" s="358">
        <v>94</v>
      </c>
      <c r="BI138" s="358">
        <v>95</v>
      </c>
      <c r="BJ138" s="358">
        <v>97</v>
      </c>
      <c r="BK138" s="358">
        <v>98</v>
      </c>
      <c r="BL138" s="358">
        <v>99</v>
      </c>
      <c r="BM138" s="358">
        <v>101</v>
      </c>
      <c r="BN138" s="358">
        <v>102</v>
      </c>
      <c r="BO138" s="358">
        <v>105</v>
      </c>
      <c r="BP138" s="358">
        <v>110</v>
      </c>
      <c r="BQ138" s="358">
        <v>114</v>
      </c>
      <c r="BR138" s="358">
        <v>124</v>
      </c>
      <c r="BS138" s="358">
        <v>131</v>
      </c>
      <c r="BT138" s="358">
        <v>135</v>
      </c>
      <c r="BU138" s="358">
        <v>138</v>
      </c>
      <c r="BV138" s="358">
        <v>75</v>
      </c>
      <c r="BW138" s="358">
        <v>76</v>
      </c>
      <c r="BX138" s="358">
        <v>79</v>
      </c>
      <c r="BY138" s="358">
        <v>83</v>
      </c>
      <c r="BZ138" s="358">
        <v>88</v>
      </c>
      <c r="CA138" s="358">
        <v>92</v>
      </c>
      <c r="CB138" s="358">
        <v>99</v>
      </c>
      <c r="CC138" s="358">
        <v>104</v>
      </c>
      <c r="CD138" s="358">
        <v>107</v>
      </c>
      <c r="CE138" s="358">
        <v>111</v>
      </c>
      <c r="CF138" s="358">
        <v>113</v>
      </c>
      <c r="CG138" s="358">
        <v>120</v>
      </c>
      <c r="CH138" s="358">
        <v>122</v>
      </c>
      <c r="CI138" s="358">
        <v>126</v>
      </c>
      <c r="CJ138" s="358">
        <v>129</v>
      </c>
      <c r="CK138" s="358">
        <v>136</v>
      </c>
      <c r="CL138" s="358">
        <v>142</v>
      </c>
      <c r="CM138" s="358">
        <v>146</v>
      </c>
      <c r="CN138" s="358">
        <v>151</v>
      </c>
      <c r="CO138" s="358">
        <v>158</v>
      </c>
      <c r="CP138" s="358">
        <v>169</v>
      </c>
      <c r="CQ138" s="358">
        <v>182</v>
      </c>
      <c r="CR138" s="358">
        <v>187</v>
      </c>
      <c r="CS138" s="358">
        <v>76</v>
      </c>
      <c r="CT138" s="358">
        <v>81</v>
      </c>
      <c r="CU138" s="358">
        <v>87</v>
      </c>
      <c r="CV138" s="358">
        <v>93</v>
      </c>
      <c r="CW138" s="358">
        <v>99</v>
      </c>
      <c r="CX138" s="358">
        <v>104</v>
      </c>
      <c r="CY138" s="358">
        <v>111</v>
      </c>
      <c r="CZ138" s="358">
        <v>114</v>
      </c>
      <c r="DA138" s="358">
        <v>118</v>
      </c>
      <c r="DB138" s="358">
        <v>123</v>
      </c>
      <c r="DC138" s="358">
        <v>134</v>
      </c>
      <c r="DD138" s="358">
        <v>144</v>
      </c>
      <c r="DE138" s="358">
        <v>148</v>
      </c>
      <c r="DF138" s="358">
        <v>154</v>
      </c>
      <c r="DG138" s="358">
        <v>163</v>
      </c>
      <c r="DH138" s="358">
        <v>168</v>
      </c>
      <c r="DI138" s="358">
        <v>175</v>
      </c>
      <c r="DJ138" s="358">
        <v>184</v>
      </c>
      <c r="DK138" s="358">
        <v>191</v>
      </c>
      <c r="DL138" s="358">
        <v>199</v>
      </c>
      <c r="DM138" s="358">
        <v>211</v>
      </c>
      <c r="DN138" s="358">
        <v>214</v>
      </c>
      <c r="DO138" s="358">
        <v>225</v>
      </c>
      <c r="DP138" s="358">
        <v>234</v>
      </c>
      <c r="DQ138" s="358">
        <v>63</v>
      </c>
      <c r="DR138" s="358">
        <v>58</v>
      </c>
      <c r="DS138" s="358">
        <v>54</v>
      </c>
      <c r="DT138" s="358">
        <v>52</v>
      </c>
      <c r="DU138" s="358">
        <v>49</v>
      </c>
      <c r="DV138" s="358">
        <v>48</v>
      </c>
      <c r="DW138" s="358">
        <v>42</v>
      </c>
      <c r="DX138" s="358">
        <v>39</v>
      </c>
      <c r="DY138" s="358">
        <v>33</v>
      </c>
      <c r="DZ138" s="358">
        <v>28</v>
      </c>
      <c r="EA138" s="358">
        <v>24</v>
      </c>
      <c r="EB138" s="358">
        <v>20</v>
      </c>
      <c r="EC138" s="358">
        <v>15</v>
      </c>
      <c r="ED138" s="358">
        <v>9</v>
      </c>
      <c r="EE138" s="358">
        <v>3</v>
      </c>
      <c r="EG138" s="358">
        <v>4</v>
      </c>
      <c r="EH138" s="358">
        <v>9</v>
      </c>
      <c r="EI138" s="358">
        <v>14</v>
      </c>
      <c r="EJ138" s="358">
        <v>18</v>
      </c>
      <c r="EK138" s="358">
        <v>23</v>
      </c>
      <c r="EL138" s="358">
        <v>27</v>
      </c>
      <c r="EM138" s="358">
        <v>208</v>
      </c>
      <c r="EN138" s="358">
        <v>220</v>
      </c>
      <c r="EO138" s="358">
        <v>231</v>
      </c>
      <c r="EP138" s="358">
        <v>241</v>
      </c>
      <c r="EQ138" s="358">
        <v>248</v>
      </c>
      <c r="ES138" s="358">
        <v>260</v>
      </c>
      <c r="ET138" s="358">
        <v>265</v>
      </c>
      <c r="EU138" s="358">
        <v>274</v>
      </c>
      <c r="EV138" s="358">
        <v>280</v>
      </c>
      <c r="EW138" s="358">
        <v>204</v>
      </c>
      <c r="EX138" s="358">
        <v>215</v>
      </c>
      <c r="EY138" s="358">
        <v>226</v>
      </c>
      <c r="EZ138" s="358">
        <v>242</v>
      </c>
      <c r="FA138" s="358">
        <v>250</v>
      </c>
      <c r="FB138" s="358">
        <v>260</v>
      </c>
      <c r="FC138" s="358">
        <v>274</v>
      </c>
      <c r="FD138" s="358">
        <v>286</v>
      </c>
      <c r="FE138" s="358">
        <v>293</v>
      </c>
      <c r="FF138" s="358">
        <v>298</v>
      </c>
      <c r="FG138" s="358">
        <v>310</v>
      </c>
      <c r="FH138" s="358">
        <v>319</v>
      </c>
      <c r="FI138" s="358">
        <v>330</v>
      </c>
      <c r="FJ138" s="358">
        <v>336</v>
      </c>
      <c r="FK138" s="358">
        <v>341</v>
      </c>
      <c r="FL138" s="358">
        <v>183</v>
      </c>
      <c r="FM138" s="358">
        <v>193</v>
      </c>
      <c r="FN138" s="358">
        <v>199</v>
      </c>
      <c r="FO138" s="358">
        <v>206</v>
      </c>
      <c r="FP138" s="358">
        <v>219</v>
      </c>
      <c r="FQ138" s="358">
        <v>234</v>
      </c>
      <c r="FR138" s="358">
        <v>242</v>
      </c>
      <c r="FS138" s="358">
        <v>249</v>
      </c>
      <c r="FT138" s="358">
        <v>256</v>
      </c>
      <c r="FU138" s="358">
        <v>263</v>
      </c>
      <c r="FV138" s="358">
        <v>273</v>
      </c>
      <c r="FW138" s="358">
        <v>142</v>
      </c>
      <c r="FX138" s="358">
        <v>189</v>
      </c>
      <c r="FY138" s="358">
        <v>196</v>
      </c>
      <c r="FZ138" s="358">
        <v>224</v>
      </c>
      <c r="GA138" s="358">
        <v>293</v>
      </c>
      <c r="GB138" s="358">
        <v>321</v>
      </c>
      <c r="GC138" s="358">
        <v>181</v>
      </c>
      <c r="GD138" s="358">
        <v>217</v>
      </c>
      <c r="GE138" s="358">
        <v>246</v>
      </c>
      <c r="GF138" s="358">
        <v>238</v>
      </c>
      <c r="GG138" s="358">
        <v>162</v>
      </c>
      <c r="GH138" s="358">
        <v>174</v>
      </c>
      <c r="GI138" s="361">
        <v>200</v>
      </c>
    </row>
    <row r="139" spans="1:191">
      <c r="A139" s="336" t="s">
        <v>360</v>
      </c>
      <c r="B139" s="358">
        <v>74</v>
      </c>
      <c r="C139" s="358">
        <v>78</v>
      </c>
      <c r="D139" s="358">
        <v>80</v>
      </c>
      <c r="E139" s="358">
        <v>81</v>
      </c>
      <c r="F139" s="358">
        <v>84</v>
      </c>
      <c r="G139" s="358">
        <v>87</v>
      </c>
      <c r="H139" s="358">
        <v>90</v>
      </c>
      <c r="I139" s="358">
        <v>92</v>
      </c>
      <c r="J139" s="358">
        <v>95</v>
      </c>
      <c r="K139" s="358">
        <v>99</v>
      </c>
      <c r="L139" s="358">
        <v>101</v>
      </c>
      <c r="M139" s="358">
        <v>104</v>
      </c>
      <c r="N139" s="358">
        <v>106</v>
      </c>
      <c r="O139" s="358">
        <v>111</v>
      </c>
      <c r="P139" s="358">
        <v>117</v>
      </c>
      <c r="Q139" s="358">
        <v>119</v>
      </c>
      <c r="R139" s="358">
        <v>122</v>
      </c>
      <c r="S139" s="358">
        <v>124</v>
      </c>
      <c r="T139" s="358">
        <v>127</v>
      </c>
      <c r="U139" s="358">
        <v>130</v>
      </c>
      <c r="V139" s="358">
        <v>72</v>
      </c>
      <c r="W139" s="358">
        <v>70</v>
      </c>
      <c r="X139" s="358">
        <v>72</v>
      </c>
      <c r="Y139" s="358">
        <v>74</v>
      </c>
      <c r="Z139" s="358">
        <v>76</v>
      </c>
      <c r="AA139" s="358">
        <v>77</v>
      </c>
      <c r="AB139" s="358">
        <v>79</v>
      </c>
      <c r="AC139" s="358">
        <v>82</v>
      </c>
      <c r="AD139" s="358">
        <v>84</v>
      </c>
      <c r="AE139" s="358">
        <v>89</v>
      </c>
      <c r="AF139" s="358">
        <v>94</v>
      </c>
      <c r="AG139" s="358">
        <v>99</v>
      </c>
      <c r="AH139" s="358">
        <v>100</v>
      </c>
      <c r="AI139" s="358">
        <v>101</v>
      </c>
      <c r="AJ139" s="358">
        <v>105</v>
      </c>
      <c r="AK139" s="358">
        <v>111</v>
      </c>
      <c r="AL139" s="358">
        <v>117</v>
      </c>
      <c r="AM139" s="358">
        <v>122</v>
      </c>
      <c r="AN139" s="358">
        <v>128</v>
      </c>
      <c r="AO139" s="358">
        <v>132</v>
      </c>
      <c r="AP139" s="358">
        <v>138</v>
      </c>
      <c r="AQ139" s="358">
        <v>144</v>
      </c>
      <c r="AR139" s="358">
        <v>148</v>
      </c>
      <c r="AS139" s="358">
        <v>160</v>
      </c>
      <c r="AT139" s="358">
        <v>168</v>
      </c>
      <c r="AU139" s="358">
        <v>178</v>
      </c>
      <c r="AV139" s="358">
        <v>187</v>
      </c>
      <c r="AW139" s="358">
        <v>195</v>
      </c>
      <c r="AX139" s="358">
        <v>77</v>
      </c>
      <c r="AY139" s="358">
        <v>81</v>
      </c>
      <c r="AZ139" s="358">
        <v>82</v>
      </c>
      <c r="BA139" s="358">
        <v>83</v>
      </c>
      <c r="BB139" s="358">
        <v>84</v>
      </c>
      <c r="BC139" s="358">
        <v>87</v>
      </c>
      <c r="BD139" s="358">
        <v>91</v>
      </c>
      <c r="BE139" s="358">
        <v>93</v>
      </c>
      <c r="BF139" s="358">
        <v>94</v>
      </c>
      <c r="BG139" s="358">
        <v>97</v>
      </c>
      <c r="BH139" s="358">
        <v>98</v>
      </c>
      <c r="BI139" s="358">
        <v>99</v>
      </c>
      <c r="BJ139" s="358">
        <v>101</v>
      </c>
      <c r="BK139" s="358">
        <v>102</v>
      </c>
      <c r="BL139" s="358">
        <v>103</v>
      </c>
      <c r="BM139" s="358">
        <v>105</v>
      </c>
      <c r="BN139" s="358">
        <v>106</v>
      </c>
      <c r="BO139" s="358">
        <v>109</v>
      </c>
      <c r="BP139" s="358">
        <v>114</v>
      </c>
      <c r="BQ139" s="358">
        <v>118</v>
      </c>
      <c r="BR139" s="358">
        <v>128</v>
      </c>
      <c r="BS139" s="358">
        <v>135</v>
      </c>
      <c r="BT139" s="358">
        <v>139</v>
      </c>
      <c r="BU139" s="358">
        <v>142</v>
      </c>
      <c r="BV139" s="358">
        <v>79</v>
      </c>
      <c r="BW139" s="358">
        <v>80</v>
      </c>
      <c r="BX139" s="358">
        <v>83</v>
      </c>
      <c r="BY139" s="358">
        <v>87</v>
      </c>
      <c r="BZ139" s="358">
        <v>92</v>
      </c>
      <c r="CA139" s="358">
        <v>96</v>
      </c>
      <c r="CB139" s="358">
        <v>103</v>
      </c>
      <c r="CC139" s="358">
        <v>108</v>
      </c>
      <c r="CD139" s="358">
        <v>111</v>
      </c>
      <c r="CE139" s="358">
        <v>115</v>
      </c>
      <c r="CF139" s="358">
        <v>117</v>
      </c>
      <c r="CG139" s="358">
        <v>124</v>
      </c>
      <c r="CH139" s="358">
        <v>126</v>
      </c>
      <c r="CI139" s="358">
        <v>130</v>
      </c>
      <c r="CJ139" s="358">
        <v>133</v>
      </c>
      <c r="CK139" s="358">
        <v>140</v>
      </c>
      <c r="CL139" s="358">
        <v>146</v>
      </c>
      <c r="CM139" s="358">
        <v>150</v>
      </c>
      <c r="CN139" s="358">
        <v>155</v>
      </c>
      <c r="CO139" s="358">
        <v>162</v>
      </c>
      <c r="CP139" s="358">
        <v>173</v>
      </c>
      <c r="CQ139" s="358">
        <v>186</v>
      </c>
      <c r="CR139" s="358">
        <v>191</v>
      </c>
      <c r="CS139" s="358">
        <v>80</v>
      </c>
      <c r="CT139" s="358">
        <v>85</v>
      </c>
      <c r="CU139" s="358">
        <v>91</v>
      </c>
      <c r="CV139" s="358">
        <v>97</v>
      </c>
      <c r="CW139" s="358">
        <v>103</v>
      </c>
      <c r="CX139" s="358">
        <v>108</v>
      </c>
      <c r="CY139" s="358">
        <v>115</v>
      </c>
      <c r="CZ139" s="358">
        <v>118</v>
      </c>
      <c r="DA139" s="358">
        <v>122</v>
      </c>
      <c r="DB139" s="358">
        <v>127</v>
      </c>
      <c r="DC139" s="358">
        <v>138</v>
      </c>
      <c r="DD139" s="358">
        <v>148</v>
      </c>
      <c r="DE139" s="358">
        <v>152</v>
      </c>
      <c r="DF139" s="358">
        <v>158</v>
      </c>
      <c r="DG139" s="358">
        <v>167</v>
      </c>
      <c r="DH139" s="358">
        <v>172</v>
      </c>
      <c r="DI139" s="358">
        <v>179</v>
      </c>
      <c r="DJ139" s="358">
        <v>188</v>
      </c>
      <c r="DK139" s="358">
        <v>195</v>
      </c>
      <c r="DL139" s="358">
        <v>203</v>
      </c>
      <c r="DM139" s="358">
        <v>215</v>
      </c>
      <c r="DN139" s="358">
        <v>218</v>
      </c>
      <c r="DO139" s="358">
        <v>229</v>
      </c>
      <c r="DP139" s="358">
        <v>238</v>
      </c>
      <c r="DQ139" s="358">
        <v>67</v>
      </c>
      <c r="DR139" s="358">
        <v>62</v>
      </c>
      <c r="DS139" s="358">
        <v>58</v>
      </c>
      <c r="DT139" s="358">
        <v>56</v>
      </c>
      <c r="DU139" s="358">
        <v>53</v>
      </c>
      <c r="DV139" s="358">
        <v>52</v>
      </c>
      <c r="DW139" s="358">
        <v>46</v>
      </c>
      <c r="DX139" s="358">
        <v>43</v>
      </c>
      <c r="DY139" s="358">
        <v>37</v>
      </c>
      <c r="DZ139" s="358">
        <v>32</v>
      </c>
      <c r="EA139" s="358">
        <v>28</v>
      </c>
      <c r="EB139" s="358">
        <v>24</v>
      </c>
      <c r="EC139" s="358">
        <v>19</v>
      </c>
      <c r="ED139" s="358">
        <v>13</v>
      </c>
      <c r="EE139" s="358">
        <v>7</v>
      </c>
      <c r="EF139" s="358">
        <v>4</v>
      </c>
      <c r="EH139" s="358">
        <v>5</v>
      </c>
      <c r="EI139" s="358">
        <v>10</v>
      </c>
      <c r="EJ139" s="358">
        <v>14</v>
      </c>
      <c r="EK139" s="358">
        <v>19</v>
      </c>
      <c r="EL139" s="358">
        <v>23</v>
      </c>
      <c r="EM139" s="358">
        <v>212</v>
      </c>
      <c r="EN139" s="358">
        <v>224</v>
      </c>
      <c r="EO139" s="358">
        <v>235</v>
      </c>
      <c r="EP139" s="358">
        <v>245</v>
      </c>
      <c r="EQ139" s="358">
        <v>252</v>
      </c>
      <c r="ES139" s="358">
        <v>264</v>
      </c>
      <c r="ET139" s="358">
        <v>269</v>
      </c>
      <c r="EU139" s="358">
        <v>278</v>
      </c>
      <c r="EV139" s="358">
        <v>284</v>
      </c>
      <c r="EW139" s="358">
        <v>208</v>
      </c>
      <c r="EX139" s="358">
        <v>219</v>
      </c>
      <c r="EY139" s="358">
        <v>230</v>
      </c>
      <c r="EZ139" s="358">
        <v>246</v>
      </c>
      <c r="FA139" s="358">
        <v>254</v>
      </c>
      <c r="FB139" s="358">
        <v>264</v>
      </c>
      <c r="FC139" s="358">
        <v>278</v>
      </c>
      <c r="FD139" s="358">
        <v>290</v>
      </c>
      <c r="FE139" s="358">
        <v>297</v>
      </c>
      <c r="FF139" s="358">
        <v>302</v>
      </c>
      <c r="FG139" s="358">
        <v>314</v>
      </c>
      <c r="FH139" s="358">
        <v>323</v>
      </c>
      <c r="FI139" s="358">
        <v>334</v>
      </c>
      <c r="FJ139" s="358">
        <v>340</v>
      </c>
      <c r="FK139" s="358">
        <v>345</v>
      </c>
      <c r="FL139" s="358">
        <v>187</v>
      </c>
      <c r="FM139" s="358">
        <v>197</v>
      </c>
      <c r="FN139" s="358">
        <v>203</v>
      </c>
      <c r="FO139" s="358">
        <v>210</v>
      </c>
      <c r="FP139" s="358">
        <v>223</v>
      </c>
      <c r="FQ139" s="358">
        <v>238</v>
      </c>
      <c r="FR139" s="358">
        <v>246</v>
      </c>
      <c r="FS139" s="358">
        <v>253</v>
      </c>
      <c r="FT139" s="358">
        <v>260</v>
      </c>
      <c r="FU139" s="358">
        <v>267</v>
      </c>
      <c r="FV139" s="358">
        <v>277</v>
      </c>
      <c r="FW139" s="358">
        <v>146</v>
      </c>
      <c r="FX139" s="358">
        <v>193</v>
      </c>
      <c r="FY139" s="358">
        <v>200</v>
      </c>
      <c r="FZ139" s="358">
        <v>228</v>
      </c>
      <c r="GA139" s="358">
        <v>297</v>
      </c>
      <c r="GB139" s="358">
        <v>325</v>
      </c>
      <c r="GC139" s="358">
        <v>185</v>
      </c>
      <c r="GD139" s="358">
        <v>221</v>
      </c>
      <c r="GE139" s="358">
        <v>250</v>
      </c>
      <c r="GF139" s="358">
        <v>242</v>
      </c>
      <c r="GG139" s="358">
        <v>166</v>
      </c>
      <c r="GH139" s="358">
        <v>178</v>
      </c>
      <c r="GI139" s="361">
        <v>204</v>
      </c>
    </row>
    <row r="140" spans="1:191">
      <c r="A140" s="336" t="s">
        <v>359</v>
      </c>
      <c r="B140" s="358">
        <v>79</v>
      </c>
      <c r="C140" s="358">
        <v>83</v>
      </c>
      <c r="D140" s="358">
        <v>85</v>
      </c>
      <c r="E140" s="358">
        <v>86</v>
      </c>
      <c r="F140" s="358">
        <v>89</v>
      </c>
      <c r="G140" s="358">
        <v>92</v>
      </c>
      <c r="H140" s="358">
        <v>95</v>
      </c>
      <c r="I140" s="358">
        <v>97</v>
      </c>
      <c r="J140" s="358">
        <v>100</v>
      </c>
      <c r="K140" s="358">
        <v>104</v>
      </c>
      <c r="L140" s="358">
        <v>106</v>
      </c>
      <c r="M140" s="358">
        <v>109</v>
      </c>
      <c r="N140" s="358">
        <v>111</v>
      </c>
      <c r="O140" s="358">
        <v>116</v>
      </c>
      <c r="P140" s="358">
        <v>122</v>
      </c>
      <c r="Q140" s="358">
        <v>124</v>
      </c>
      <c r="R140" s="358">
        <v>127</v>
      </c>
      <c r="S140" s="358">
        <v>129</v>
      </c>
      <c r="T140" s="358">
        <v>132</v>
      </c>
      <c r="U140" s="358">
        <v>135</v>
      </c>
      <c r="V140" s="358">
        <v>77</v>
      </c>
      <c r="W140" s="358">
        <v>75</v>
      </c>
      <c r="X140" s="358">
        <v>77</v>
      </c>
      <c r="Y140" s="358">
        <v>79</v>
      </c>
      <c r="Z140" s="358">
        <v>81</v>
      </c>
      <c r="AA140" s="358">
        <v>82</v>
      </c>
      <c r="AB140" s="358">
        <v>84</v>
      </c>
      <c r="AC140" s="358">
        <v>87</v>
      </c>
      <c r="AD140" s="358">
        <v>89</v>
      </c>
      <c r="AE140" s="358">
        <v>94</v>
      </c>
      <c r="AF140" s="358">
        <v>99</v>
      </c>
      <c r="AG140" s="358">
        <v>104</v>
      </c>
      <c r="AH140" s="358">
        <v>105</v>
      </c>
      <c r="AI140" s="358">
        <v>106</v>
      </c>
      <c r="AJ140" s="358">
        <v>110</v>
      </c>
      <c r="AK140" s="358">
        <v>116</v>
      </c>
      <c r="AL140" s="358">
        <v>122</v>
      </c>
      <c r="AM140" s="358">
        <v>127</v>
      </c>
      <c r="AN140" s="358">
        <v>133</v>
      </c>
      <c r="AO140" s="358">
        <v>137</v>
      </c>
      <c r="AP140" s="358">
        <v>143</v>
      </c>
      <c r="AQ140" s="358">
        <v>149</v>
      </c>
      <c r="AR140" s="358">
        <v>153</v>
      </c>
      <c r="AS140" s="358">
        <v>165</v>
      </c>
      <c r="AT140" s="358">
        <v>173</v>
      </c>
      <c r="AU140" s="358">
        <v>183</v>
      </c>
      <c r="AV140" s="358">
        <v>192</v>
      </c>
      <c r="AW140" s="358">
        <v>200</v>
      </c>
      <c r="AX140" s="358">
        <v>82</v>
      </c>
      <c r="AY140" s="358">
        <v>86</v>
      </c>
      <c r="AZ140" s="358">
        <v>87</v>
      </c>
      <c r="BA140" s="358">
        <v>88</v>
      </c>
      <c r="BB140" s="358">
        <v>89</v>
      </c>
      <c r="BC140" s="358">
        <v>92</v>
      </c>
      <c r="BD140" s="358">
        <v>96</v>
      </c>
      <c r="BE140" s="358">
        <v>98</v>
      </c>
      <c r="BF140" s="358">
        <v>99</v>
      </c>
      <c r="BG140" s="358">
        <v>102</v>
      </c>
      <c r="BH140" s="358">
        <v>103</v>
      </c>
      <c r="BI140" s="358">
        <v>104</v>
      </c>
      <c r="BJ140" s="358">
        <v>106</v>
      </c>
      <c r="BK140" s="358">
        <v>107</v>
      </c>
      <c r="BL140" s="358">
        <v>108</v>
      </c>
      <c r="BM140" s="358">
        <v>110</v>
      </c>
      <c r="BN140" s="358">
        <v>111</v>
      </c>
      <c r="BO140" s="358">
        <v>114</v>
      </c>
      <c r="BP140" s="358">
        <v>119</v>
      </c>
      <c r="BQ140" s="358">
        <v>123</v>
      </c>
      <c r="BR140" s="358">
        <v>133</v>
      </c>
      <c r="BS140" s="358">
        <v>140</v>
      </c>
      <c r="BT140" s="358">
        <v>144</v>
      </c>
      <c r="BU140" s="358">
        <v>147</v>
      </c>
      <c r="BV140" s="358">
        <v>84</v>
      </c>
      <c r="BW140" s="358">
        <v>85</v>
      </c>
      <c r="BX140" s="358">
        <v>88</v>
      </c>
      <c r="BY140" s="358">
        <v>92</v>
      </c>
      <c r="BZ140" s="358">
        <v>97</v>
      </c>
      <c r="CA140" s="358">
        <v>101</v>
      </c>
      <c r="CB140" s="358">
        <v>108</v>
      </c>
      <c r="CC140" s="358">
        <v>113</v>
      </c>
      <c r="CD140" s="358">
        <v>116</v>
      </c>
      <c r="CE140" s="358">
        <v>120</v>
      </c>
      <c r="CF140" s="358">
        <v>122</v>
      </c>
      <c r="CG140" s="358">
        <v>129</v>
      </c>
      <c r="CH140" s="358">
        <v>131</v>
      </c>
      <c r="CI140" s="358">
        <v>135</v>
      </c>
      <c r="CJ140" s="358">
        <v>138</v>
      </c>
      <c r="CK140" s="358">
        <v>145</v>
      </c>
      <c r="CL140" s="358">
        <v>151</v>
      </c>
      <c r="CM140" s="358">
        <v>155</v>
      </c>
      <c r="CN140" s="358">
        <v>160</v>
      </c>
      <c r="CO140" s="358">
        <v>167</v>
      </c>
      <c r="CP140" s="358">
        <v>178</v>
      </c>
      <c r="CQ140" s="358">
        <v>191</v>
      </c>
      <c r="CR140" s="358">
        <v>196</v>
      </c>
      <c r="CS140" s="358">
        <v>85</v>
      </c>
      <c r="CT140" s="358">
        <v>90</v>
      </c>
      <c r="CU140" s="358">
        <v>96</v>
      </c>
      <c r="CV140" s="358">
        <v>102</v>
      </c>
      <c r="CW140" s="358">
        <v>108</v>
      </c>
      <c r="CX140" s="358">
        <v>113</v>
      </c>
      <c r="CY140" s="358">
        <v>120</v>
      </c>
      <c r="CZ140" s="358">
        <v>123</v>
      </c>
      <c r="DA140" s="358">
        <v>127</v>
      </c>
      <c r="DB140" s="358">
        <v>132</v>
      </c>
      <c r="DC140" s="358">
        <v>143</v>
      </c>
      <c r="DD140" s="358">
        <v>153</v>
      </c>
      <c r="DE140" s="358">
        <v>157</v>
      </c>
      <c r="DF140" s="358">
        <v>163</v>
      </c>
      <c r="DG140" s="358">
        <v>172</v>
      </c>
      <c r="DH140" s="358">
        <v>177</v>
      </c>
      <c r="DI140" s="358">
        <v>184</v>
      </c>
      <c r="DJ140" s="358">
        <v>193</v>
      </c>
      <c r="DK140" s="358">
        <v>200</v>
      </c>
      <c r="DL140" s="358">
        <v>208</v>
      </c>
      <c r="DM140" s="358">
        <v>220</v>
      </c>
      <c r="DN140" s="358">
        <v>223</v>
      </c>
      <c r="DO140" s="358">
        <v>234</v>
      </c>
      <c r="DP140" s="358">
        <v>243</v>
      </c>
      <c r="DQ140" s="358">
        <v>72</v>
      </c>
      <c r="DR140" s="358">
        <v>67</v>
      </c>
      <c r="DS140" s="358">
        <v>63</v>
      </c>
      <c r="DT140" s="358">
        <v>61</v>
      </c>
      <c r="DU140" s="358">
        <v>58</v>
      </c>
      <c r="DV140" s="358">
        <v>57</v>
      </c>
      <c r="DW140" s="358">
        <v>51</v>
      </c>
      <c r="DX140" s="358">
        <v>48</v>
      </c>
      <c r="DY140" s="358">
        <v>42</v>
      </c>
      <c r="DZ140" s="358">
        <v>37</v>
      </c>
      <c r="EA140" s="358">
        <v>33</v>
      </c>
      <c r="EB140" s="358">
        <v>29</v>
      </c>
      <c r="EC140" s="358">
        <v>24</v>
      </c>
      <c r="ED140" s="358">
        <v>18</v>
      </c>
      <c r="EE140" s="358">
        <v>12</v>
      </c>
      <c r="EF140" s="358">
        <v>9</v>
      </c>
      <c r="EG140" s="358">
        <v>5</v>
      </c>
      <c r="EI140" s="358">
        <v>5</v>
      </c>
      <c r="EJ140" s="358">
        <v>9</v>
      </c>
      <c r="EK140" s="358">
        <v>14</v>
      </c>
      <c r="EL140" s="358">
        <v>18</v>
      </c>
      <c r="EM140" s="358">
        <v>217</v>
      </c>
      <c r="EN140" s="358">
        <v>229</v>
      </c>
      <c r="EO140" s="358">
        <v>240</v>
      </c>
      <c r="EP140" s="358">
        <v>250</v>
      </c>
      <c r="EQ140" s="358">
        <v>257</v>
      </c>
      <c r="ES140" s="358">
        <v>269</v>
      </c>
      <c r="ET140" s="358">
        <v>274</v>
      </c>
      <c r="EU140" s="358">
        <v>283</v>
      </c>
      <c r="EV140" s="358">
        <v>289</v>
      </c>
      <c r="EW140" s="358">
        <v>213</v>
      </c>
      <c r="EX140" s="358">
        <v>224</v>
      </c>
      <c r="EY140" s="358">
        <v>235</v>
      </c>
      <c r="EZ140" s="358">
        <v>251</v>
      </c>
      <c r="FA140" s="358">
        <v>259</v>
      </c>
      <c r="FB140" s="358">
        <v>269</v>
      </c>
      <c r="FC140" s="358">
        <v>283</v>
      </c>
      <c r="FD140" s="358">
        <v>295</v>
      </c>
      <c r="FE140" s="358">
        <v>302</v>
      </c>
      <c r="FF140" s="358">
        <v>307</v>
      </c>
      <c r="FG140" s="358">
        <v>319</v>
      </c>
      <c r="FH140" s="358">
        <v>328</v>
      </c>
      <c r="FI140" s="358">
        <v>339</v>
      </c>
      <c r="FJ140" s="358">
        <v>345</v>
      </c>
      <c r="FK140" s="358">
        <v>350</v>
      </c>
      <c r="FL140" s="358">
        <v>192</v>
      </c>
      <c r="FM140" s="358">
        <v>202</v>
      </c>
      <c r="FN140" s="358">
        <v>208</v>
      </c>
      <c r="FO140" s="358">
        <v>215</v>
      </c>
      <c r="FP140" s="358">
        <v>228</v>
      </c>
      <c r="FQ140" s="358">
        <v>243</v>
      </c>
      <c r="FR140" s="358">
        <v>251</v>
      </c>
      <c r="FS140" s="358">
        <v>258</v>
      </c>
      <c r="FT140" s="358">
        <v>265</v>
      </c>
      <c r="FU140" s="358">
        <v>272</v>
      </c>
      <c r="FV140" s="358">
        <v>282</v>
      </c>
      <c r="FW140" s="358">
        <v>151</v>
      </c>
      <c r="FX140" s="358">
        <v>198</v>
      </c>
      <c r="FY140" s="358">
        <v>205</v>
      </c>
      <c r="FZ140" s="358">
        <v>233</v>
      </c>
      <c r="GA140" s="358">
        <v>302</v>
      </c>
      <c r="GB140" s="358">
        <v>330</v>
      </c>
      <c r="GC140" s="358">
        <v>190</v>
      </c>
      <c r="GD140" s="358">
        <v>226</v>
      </c>
      <c r="GE140" s="358">
        <v>255</v>
      </c>
      <c r="GF140" s="358">
        <v>247</v>
      </c>
      <c r="GG140" s="358">
        <v>171</v>
      </c>
      <c r="GH140" s="358">
        <v>183</v>
      </c>
      <c r="GI140" s="361">
        <v>209</v>
      </c>
    </row>
    <row r="141" spans="1:191">
      <c r="A141" s="336" t="s">
        <v>358</v>
      </c>
      <c r="B141" s="358">
        <v>84</v>
      </c>
      <c r="C141" s="358">
        <v>88</v>
      </c>
      <c r="D141" s="358">
        <v>90</v>
      </c>
      <c r="E141" s="358">
        <v>91</v>
      </c>
      <c r="F141" s="358">
        <v>94</v>
      </c>
      <c r="G141" s="358">
        <v>97</v>
      </c>
      <c r="H141" s="358">
        <v>100</v>
      </c>
      <c r="I141" s="358">
        <v>102</v>
      </c>
      <c r="J141" s="358">
        <v>105</v>
      </c>
      <c r="K141" s="358">
        <v>109</v>
      </c>
      <c r="L141" s="358">
        <v>111</v>
      </c>
      <c r="M141" s="358">
        <v>114</v>
      </c>
      <c r="N141" s="358">
        <v>116</v>
      </c>
      <c r="O141" s="358">
        <v>121</v>
      </c>
      <c r="P141" s="358">
        <v>127</v>
      </c>
      <c r="Q141" s="358">
        <v>129</v>
      </c>
      <c r="R141" s="358">
        <v>132</v>
      </c>
      <c r="S141" s="358">
        <v>134</v>
      </c>
      <c r="T141" s="358">
        <v>137</v>
      </c>
      <c r="U141" s="358">
        <v>140</v>
      </c>
      <c r="V141" s="358">
        <v>82</v>
      </c>
      <c r="W141" s="358">
        <v>80</v>
      </c>
      <c r="X141" s="358">
        <v>82</v>
      </c>
      <c r="Y141" s="358">
        <v>84</v>
      </c>
      <c r="Z141" s="358">
        <v>86</v>
      </c>
      <c r="AA141" s="358">
        <v>87</v>
      </c>
      <c r="AB141" s="358">
        <v>89</v>
      </c>
      <c r="AC141" s="358">
        <v>92</v>
      </c>
      <c r="AD141" s="358">
        <v>94</v>
      </c>
      <c r="AE141" s="358">
        <v>99</v>
      </c>
      <c r="AF141" s="358">
        <v>104</v>
      </c>
      <c r="AG141" s="358">
        <v>109</v>
      </c>
      <c r="AH141" s="358">
        <v>110</v>
      </c>
      <c r="AI141" s="358">
        <v>111</v>
      </c>
      <c r="AJ141" s="358">
        <v>115</v>
      </c>
      <c r="AK141" s="358">
        <v>121</v>
      </c>
      <c r="AL141" s="358">
        <v>127</v>
      </c>
      <c r="AM141" s="358">
        <v>132</v>
      </c>
      <c r="AN141" s="358">
        <v>138</v>
      </c>
      <c r="AO141" s="358">
        <v>142</v>
      </c>
      <c r="AP141" s="358">
        <v>148</v>
      </c>
      <c r="AQ141" s="358">
        <v>154</v>
      </c>
      <c r="AR141" s="358">
        <v>158</v>
      </c>
      <c r="AS141" s="358">
        <v>170</v>
      </c>
      <c r="AT141" s="358">
        <v>178</v>
      </c>
      <c r="AU141" s="358">
        <v>188</v>
      </c>
      <c r="AV141" s="358">
        <v>197</v>
      </c>
      <c r="AW141" s="358">
        <v>205</v>
      </c>
      <c r="AX141" s="358">
        <v>87</v>
      </c>
      <c r="AY141" s="358">
        <v>91</v>
      </c>
      <c r="AZ141" s="358">
        <v>92</v>
      </c>
      <c r="BA141" s="358">
        <v>93</v>
      </c>
      <c r="BB141" s="358">
        <v>94</v>
      </c>
      <c r="BC141" s="358">
        <v>97</v>
      </c>
      <c r="BD141" s="358">
        <v>101</v>
      </c>
      <c r="BE141" s="358">
        <v>103</v>
      </c>
      <c r="BF141" s="358">
        <v>104</v>
      </c>
      <c r="BG141" s="358">
        <v>107</v>
      </c>
      <c r="BH141" s="358">
        <v>108</v>
      </c>
      <c r="BI141" s="358">
        <v>109</v>
      </c>
      <c r="BJ141" s="358">
        <v>111</v>
      </c>
      <c r="BK141" s="358">
        <v>112</v>
      </c>
      <c r="BL141" s="358">
        <v>113</v>
      </c>
      <c r="BM141" s="358">
        <v>115</v>
      </c>
      <c r="BN141" s="358">
        <v>116</v>
      </c>
      <c r="BO141" s="358">
        <v>119</v>
      </c>
      <c r="BP141" s="358">
        <v>124</v>
      </c>
      <c r="BQ141" s="358">
        <v>128</v>
      </c>
      <c r="BR141" s="358">
        <v>138</v>
      </c>
      <c r="BS141" s="358">
        <v>145</v>
      </c>
      <c r="BT141" s="358">
        <v>149</v>
      </c>
      <c r="BU141" s="358">
        <v>152</v>
      </c>
      <c r="BV141" s="358">
        <v>89</v>
      </c>
      <c r="BW141" s="358">
        <v>90</v>
      </c>
      <c r="BX141" s="358">
        <v>93</v>
      </c>
      <c r="BY141" s="358">
        <v>97</v>
      </c>
      <c r="BZ141" s="358">
        <v>102</v>
      </c>
      <c r="CA141" s="358">
        <v>106</v>
      </c>
      <c r="CB141" s="358">
        <v>113</v>
      </c>
      <c r="CC141" s="358">
        <v>118</v>
      </c>
      <c r="CD141" s="358">
        <v>121</v>
      </c>
      <c r="CE141" s="358">
        <v>125</v>
      </c>
      <c r="CF141" s="358">
        <v>127</v>
      </c>
      <c r="CG141" s="358">
        <v>134</v>
      </c>
      <c r="CH141" s="358">
        <v>136</v>
      </c>
      <c r="CI141" s="358">
        <v>140</v>
      </c>
      <c r="CJ141" s="358">
        <v>143</v>
      </c>
      <c r="CK141" s="358">
        <v>150</v>
      </c>
      <c r="CL141" s="358">
        <v>156</v>
      </c>
      <c r="CM141" s="358">
        <v>160</v>
      </c>
      <c r="CN141" s="358">
        <v>165</v>
      </c>
      <c r="CO141" s="358">
        <v>172</v>
      </c>
      <c r="CP141" s="358">
        <v>183</v>
      </c>
      <c r="CQ141" s="358">
        <v>196</v>
      </c>
      <c r="CR141" s="358">
        <v>201</v>
      </c>
      <c r="CS141" s="358">
        <v>90</v>
      </c>
      <c r="CT141" s="358">
        <v>95</v>
      </c>
      <c r="CU141" s="358">
        <v>101</v>
      </c>
      <c r="CV141" s="358">
        <v>107</v>
      </c>
      <c r="CW141" s="358">
        <v>113</v>
      </c>
      <c r="CX141" s="358">
        <v>118</v>
      </c>
      <c r="CY141" s="358">
        <v>125</v>
      </c>
      <c r="CZ141" s="358">
        <v>128</v>
      </c>
      <c r="DA141" s="358">
        <v>132</v>
      </c>
      <c r="DB141" s="358">
        <v>137</v>
      </c>
      <c r="DC141" s="358">
        <v>148</v>
      </c>
      <c r="DD141" s="358">
        <v>158</v>
      </c>
      <c r="DE141" s="358">
        <v>162</v>
      </c>
      <c r="DF141" s="358">
        <v>168</v>
      </c>
      <c r="DG141" s="358">
        <v>177</v>
      </c>
      <c r="DH141" s="358">
        <v>182</v>
      </c>
      <c r="DI141" s="358">
        <v>189</v>
      </c>
      <c r="DJ141" s="358">
        <v>198</v>
      </c>
      <c r="DK141" s="358">
        <v>205</v>
      </c>
      <c r="DL141" s="358">
        <v>213</v>
      </c>
      <c r="DM141" s="358">
        <v>225</v>
      </c>
      <c r="DN141" s="358">
        <v>228</v>
      </c>
      <c r="DO141" s="358">
        <v>239</v>
      </c>
      <c r="DP141" s="358">
        <v>248</v>
      </c>
      <c r="DQ141" s="358">
        <v>77</v>
      </c>
      <c r="DR141" s="358">
        <v>72</v>
      </c>
      <c r="DS141" s="358">
        <v>68</v>
      </c>
      <c r="DT141" s="358">
        <v>66</v>
      </c>
      <c r="DU141" s="358">
        <v>63</v>
      </c>
      <c r="DV141" s="358">
        <v>62</v>
      </c>
      <c r="DW141" s="358">
        <v>56</v>
      </c>
      <c r="DX141" s="358">
        <v>53</v>
      </c>
      <c r="DY141" s="358">
        <v>47</v>
      </c>
      <c r="DZ141" s="358">
        <v>42</v>
      </c>
      <c r="EA141" s="358">
        <v>38</v>
      </c>
      <c r="EB141" s="358">
        <v>34</v>
      </c>
      <c r="EC141" s="358">
        <v>29</v>
      </c>
      <c r="ED141" s="358">
        <v>23</v>
      </c>
      <c r="EE141" s="358">
        <v>17</v>
      </c>
      <c r="EF141" s="358">
        <v>14</v>
      </c>
      <c r="EG141" s="358">
        <v>10</v>
      </c>
      <c r="EH141" s="358">
        <v>5</v>
      </c>
      <c r="EJ141" s="358">
        <v>4</v>
      </c>
      <c r="EK141" s="358">
        <v>9</v>
      </c>
      <c r="EL141" s="358">
        <v>13</v>
      </c>
      <c r="EM141" s="358">
        <v>222</v>
      </c>
      <c r="EN141" s="358">
        <v>234</v>
      </c>
      <c r="EO141" s="358">
        <v>245</v>
      </c>
      <c r="EP141" s="358">
        <v>255</v>
      </c>
      <c r="EQ141" s="358">
        <v>262</v>
      </c>
      <c r="ES141" s="358">
        <v>274</v>
      </c>
      <c r="ET141" s="358">
        <v>279</v>
      </c>
      <c r="EU141" s="358">
        <v>288</v>
      </c>
      <c r="EV141" s="358">
        <v>294</v>
      </c>
      <c r="EW141" s="358">
        <v>218</v>
      </c>
      <c r="EX141" s="358">
        <v>229</v>
      </c>
      <c r="EY141" s="358">
        <v>240</v>
      </c>
      <c r="EZ141" s="358">
        <v>256</v>
      </c>
      <c r="FA141" s="358">
        <v>264</v>
      </c>
      <c r="FB141" s="358">
        <v>274</v>
      </c>
      <c r="FC141" s="358">
        <v>288</v>
      </c>
      <c r="FD141" s="358">
        <v>300</v>
      </c>
      <c r="FE141" s="358">
        <v>307</v>
      </c>
      <c r="FF141" s="358">
        <v>312</v>
      </c>
      <c r="FG141" s="358">
        <v>324</v>
      </c>
      <c r="FH141" s="358">
        <v>333</v>
      </c>
      <c r="FI141" s="358">
        <v>344</v>
      </c>
      <c r="FJ141" s="358">
        <v>350</v>
      </c>
      <c r="FK141" s="358">
        <v>355</v>
      </c>
      <c r="FL141" s="358">
        <v>197</v>
      </c>
      <c r="FM141" s="358">
        <v>207</v>
      </c>
      <c r="FN141" s="358">
        <v>213</v>
      </c>
      <c r="FO141" s="358">
        <v>220</v>
      </c>
      <c r="FP141" s="358">
        <v>233</v>
      </c>
      <c r="FQ141" s="358">
        <v>248</v>
      </c>
      <c r="FR141" s="358">
        <v>256</v>
      </c>
      <c r="FS141" s="358">
        <v>263</v>
      </c>
      <c r="FT141" s="358">
        <v>270</v>
      </c>
      <c r="FU141" s="358">
        <v>277</v>
      </c>
      <c r="FV141" s="358">
        <v>287</v>
      </c>
      <c r="FW141" s="358">
        <v>156</v>
      </c>
      <c r="FX141" s="358">
        <v>203</v>
      </c>
      <c r="FY141" s="358">
        <v>210</v>
      </c>
      <c r="FZ141" s="358">
        <v>238</v>
      </c>
      <c r="GA141" s="358">
        <v>307</v>
      </c>
      <c r="GB141" s="358">
        <v>335</v>
      </c>
      <c r="GC141" s="358">
        <v>195</v>
      </c>
      <c r="GD141" s="358">
        <v>231</v>
      </c>
      <c r="GE141" s="358">
        <v>260</v>
      </c>
      <c r="GF141" s="358">
        <v>252</v>
      </c>
      <c r="GG141" s="358">
        <v>176</v>
      </c>
      <c r="GH141" s="358">
        <v>188</v>
      </c>
      <c r="GI141" s="361">
        <v>214</v>
      </c>
    </row>
    <row r="142" spans="1:191">
      <c r="A142" s="336" t="s">
        <v>357</v>
      </c>
      <c r="B142" s="358">
        <v>88</v>
      </c>
      <c r="C142" s="358">
        <v>92</v>
      </c>
      <c r="D142" s="358">
        <v>94</v>
      </c>
      <c r="E142" s="358">
        <v>95</v>
      </c>
      <c r="F142" s="358">
        <v>98</v>
      </c>
      <c r="G142" s="358">
        <v>101</v>
      </c>
      <c r="H142" s="358">
        <v>104</v>
      </c>
      <c r="I142" s="358">
        <v>106</v>
      </c>
      <c r="J142" s="358">
        <v>109</v>
      </c>
      <c r="K142" s="358">
        <v>113</v>
      </c>
      <c r="L142" s="358">
        <v>115</v>
      </c>
      <c r="M142" s="358">
        <v>118</v>
      </c>
      <c r="N142" s="358">
        <v>120</v>
      </c>
      <c r="O142" s="358">
        <v>125</v>
      </c>
      <c r="P142" s="358">
        <v>131</v>
      </c>
      <c r="Q142" s="358">
        <v>133</v>
      </c>
      <c r="R142" s="358">
        <v>136</v>
      </c>
      <c r="S142" s="358">
        <v>138</v>
      </c>
      <c r="T142" s="358">
        <v>141</v>
      </c>
      <c r="U142" s="358">
        <v>144</v>
      </c>
      <c r="V142" s="358">
        <v>86</v>
      </c>
      <c r="W142" s="358">
        <v>84</v>
      </c>
      <c r="X142" s="358">
        <v>86</v>
      </c>
      <c r="Y142" s="358">
        <v>88</v>
      </c>
      <c r="Z142" s="358">
        <v>90</v>
      </c>
      <c r="AA142" s="358">
        <v>91</v>
      </c>
      <c r="AB142" s="358">
        <v>93</v>
      </c>
      <c r="AC142" s="358">
        <v>96</v>
      </c>
      <c r="AD142" s="358">
        <v>98</v>
      </c>
      <c r="AE142" s="358">
        <v>103</v>
      </c>
      <c r="AF142" s="358">
        <v>108</v>
      </c>
      <c r="AG142" s="358">
        <v>113</v>
      </c>
      <c r="AH142" s="358">
        <v>114</v>
      </c>
      <c r="AI142" s="358">
        <v>115</v>
      </c>
      <c r="AJ142" s="358">
        <v>119</v>
      </c>
      <c r="AK142" s="358">
        <v>125</v>
      </c>
      <c r="AL142" s="358">
        <v>131</v>
      </c>
      <c r="AM142" s="358">
        <v>136</v>
      </c>
      <c r="AN142" s="358">
        <v>142</v>
      </c>
      <c r="AO142" s="358">
        <v>146</v>
      </c>
      <c r="AP142" s="358">
        <v>152</v>
      </c>
      <c r="AQ142" s="358">
        <v>158</v>
      </c>
      <c r="AR142" s="358">
        <v>162</v>
      </c>
      <c r="AS142" s="358">
        <v>174</v>
      </c>
      <c r="AT142" s="358">
        <v>182</v>
      </c>
      <c r="AU142" s="358">
        <v>192</v>
      </c>
      <c r="AV142" s="358">
        <v>201</v>
      </c>
      <c r="AW142" s="358">
        <v>209</v>
      </c>
      <c r="AX142" s="358">
        <v>91</v>
      </c>
      <c r="AY142" s="358">
        <v>95</v>
      </c>
      <c r="AZ142" s="358">
        <v>96</v>
      </c>
      <c r="BA142" s="358">
        <v>97</v>
      </c>
      <c r="BB142" s="358">
        <v>98</v>
      </c>
      <c r="BC142" s="358">
        <v>101</v>
      </c>
      <c r="BD142" s="358">
        <v>105</v>
      </c>
      <c r="BE142" s="358">
        <v>107</v>
      </c>
      <c r="BF142" s="358">
        <v>108</v>
      </c>
      <c r="BG142" s="358">
        <v>111</v>
      </c>
      <c r="BH142" s="358">
        <v>112</v>
      </c>
      <c r="BI142" s="358">
        <v>113</v>
      </c>
      <c r="BJ142" s="358">
        <v>115</v>
      </c>
      <c r="BK142" s="358">
        <v>116</v>
      </c>
      <c r="BL142" s="358">
        <v>117</v>
      </c>
      <c r="BM142" s="358">
        <v>119</v>
      </c>
      <c r="BN142" s="358">
        <v>120</v>
      </c>
      <c r="BO142" s="358">
        <v>123</v>
      </c>
      <c r="BP142" s="358">
        <v>128</v>
      </c>
      <c r="BQ142" s="358">
        <v>132</v>
      </c>
      <c r="BR142" s="358">
        <v>142</v>
      </c>
      <c r="BS142" s="358">
        <v>149</v>
      </c>
      <c r="BT142" s="358">
        <v>153</v>
      </c>
      <c r="BU142" s="358">
        <v>156</v>
      </c>
      <c r="BV142" s="358">
        <v>93</v>
      </c>
      <c r="BW142" s="358">
        <v>94</v>
      </c>
      <c r="BX142" s="358">
        <v>97</v>
      </c>
      <c r="BY142" s="358">
        <v>101</v>
      </c>
      <c r="BZ142" s="358">
        <v>106</v>
      </c>
      <c r="CA142" s="358">
        <v>110</v>
      </c>
      <c r="CB142" s="358">
        <v>117</v>
      </c>
      <c r="CC142" s="358">
        <v>122</v>
      </c>
      <c r="CD142" s="358">
        <v>125</v>
      </c>
      <c r="CE142" s="358">
        <v>129</v>
      </c>
      <c r="CF142" s="358">
        <v>131</v>
      </c>
      <c r="CG142" s="358">
        <v>138</v>
      </c>
      <c r="CH142" s="358">
        <v>140</v>
      </c>
      <c r="CI142" s="358">
        <v>144</v>
      </c>
      <c r="CJ142" s="358">
        <v>147</v>
      </c>
      <c r="CK142" s="358">
        <v>154</v>
      </c>
      <c r="CL142" s="358">
        <v>160</v>
      </c>
      <c r="CM142" s="358">
        <v>164</v>
      </c>
      <c r="CN142" s="358">
        <v>169</v>
      </c>
      <c r="CO142" s="358">
        <v>176</v>
      </c>
      <c r="CP142" s="358">
        <v>187</v>
      </c>
      <c r="CQ142" s="358">
        <v>200</v>
      </c>
      <c r="CR142" s="358">
        <v>205</v>
      </c>
      <c r="CS142" s="358">
        <v>94</v>
      </c>
      <c r="CT142" s="358">
        <v>99</v>
      </c>
      <c r="CU142" s="358">
        <v>105</v>
      </c>
      <c r="CV142" s="358">
        <v>111</v>
      </c>
      <c r="CW142" s="358">
        <v>117</v>
      </c>
      <c r="CX142" s="358">
        <v>122</v>
      </c>
      <c r="CY142" s="358">
        <v>129</v>
      </c>
      <c r="CZ142" s="358">
        <v>132</v>
      </c>
      <c r="DA142" s="358">
        <v>136</v>
      </c>
      <c r="DB142" s="358">
        <v>141</v>
      </c>
      <c r="DC142" s="358">
        <v>152</v>
      </c>
      <c r="DD142" s="358">
        <v>162</v>
      </c>
      <c r="DE142" s="358">
        <v>166</v>
      </c>
      <c r="DF142" s="358">
        <v>172</v>
      </c>
      <c r="DG142" s="358">
        <v>181</v>
      </c>
      <c r="DH142" s="358">
        <v>186</v>
      </c>
      <c r="DI142" s="358">
        <v>193</v>
      </c>
      <c r="DJ142" s="358">
        <v>202</v>
      </c>
      <c r="DK142" s="358">
        <v>209</v>
      </c>
      <c r="DL142" s="358">
        <v>217</v>
      </c>
      <c r="DM142" s="358">
        <v>229</v>
      </c>
      <c r="DN142" s="358">
        <v>232</v>
      </c>
      <c r="DO142" s="358">
        <v>243</v>
      </c>
      <c r="DP142" s="358">
        <v>252</v>
      </c>
      <c r="DQ142" s="358">
        <v>81</v>
      </c>
      <c r="DR142" s="358">
        <v>76</v>
      </c>
      <c r="DS142" s="358">
        <v>72</v>
      </c>
      <c r="DT142" s="358">
        <v>70</v>
      </c>
      <c r="DU142" s="358">
        <v>67</v>
      </c>
      <c r="DV142" s="358">
        <v>66</v>
      </c>
      <c r="DW142" s="358">
        <v>60</v>
      </c>
      <c r="DX142" s="358">
        <v>57</v>
      </c>
      <c r="DY142" s="358">
        <v>51</v>
      </c>
      <c r="DZ142" s="358">
        <v>46</v>
      </c>
      <c r="EA142" s="358">
        <v>42</v>
      </c>
      <c r="EB142" s="358">
        <v>38</v>
      </c>
      <c r="EC142" s="358">
        <v>33</v>
      </c>
      <c r="ED142" s="358">
        <v>27</v>
      </c>
      <c r="EE142" s="358">
        <v>21</v>
      </c>
      <c r="EF142" s="358">
        <v>18</v>
      </c>
      <c r="EG142" s="358">
        <v>14</v>
      </c>
      <c r="EH142" s="358">
        <v>9</v>
      </c>
      <c r="EI142" s="358">
        <v>4</v>
      </c>
      <c r="EK142" s="358">
        <v>5</v>
      </c>
      <c r="EL142" s="358">
        <v>9</v>
      </c>
      <c r="EM142" s="358">
        <v>226</v>
      </c>
      <c r="EN142" s="358">
        <v>238</v>
      </c>
      <c r="EO142" s="358">
        <v>249</v>
      </c>
      <c r="EP142" s="358">
        <v>259</v>
      </c>
      <c r="EQ142" s="358">
        <v>266</v>
      </c>
      <c r="ES142" s="358">
        <v>278</v>
      </c>
      <c r="ET142" s="358">
        <v>283</v>
      </c>
      <c r="EU142" s="358">
        <v>292</v>
      </c>
      <c r="EV142" s="358">
        <v>298</v>
      </c>
      <c r="EW142" s="358">
        <v>222</v>
      </c>
      <c r="EX142" s="358">
        <v>233</v>
      </c>
      <c r="EY142" s="358">
        <v>244</v>
      </c>
      <c r="EZ142" s="358">
        <v>260</v>
      </c>
      <c r="FA142" s="358">
        <v>268</v>
      </c>
      <c r="FB142" s="358">
        <v>278</v>
      </c>
      <c r="FC142" s="358">
        <v>292</v>
      </c>
      <c r="FD142" s="358">
        <v>304</v>
      </c>
      <c r="FE142" s="358">
        <v>311</v>
      </c>
      <c r="FF142" s="358">
        <v>316</v>
      </c>
      <c r="FG142" s="358">
        <v>328</v>
      </c>
      <c r="FH142" s="358">
        <v>337</v>
      </c>
      <c r="FI142" s="358">
        <v>348</v>
      </c>
      <c r="FJ142" s="358">
        <v>354</v>
      </c>
      <c r="FK142" s="358">
        <v>359</v>
      </c>
      <c r="FL142" s="358">
        <v>201</v>
      </c>
      <c r="FM142" s="358">
        <v>211</v>
      </c>
      <c r="FN142" s="358">
        <v>217</v>
      </c>
      <c r="FO142" s="358">
        <v>224</v>
      </c>
      <c r="FP142" s="358">
        <v>237</v>
      </c>
      <c r="FQ142" s="358">
        <v>252</v>
      </c>
      <c r="FR142" s="358">
        <v>260</v>
      </c>
      <c r="FS142" s="358">
        <v>267</v>
      </c>
      <c r="FT142" s="358">
        <v>274</v>
      </c>
      <c r="FU142" s="358">
        <v>281</v>
      </c>
      <c r="FV142" s="358">
        <v>291</v>
      </c>
      <c r="FW142" s="358">
        <v>160</v>
      </c>
      <c r="FX142" s="358">
        <v>207</v>
      </c>
      <c r="FY142" s="358">
        <v>214</v>
      </c>
      <c r="FZ142" s="358">
        <v>242</v>
      </c>
      <c r="GA142" s="358">
        <v>311</v>
      </c>
      <c r="GB142" s="358">
        <v>339</v>
      </c>
      <c r="GC142" s="358">
        <v>199</v>
      </c>
      <c r="GD142" s="358">
        <v>235</v>
      </c>
      <c r="GE142" s="358">
        <v>264</v>
      </c>
      <c r="GF142" s="358">
        <v>256</v>
      </c>
      <c r="GG142" s="358">
        <v>180</v>
      </c>
      <c r="GH142" s="358">
        <v>192</v>
      </c>
      <c r="GI142" s="361">
        <v>218</v>
      </c>
    </row>
    <row r="143" spans="1:191">
      <c r="A143" s="336" t="s">
        <v>356</v>
      </c>
      <c r="B143" s="358">
        <v>93</v>
      </c>
      <c r="C143" s="358">
        <v>97</v>
      </c>
      <c r="D143" s="358">
        <v>99</v>
      </c>
      <c r="E143" s="358">
        <v>100</v>
      </c>
      <c r="F143" s="358">
        <v>103</v>
      </c>
      <c r="G143" s="358">
        <v>106</v>
      </c>
      <c r="H143" s="358">
        <v>109</v>
      </c>
      <c r="I143" s="358">
        <v>111</v>
      </c>
      <c r="J143" s="358">
        <v>114</v>
      </c>
      <c r="K143" s="358">
        <v>118</v>
      </c>
      <c r="L143" s="358">
        <v>120</v>
      </c>
      <c r="M143" s="358">
        <v>123</v>
      </c>
      <c r="N143" s="358">
        <v>125</v>
      </c>
      <c r="O143" s="358">
        <v>130</v>
      </c>
      <c r="P143" s="358">
        <v>136</v>
      </c>
      <c r="Q143" s="358">
        <v>138</v>
      </c>
      <c r="R143" s="358">
        <v>141</v>
      </c>
      <c r="S143" s="358">
        <v>143</v>
      </c>
      <c r="T143" s="358">
        <v>146</v>
      </c>
      <c r="U143" s="358">
        <v>149</v>
      </c>
      <c r="V143" s="358">
        <v>91</v>
      </c>
      <c r="W143" s="358">
        <v>89</v>
      </c>
      <c r="X143" s="358">
        <v>91</v>
      </c>
      <c r="Y143" s="358">
        <v>93</v>
      </c>
      <c r="Z143" s="358">
        <v>95</v>
      </c>
      <c r="AA143" s="358">
        <v>96</v>
      </c>
      <c r="AB143" s="358">
        <v>98</v>
      </c>
      <c r="AC143" s="358">
        <v>101</v>
      </c>
      <c r="AD143" s="358">
        <v>103</v>
      </c>
      <c r="AE143" s="358">
        <v>108</v>
      </c>
      <c r="AF143" s="358">
        <v>113</v>
      </c>
      <c r="AG143" s="358">
        <v>118</v>
      </c>
      <c r="AH143" s="358">
        <v>119</v>
      </c>
      <c r="AI143" s="358">
        <v>120</v>
      </c>
      <c r="AJ143" s="358">
        <v>124</v>
      </c>
      <c r="AK143" s="358">
        <v>130</v>
      </c>
      <c r="AL143" s="358">
        <v>136</v>
      </c>
      <c r="AM143" s="358">
        <v>141</v>
      </c>
      <c r="AN143" s="358">
        <v>147</v>
      </c>
      <c r="AO143" s="358">
        <v>151</v>
      </c>
      <c r="AP143" s="358">
        <v>157</v>
      </c>
      <c r="AQ143" s="358">
        <v>163</v>
      </c>
      <c r="AR143" s="358">
        <v>167</v>
      </c>
      <c r="AS143" s="358">
        <v>179</v>
      </c>
      <c r="AT143" s="358">
        <v>187</v>
      </c>
      <c r="AU143" s="358">
        <v>197</v>
      </c>
      <c r="AV143" s="358">
        <v>206</v>
      </c>
      <c r="AW143" s="358">
        <v>214</v>
      </c>
      <c r="AX143" s="358">
        <v>96</v>
      </c>
      <c r="AY143" s="358">
        <v>100</v>
      </c>
      <c r="AZ143" s="358">
        <v>101</v>
      </c>
      <c r="BA143" s="358">
        <v>102</v>
      </c>
      <c r="BB143" s="358">
        <v>103</v>
      </c>
      <c r="BC143" s="358">
        <v>106</v>
      </c>
      <c r="BD143" s="358">
        <v>110</v>
      </c>
      <c r="BE143" s="358">
        <v>112</v>
      </c>
      <c r="BF143" s="358">
        <v>113</v>
      </c>
      <c r="BG143" s="358">
        <v>116</v>
      </c>
      <c r="BH143" s="358">
        <v>117</v>
      </c>
      <c r="BI143" s="358">
        <v>118</v>
      </c>
      <c r="BJ143" s="358">
        <v>120</v>
      </c>
      <c r="BK143" s="358">
        <v>121</v>
      </c>
      <c r="BL143" s="358">
        <v>122</v>
      </c>
      <c r="BM143" s="358">
        <v>124</v>
      </c>
      <c r="BN143" s="358">
        <v>125</v>
      </c>
      <c r="BO143" s="358">
        <v>128</v>
      </c>
      <c r="BP143" s="358">
        <v>133</v>
      </c>
      <c r="BQ143" s="358">
        <v>137</v>
      </c>
      <c r="BR143" s="358">
        <v>147</v>
      </c>
      <c r="BS143" s="358">
        <v>154</v>
      </c>
      <c r="BT143" s="358">
        <v>158</v>
      </c>
      <c r="BU143" s="358">
        <v>161</v>
      </c>
      <c r="BV143" s="358">
        <v>98</v>
      </c>
      <c r="BW143" s="358">
        <v>99</v>
      </c>
      <c r="BX143" s="358">
        <v>102</v>
      </c>
      <c r="BY143" s="358">
        <v>106</v>
      </c>
      <c r="BZ143" s="358">
        <v>111</v>
      </c>
      <c r="CA143" s="358">
        <v>115</v>
      </c>
      <c r="CB143" s="358">
        <v>122</v>
      </c>
      <c r="CC143" s="358">
        <v>127</v>
      </c>
      <c r="CD143" s="358">
        <v>130</v>
      </c>
      <c r="CE143" s="358">
        <v>134</v>
      </c>
      <c r="CF143" s="358">
        <v>136</v>
      </c>
      <c r="CG143" s="358">
        <v>143</v>
      </c>
      <c r="CH143" s="358">
        <v>145</v>
      </c>
      <c r="CI143" s="358">
        <v>149</v>
      </c>
      <c r="CJ143" s="358">
        <v>152</v>
      </c>
      <c r="CK143" s="358">
        <v>159</v>
      </c>
      <c r="CL143" s="358">
        <v>165</v>
      </c>
      <c r="CM143" s="358">
        <v>169</v>
      </c>
      <c r="CN143" s="358">
        <v>174</v>
      </c>
      <c r="CO143" s="358">
        <v>181</v>
      </c>
      <c r="CP143" s="358">
        <v>192</v>
      </c>
      <c r="CQ143" s="358">
        <v>205</v>
      </c>
      <c r="CR143" s="358">
        <v>210</v>
      </c>
      <c r="CS143" s="358">
        <v>99</v>
      </c>
      <c r="CT143" s="358">
        <v>104</v>
      </c>
      <c r="CU143" s="358">
        <v>110</v>
      </c>
      <c r="CV143" s="358">
        <v>116</v>
      </c>
      <c r="CW143" s="358">
        <v>122</v>
      </c>
      <c r="CX143" s="358">
        <v>127</v>
      </c>
      <c r="CY143" s="358">
        <v>134</v>
      </c>
      <c r="CZ143" s="358">
        <v>137</v>
      </c>
      <c r="DA143" s="358">
        <v>141</v>
      </c>
      <c r="DB143" s="358">
        <v>146</v>
      </c>
      <c r="DC143" s="358">
        <v>157</v>
      </c>
      <c r="DD143" s="358">
        <v>167</v>
      </c>
      <c r="DE143" s="358">
        <v>171</v>
      </c>
      <c r="DF143" s="358">
        <v>177</v>
      </c>
      <c r="DG143" s="358">
        <v>186</v>
      </c>
      <c r="DH143" s="358">
        <v>191</v>
      </c>
      <c r="DI143" s="358">
        <v>198</v>
      </c>
      <c r="DJ143" s="358">
        <v>207</v>
      </c>
      <c r="DK143" s="358">
        <v>214</v>
      </c>
      <c r="DL143" s="358">
        <v>222</v>
      </c>
      <c r="DM143" s="358">
        <v>234</v>
      </c>
      <c r="DN143" s="358">
        <v>237</v>
      </c>
      <c r="DO143" s="358">
        <v>248</v>
      </c>
      <c r="DP143" s="358">
        <v>257</v>
      </c>
      <c r="DQ143" s="358">
        <v>86</v>
      </c>
      <c r="DR143" s="358">
        <v>81</v>
      </c>
      <c r="DS143" s="358">
        <v>77</v>
      </c>
      <c r="DT143" s="358">
        <v>75</v>
      </c>
      <c r="DU143" s="358">
        <v>72</v>
      </c>
      <c r="DV143" s="358">
        <v>71</v>
      </c>
      <c r="DW143" s="358">
        <v>65</v>
      </c>
      <c r="DX143" s="358">
        <v>62</v>
      </c>
      <c r="DY143" s="358">
        <v>56</v>
      </c>
      <c r="DZ143" s="358">
        <v>51</v>
      </c>
      <c r="EA143" s="358">
        <v>47</v>
      </c>
      <c r="EB143" s="358">
        <v>43</v>
      </c>
      <c r="EC143" s="358">
        <v>38</v>
      </c>
      <c r="ED143" s="358">
        <v>32</v>
      </c>
      <c r="EE143" s="358">
        <v>26</v>
      </c>
      <c r="EF143" s="358">
        <v>23</v>
      </c>
      <c r="EG143" s="358">
        <v>19</v>
      </c>
      <c r="EH143" s="358">
        <v>14</v>
      </c>
      <c r="EI143" s="358">
        <v>9</v>
      </c>
      <c r="EJ143" s="358">
        <v>5</v>
      </c>
      <c r="EL143" s="358">
        <v>4</v>
      </c>
      <c r="EM143" s="358">
        <v>231</v>
      </c>
      <c r="EN143" s="358">
        <v>243</v>
      </c>
      <c r="EO143" s="358">
        <v>254</v>
      </c>
      <c r="EP143" s="358">
        <v>264</v>
      </c>
      <c r="EQ143" s="358">
        <v>271</v>
      </c>
      <c r="ES143" s="358">
        <v>283</v>
      </c>
      <c r="ET143" s="358">
        <v>288</v>
      </c>
      <c r="EU143" s="358">
        <v>297</v>
      </c>
      <c r="EV143" s="358">
        <v>303</v>
      </c>
      <c r="EW143" s="358">
        <v>227</v>
      </c>
      <c r="EX143" s="358">
        <v>238</v>
      </c>
      <c r="EY143" s="358">
        <v>249</v>
      </c>
      <c r="EZ143" s="358">
        <v>265</v>
      </c>
      <c r="FA143" s="358">
        <v>273</v>
      </c>
      <c r="FB143" s="358">
        <v>283</v>
      </c>
      <c r="FC143" s="358">
        <v>297</v>
      </c>
      <c r="FD143" s="358">
        <v>309</v>
      </c>
      <c r="FE143" s="358">
        <v>316</v>
      </c>
      <c r="FF143" s="358">
        <v>321</v>
      </c>
      <c r="FG143" s="358">
        <v>333</v>
      </c>
      <c r="FH143" s="358">
        <v>342</v>
      </c>
      <c r="FI143" s="358">
        <v>353</v>
      </c>
      <c r="FJ143" s="358">
        <v>359</v>
      </c>
      <c r="FK143" s="358">
        <v>364</v>
      </c>
      <c r="FL143" s="358">
        <v>206</v>
      </c>
      <c r="FM143" s="358">
        <v>216</v>
      </c>
      <c r="FN143" s="358">
        <v>222</v>
      </c>
      <c r="FO143" s="358">
        <v>229</v>
      </c>
      <c r="FP143" s="358">
        <v>242</v>
      </c>
      <c r="FQ143" s="358">
        <v>257</v>
      </c>
      <c r="FR143" s="358">
        <v>265</v>
      </c>
      <c r="FS143" s="358">
        <v>272</v>
      </c>
      <c r="FT143" s="358">
        <v>279</v>
      </c>
      <c r="FU143" s="358">
        <v>286</v>
      </c>
      <c r="FV143" s="358">
        <v>296</v>
      </c>
      <c r="FW143" s="358">
        <v>165</v>
      </c>
      <c r="FX143" s="358">
        <v>212</v>
      </c>
      <c r="FY143" s="358">
        <v>219</v>
      </c>
      <c r="FZ143" s="358">
        <v>247</v>
      </c>
      <c r="GA143" s="358">
        <v>316</v>
      </c>
      <c r="GB143" s="358">
        <v>344</v>
      </c>
      <c r="GC143" s="358">
        <v>204</v>
      </c>
      <c r="GD143" s="358">
        <v>240</v>
      </c>
      <c r="GE143" s="358">
        <v>269</v>
      </c>
      <c r="GF143" s="358">
        <v>261</v>
      </c>
      <c r="GG143" s="358">
        <v>185</v>
      </c>
      <c r="GH143" s="358">
        <v>197</v>
      </c>
      <c r="GI143" s="361">
        <v>223</v>
      </c>
    </row>
    <row r="144" spans="1:191">
      <c r="A144" s="336" t="s">
        <v>355</v>
      </c>
      <c r="B144" s="358">
        <v>97</v>
      </c>
      <c r="C144" s="358">
        <v>101</v>
      </c>
      <c r="D144" s="358">
        <v>103</v>
      </c>
      <c r="E144" s="358">
        <v>104</v>
      </c>
      <c r="F144" s="358">
        <v>107</v>
      </c>
      <c r="G144" s="358">
        <v>110</v>
      </c>
      <c r="H144" s="358">
        <v>113</v>
      </c>
      <c r="I144" s="358">
        <v>115</v>
      </c>
      <c r="J144" s="358">
        <v>118</v>
      </c>
      <c r="K144" s="358">
        <v>122</v>
      </c>
      <c r="L144" s="358">
        <v>124</v>
      </c>
      <c r="M144" s="358">
        <v>127</v>
      </c>
      <c r="N144" s="358">
        <v>129</v>
      </c>
      <c r="O144" s="358">
        <v>134</v>
      </c>
      <c r="P144" s="358">
        <v>140</v>
      </c>
      <c r="Q144" s="358">
        <v>142</v>
      </c>
      <c r="R144" s="358">
        <v>145</v>
      </c>
      <c r="S144" s="358">
        <v>147</v>
      </c>
      <c r="T144" s="358">
        <v>150</v>
      </c>
      <c r="U144" s="358">
        <v>153</v>
      </c>
      <c r="V144" s="358">
        <v>95</v>
      </c>
      <c r="W144" s="358">
        <v>93</v>
      </c>
      <c r="X144" s="358">
        <v>95</v>
      </c>
      <c r="Y144" s="358">
        <v>97</v>
      </c>
      <c r="Z144" s="358">
        <v>99</v>
      </c>
      <c r="AA144" s="358">
        <v>100</v>
      </c>
      <c r="AB144" s="358">
        <v>102</v>
      </c>
      <c r="AC144" s="358">
        <v>105</v>
      </c>
      <c r="AD144" s="358">
        <v>107</v>
      </c>
      <c r="AE144" s="358">
        <v>112</v>
      </c>
      <c r="AF144" s="358">
        <v>117</v>
      </c>
      <c r="AG144" s="358">
        <v>122</v>
      </c>
      <c r="AH144" s="358">
        <v>123</v>
      </c>
      <c r="AI144" s="358">
        <v>124</v>
      </c>
      <c r="AJ144" s="358">
        <v>128</v>
      </c>
      <c r="AK144" s="358">
        <v>134</v>
      </c>
      <c r="AL144" s="358">
        <v>140</v>
      </c>
      <c r="AM144" s="358">
        <v>145</v>
      </c>
      <c r="AN144" s="358">
        <v>151</v>
      </c>
      <c r="AO144" s="358">
        <v>155</v>
      </c>
      <c r="AP144" s="358">
        <v>161</v>
      </c>
      <c r="AQ144" s="358">
        <v>167</v>
      </c>
      <c r="AR144" s="358">
        <v>171</v>
      </c>
      <c r="AS144" s="358">
        <v>183</v>
      </c>
      <c r="AT144" s="358">
        <v>191</v>
      </c>
      <c r="AU144" s="358">
        <v>201</v>
      </c>
      <c r="AV144" s="358">
        <v>210</v>
      </c>
      <c r="AW144" s="358">
        <v>218</v>
      </c>
      <c r="AX144" s="358">
        <v>100</v>
      </c>
      <c r="AY144" s="358">
        <v>104</v>
      </c>
      <c r="AZ144" s="358">
        <v>105</v>
      </c>
      <c r="BA144" s="358">
        <v>106</v>
      </c>
      <c r="BB144" s="358">
        <v>107</v>
      </c>
      <c r="BC144" s="358">
        <v>110</v>
      </c>
      <c r="BD144" s="358">
        <v>114</v>
      </c>
      <c r="BE144" s="358">
        <v>116</v>
      </c>
      <c r="BF144" s="358">
        <v>117</v>
      </c>
      <c r="BG144" s="358">
        <v>120</v>
      </c>
      <c r="BH144" s="358">
        <v>121</v>
      </c>
      <c r="BI144" s="358">
        <v>122</v>
      </c>
      <c r="BJ144" s="358">
        <v>124</v>
      </c>
      <c r="BK144" s="358">
        <v>125</v>
      </c>
      <c r="BL144" s="358">
        <v>126</v>
      </c>
      <c r="BM144" s="358">
        <v>128</v>
      </c>
      <c r="BN144" s="358">
        <v>129</v>
      </c>
      <c r="BO144" s="358">
        <v>132</v>
      </c>
      <c r="BP144" s="358">
        <v>137</v>
      </c>
      <c r="BQ144" s="358">
        <v>141</v>
      </c>
      <c r="BR144" s="358">
        <v>151</v>
      </c>
      <c r="BS144" s="358">
        <v>158</v>
      </c>
      <c r="BT144" s="358">
        <v>162</v>
      </c>
      <c r="BU144" s="358">
        <v>165</v>
      </c>
      <c r="BV144" s="358">
        <v>102</v>
      </c>
      <c r="BW144" s="358">
        <v>103</v>
      </c>
      <c r="BX144" s="358">
        <v>106</v>
      </c>
      <c r="BY144" s="358">
        <v>110</v>
      </c>
      <c r="BZ144" s="358">
        <v>115</v>
      </c>
      <c r="CA144" s="358">
        <v>119</v>
      </c>
      <c r="CB144" s="358">
        <v>126</v>
      </c>
      <c r="CC144" s="358">
        <v>131</v>
      </c>
      <c r="CD144" s="358">
        <v>134</v>
      </c>
      <c r="CE144" s="358">
        <v>138</v>
      </c>
      <c r="CF144" s="358">
        <v>140</v>
      </c>
      <c r="CG144" s="358">
        <v>147</v>
      </c>
      <c r="CH144" s="358">
        <v>149</v>
      </c>
      <c r="CI144" s="358">
        <v>153</v>
      </c>
      <c r="CJ144" s="358">
        <v>156</v>
      </c>
      <c r="CK144" s="358">
        <v>163</v>
      </c>
      <c r="CL144" s="358">
        <v>169</v>
      </c>
      <c r="CM144" s="358">
        <v>173</v>
      </c>
      <c r="CN144" s="358">
        <v>178</v>
      </c>
      <c r="CO144" s="358">
        <v>185</v>
      </c>
      <c r="CP144" s="358">
        <v>196</v>
      </c>
      <c r="CQ144" s="358">
        <v>209</v>
      </c>
      <c r="CR144" s="358">
        <v>214</v>
      </c>
      <c r="CS144" s="358">
        <v>103</v>
      </c>
      <c r="CT144" s="358">
        <v>108</v>
      </c>
      <c r="CU144" s="358">
        <v>114</v>
      </c>
      <c r="CV144" s="358">
        <v>120</v>
      </c>
      <c r="CW144" s="358">
        <v>126</v>
      </c>
      <c r="CX144" s="358">
        <v>131</v>
      </c>
      <c r="CY144" s="358">
        <v>138</v>
      </c>
      <c r="CZ144" s="358">
        <v>141</v>
      </c>
      <c r="DA144" s="358">
        <v>145</v>
      </c>
      <c r="DB144" s="358">
        <v>150</v>
      </c>
      <c r="DC144" s="358">
        <v>161</v>
      </c>
      <c r="DD144" s="358">
        <v>171</v>
      </c>
      <c r="DE144" s="358">
        <v>175</v>
      </c>
      <c r="DF144" s="358">
        <v>181</v>
      </c>
      <c r="DG144" s="358">
        <v>190</v>
      </c>
      <c r="DH144" s="358">
        <v>195</v>
      </c>
      <c r="DI144" s="358">
        <v>202</v>
      </c>
      <c r="DJ144" s="358">
        <v>211</v>
      </c>
      <c r="DK144" s="358">
        <v>218</v>
      </c>
      <c r="DL144" s="358">
        <v>226</v>
      </c>
      <c r="DM144" s="358">
        <v>238</v>
      </c>
      <c r="DN144" s="358">
        <v>241</v>
      </c>
      <c r="DO144" s="358">
        <v>252</v>
      </c>
      <c r="DP144" s="358">
        <v>261</v>
      </c>
      <c r="DQ144" s="358">
        <v>90</v>
      </c>
      <c r="DR144" s="358">
        <v>85</v>
      </c>
      <c r="DS144" s="358">
        <v>81</v>
      </c>
      <c r="DT144" s="358">
        <v>79</v>
      </c>
      <c r="DU144" s="358">
        <v>76</v>
      </c>
      <c r="DV144" s="358">
        <v>75</v>
      </c>
      <c r="DW144" s="358">
        <v>69</v>
      </c>
      <c r="DX144" s="358">
        <v>66</v>
      </c>
      <c r="DY144" s="358">
        <v>60</v>
      </c>
      <c r="DZ144" s="358">
        <v>55</v>
      </c>
      <c r="EA144" s="358">
        <v>51</v>
      </c>
      <c r="EB144" s="358">
        <v>47</v>
      </c>
      <c r="EC144" s="358">
        <v>42</v>
      </c>
      <c r="ED144" s="358">
        <v>36</v>
      </c>
      <c r="EE144" s="358">
        <v>30</v>
      </c>
      <c r="EF144" s="358">
        <v>27</v>
      </c>
      <c r="EG144" s="358">
        <v>23</v>
      </c>
      <c r="EH144" s="358">
        <v>18</v>
      </c>
      <c r="EI144" s="358">
        <v>13</v>
      </c>
      <c r="EJ144" s="358">
        <v>9</v>
      </c>
      <c r="EK144" s="358">
        <v>4</v>
      </c>
      <c r="EM144" s="358">
        <v>235</v>
      </c>
      <c r="EN144" s="358">
        <v>247</v>
      </c>
      <c r="EO144" s="358">
        <v>258</v>
      </c>
      <c r="EP144" s="358">
        <v>268</v>
      </c>
      <c r="EQ144" s="358">
        <v>275</v>
      </c>
      <c r="ES144" s="358">
        <v>287</v>
      </c>
      <c r="ET144" s="358">
        <v>292</v>
      </c>
      <c r="EU144" s="358">
        <v>301</v>
      </c>
      <c r="EV144" s="358">
        <v>307</v>
      </c>
      <c r="EW144" s="358">
        <v>231</v>
      </c>
      <c r="EX144" s="358">
        <v>242</v>
      </c>
      <c r="EY144" s="358">
        <v>253</v>
      </c>
      <c r="EZ144" s="358">
        <v>269</v>
      </c>
      <c r="FA144" s="358">
        <v>277</v>
      </c>
      <c r="FB144" s="358">
        <v>287</v>
      </c>
      <c r="FC144" s="358">
        <v>301</v>
      </c>
      <c r="FD144" s="358">
        <v>313</v>
      </c>
      <c r="FE144" s="358">
        <v>320</v>
      </c>
      <c r="FF144" s="358">
        <v>325</v>
      </c>
      <c r="FG144" s="358">
        <v>337</v>
      </c>
      <c r="FH144" s="358">
        <v>346</v>
      </c>
      <c r="FI144" s="358">
        <v>357</v>
      </c>
      <c r="FJ144" s="358">
        <v>363</v>
      </c>
      <c r="FK144" s="358">
        <v>368</v>
      </c>
      <c r="FL144" s="358">
        <v>210</v>
      </c>
      <c r="FM144" s="358">
        <v>220</v>
      </c>
      <c r="FN144" s="358">
        <v>226</v>
      </c>
      <c r="FO144" s="358">
        <v>233</v>
      </c>
      <c r="FP144" s="358">
        <v>246</v>
      </c>
      <c r="FQ144" s="358">
        <v>261</v>
      </c>
      <c r="FR144" s="358">
        <v>269</v>
      </c>
      <c r="FS144" s="358">
        <v>276</v>
      </c>
      <c r="FT144" s="358">
        <v>283</v>
      </c>
      <c r="FU144" s="358">
        <v>290</v>
      </c>
      <c r="FV144" s="358">
        <v>300</v>
      </c>
      <c r="FW144" s="358">
        <v>169</v>
      </c>
      <c r="FX144" s="358">
        <v>216</v>
      </c>
      <c r="FY144" s="358">
        <v>223</v>
      </c>
      <c r="FZ144" s="358">
        <v>251</v>
      </c>
      <c r="GA144" s="358">
        <v>320</v>
      </c>
      <c r="GB144" s="358">
        <v>348</v>
      </c>
      <c r="GC144" s="358">
        <v>208</v>
      </c>
      <c r="GD144" s="358">
        <v>244</v>
      </c>
      <c r="GE144" s="358">
        <v>273</v>
      </c>
      <c r="GF144" s="358">
        <v>265</v>
      </c>
      <c r="GG144" s="358">
        <v>189</v>
      </c>
      <c r="GH144" s="358">
        <v>201</v>
      </c>
      <c r="GI144" s="361">
        <v>227</v>
      </c>
    </row>
    <row r="145" spans="1:191">
      <c r="A145" s="336" t="s">
        <v>354</v>
      </c>
      <c r="B145" s="358">
        <v>146</v>
      </c>
      <c r="C145" s="358">
        <v>150</v>
      </c>
      <c r="D145" s="358">
        <v>152</v>
      </c>
      <c r="E145" s="358">
        <v>153</v>
      </c>
      <c r="F145" s="358">
        <v>156</v>
      </c>
      <c r="G145" s="358">
        <v>159</v>
      </c>
      <c r="H145" s="358">
        <v>162</v>
      </c>
      <c r="I145" s="358">
        <v>164</v>
      </c>
      <c r="J145" s="358">
        <v>167</v>
      </c>
      <c r="K145" s="358">
        <v>171</v>
      </c>
      <c r="L145" s="358">
        <v>173</v>
      </c>
      <c r="M145" s="358">
        <v>176</v>
      </c>
      <c r="N145" s="358">
        <v>178</v>
      </c>
      <c r="O145" s="358">
        <v>183</v>
      </c>
      <c r="P145" s="358">
        <v>189</v>
      </c>
      <c r="Q145" s="358">
        <v>191</v>
      </c>
      <c r="R145" s="358">
        <v>194</v>
      </c>
      <c r="S145" s="358">
        <v>196</v>
      </c>
      <c r="T145" s="358">
        <v>199</v>
      </c>
      <c r="U145" s="358">
        <v>202</v>
      </c>
      <c r="V145" s="358">
        <v>144</v>
      </c>
      <c r="W145" s="358">
        <v>142</v>
      </c>
      <c r="X145" s="358">
        <v>140</v>
      </c>
      <c r="Y145" s="358">
        <v>138</v>
      </c>
      <c r="Z145" s="358">
        <v>136</v>
      </c>
      <c r="AA145" s="358">
        <v>135</v>
      </c>
      <c r="AB145" s="358">
        <v>133</v>
      </c>
      <c r="AC145" s="358">
        <v>130</v>
      </c>
      <c r="AD145" s="358">
        <v>128</v>
      </c>
      <c r="AE145" s="358">
        <v>123</v>
      </c>
      <c r="AF145" s="358">
        <v>118</v>
      </c>
      <c r="AG145" s="358">
        <v>113</v>
      </c>
      <c r="AH145" s="358">
        <v>112</v>
      </c>
      <c r="AI145" s="358">
        <v>111</v>
      </c>
      <c r="AJ145" s="358">
        <v>107</v>
      </c>
      <c r="AK145" s="358">
        <v>101</v>
      </c>
      <c r="AL145" s="358">
        <v>95</v>
      </c>
      <c r="AM145" s="358">
        <v>90</v>
      </c>
      <c r="AN145" s="358">
        <v>84</v>
      </c>
      <c r="AO145" s="358">
        <v>80</v>
      </c>
      <c r="AP145" s="358">
        <v>74</v>
      </c>
      <c r="AQ145" s="358">
        <v>68</v>
      </c>
      <c r="AR145" s="358">
        <v>64</v>
      </c>
      <c r="AS145" s="358">
        <v>52</v>
      </c>
      <c r="AT145" s="358">
        <v>44</v>
      </c>
      <c r="AU145" s="358">
        <v>34</v>
      </c>
      <c r="AV145" s="358">
        <v>25</v>
      </c>
      <c r="AW145" s="358">
        <v>17</v>
      </c>
      <c r="AX145" s="358">
        <v>149</v>
      </c>
      <c r="AY145" s="358">
        <v>153</v>
      </c>
      <c r="AZ145" s="358">
        <v>154</v>
      </c>
      <c r="BA145" s="358">
        <v>155</v>
      </c>
      <c r="BB145" s="358">
        <v>156</v>
      </c>
      <c r="BC145" s="358">
        <v>159</v>
      </c>
      <c r="BD145" s="358">
        <v>163</v>
      </c>
      <c r="BE145" s="358">
        <v>165</v>
      </c>
      <c r="BF145" s="358">
        <v>166</v>
      </c>
      <c r="BG145" s="358">
        <v>169</v>
      </c>
      <c r="BH145" s="358">
        <v>170</v>
      </c>
      <c r="BI145" s="358">
        <v>171</v>
      </c>
      <c r="BJ145" s="358">
        <v>173</v>
      </c>
      <c r="BK145" s="358">
        <v>174</v>
      </c>
      <c r="BL145" s="358">
        <v>175</v>
      </c>
      <c r="BM145" s="358">
        <v>177</v>
      </c>
      <c r="BN145" s="358">
        <v>178</v>
      </c>
      <c r="BO145" s="358">
        <v>181</v>
      </c>
      <c r="BP145" s="358">
        <v>186</v>
      </c>
      <c r="BQ145" s="358">
        <v>190</v>
      </c>
      <c r="BR145" s="358">
        <v>200</v>
      </c>
      <c r="BS145" s="358">
        <v>207</v>
      </c>
      <c r="BT145" s="358">
        <v>211</v>
      </c>
      <c r="BU145" s="358">
        <v>214</v>
      </c>
      <c r="BV145" s="358">
        <v>151</v>
      </c>
      <c r="BW145" s="358">
        <v>152</v>
      </c>
      <c r="BX145" s="358">
        <v>155</v>
      </c>
      <c r="BY145" s="358">
        <v>159</v>
      </c>
      <c r="BZ145" s="358">
        <v>164</v>
      </c>
      <c r="CA145" s="358">
        <v>168</v>
      </c>
      <c r="CB145" s="358">
        <v>175</v>
      </c>
      <c r="CC145" s="358">
        <v>180</v>
      </c>
      <c r="CD145" s="358">
        <v>183</v>
      </c>
      <c r="CE145" s="358">
        <v>187</v>
      </c>
      <c r="CF145" s="358">
        <v>189</v>
      </c>
      <c r="CG145" s="358">
        <v>196</v>
      </c>
      <c r="CH145" s="358">
        <v>198</v>
      </c>
      <c r="CI145" s="358">
        <v>202</v>
      </c>
      <c r="CJ145" s="358">
        <v>205</v>
      </c>
      <c r="CK145" s="358">
        <v>212</v>
      </c>
      <c r="CL145" s="358">
        <v>218</v>
      </c>
      <c r="CM145" s="358">
        <v>222</v>
      </c>
      <c r="CN145" s="358">
        <v>227</v>
      </c>
      <c r="CO145" s="358">
        <v>234</v>
      </c>
      <c r="CP145" s="358">
        <v>245</v>
      </c>
      <c r="CQ145" s="358">
        <v>258</v>
      </c>
      <c r="CR145" s="358">
        <v>263</v>
      </c>
      <c r="CS145" s="358">
        <v>152</v>
      </c>
      <c r="CT145" s="358">
        <v>157</v>
      </c>
      <c r="CU145" s="358">
        <v>163</v>
      </c>
      <c r="CV145" s="358">
        <v>169</v>
      </c>
      <c r="CW145" s="358">
        <v>175</v>
      </c>
      <c r="CX145" s="358">
        <v>180</v>
      </c>
      <c r="CY145" s="358">
        <v>187</v>
      </c>
      <c r="CZ145" s="358">
        <v>190</v>
      </c>
      <c r="DA145" s="358">
        <v>194</v>
      </c>
      <c r="DB145" s="358">
        <v>199</v>
      </c>
      <c r="DC145" s="358">
        <v>210</v>
      </c>
      <c r="DD145" s="358">
        <v>220</v>
      </c>
      <c r="DE145" s="358">
        <v>224</v>
      </c>
      <c r="DF145" s="358">
        <v>230</v>
      </c>
      <c r="DG145" s="358">
        <v>239</v>
      </c>
      <c r="DH145" s="358">
        <v>244</v>
      </c>
      <c r="DI145" s="358">
        <v>251</v>
      </c>
      <c r="DJ145" s="358">
        <v>260</v>
      </c>
      <c r="DK145" s="358">
        <v>267</v>
      </c>
      <c r="DL145" s="358">
        <v>275</v>
      </c>
      <c r="DM145" s="358">
        <v>287</v>
      </c>
      <c r="DN145" s="358">
        <v>290</v>
      </c>
      <c r="DO145" s="358">
        <v>301</v>
      </c>
      <c r="DP145" s="358">
        <v>310</v>
      </c>
      <c r="DQ145" s="358">
        <v>145</v>
      </c>
      <c r="DR145" s="358">
        <v>150</v>
      </c>
      <c r="DS145" s="358">
        <v>154</v>
      </c>
      <c r="DT145" s="358">
        <v>156</v>
      </c>
      <c r="DU145" s="358">
        <v>159</v>
      </c>
      <c r="DV145" s="358">
        <v>160</v>
      </c>
      <c r="DW145" s="358">
        <v>166</v>
      </c>
      <c r="DX145" s="358">
        <v>169</v>
      </c>
      <c r="DY145" s="358">
        <v>175</v>
      </c>
      <c r="DZ145" s="358">
        <v>180</v>
      </c>
      <c r="EA145" s="358">
        <v>184</v>
      </c>
      <c r="EB145" s="358">
        <v>188</v>
      </c>
      <c r="EC145" s="358">
        <v>193</v>
      </c>
      <c r="ED145" s="358">
        <v>199</v>
      </c>
      <c r="EE145" s="358">
        <v>205</v>
      </c>
      <c r="EF145" s="358">
        <v>208</v>
      </c>
      <c r="EG145" s="358">
        <v>212</v>
      </c>
      <c r="EH145" s="358">
        <v>217</v>
      </c>
      <c r="EI145" s="358">
        <v>222</v>
      </c>
      <c r="EJ145" s="358">
        <v>226</v>
      </c>
      <c r="EK145" s="358">
        <v>231</v>
      </c>
      <c r="EL145" s="358">
        <v>235</v>
      </c>
      <c r="EN145" s="358">
        <v>12</v>
      </c>
      <c r="EO145" s="358">
        <v>23</v>
      </c>
      <c r="EP145" s="358">
        <v>33</v>
      </c>
      <c r="EQ145" s="358">
        <v>40</v>
      </c>
      <c r="ES145" s="358">
        <v>52</v>
      </c>
      <c r="ET145" s="358">
        <v>57</v>
      </c>
      <c r="EU145" s="358">
        <v>66</v>
      </c>
      <c r="EV145" s="358">
        <v>72</v>
      </c>
      <c r="EW145" s="358">
        <v>30</v>
      </c>
      <c r="EX145" s="358">
        <v>41</v>
      </c>
      <c r="EY145" s="358">
        <v>52</v>
      </c>
      <c r="EZ145" s="358">
        <v>68</v>
      </c>
      <c r="FA145" s="358">
        <v>76</v>
      </c>
      <c r="FB145" s="358">
        <v>86</v>
      </c>
      <c r="FC145" s="358">
        <v>100</v>
      </c>
      <c r="FD145" s="358">
        <v>112</v>
      </c>
      <c r="FE145" s="358">
        <v>119</v>
      </c>
      <c r="FF145" s="358">
        <v>124</v>
      </c>
      <c r="FG145" s="358">
        <v>136</v>
      </c>
      <c r="FH145" s="358">
        <v>145</v>
      </c>
      <c r="FI145" s="358">
        <v>156</v>
      </c>
      <c r="FJ145" s="358">
        <v>162</v>
      </c>
      <c r="FK145" s="358">
        <v>167</v>
      </c>
      <c r="FL145" s="358">
        <v>43</v>
      </c>
      <c r="FM145" s="358">
        <v>53</v>
      </c>
      <c r="FN145" s="358">
        <v>59</v>
      </c>
      <c r="FO145" s="358">
        <v>66</v>
      </c>
      <c r="FP145" s="358">
        <v>79</v>
      </c>
      <c r="FQ145" s="358">
        <v>94</v>
      </c>
      <c r="FR145" s="358">
        <v>102</v>
      </c>
      <c r="FS145" s="358">
        <v>109</v>
      </c>
      <c r="FT145" s="358">
        <v>116</v>
      </c>
      <c r="FU145" s="358">
        <v>123</v>
      </c>
      <c r="FV145" s="358">
        <v>133</v>
      </c>
      <c r="FW145" s="358">
        <v>218</v>
      </c>
      <c r="FX145" s="358">
        <v>265</v>
      </c>
      <c r="FY145" s="358">
        <v>272</v>
      </c>
      <c r="FZ145" s="358">
        <v>300</v>
      </c>
      <c r="GA145" s="358">
        <v>369</v>
      </c>
      <c r="GB145" s="358">
        <v>113</v>
      </c>
      <c r="GC145" s="358">
        <v>257</v>
      </c>
      <c r="GD145" s="358">
        <v>293</v>
      </c>
      <c r="GE145" s="358">
        <v>322</v>
      </c>
      <c r="GF145" s="358">
        <v>314</v>
      </c>
      <c r="GG145" s="358">
        <v>238</v>
      </c>
      <c r="GH145" s="358">
        <v>250</v>
      </c>
      <c r="GI145" s="361">
        <v>276</v>
      </c>
    </row>
    <row r="146" spans="1:191">
      <c r="A146" s="336" t="s">
        <v>353</v>
      </c>
      <c r="B146" s="358">
        <v>158</v>
      </c>
      <c r="C146" s="358">
        <v>162</v>
      </c>
      <c r="D146" s="358">
        <v>164</v>
      </c>
      <c r="E146" s="358">
        <v>165</v>
      </c>
      <c r="F146" s="358">
        <v>168</v>
      </c>
      <c r="G146" s="358">
        <v>171</v>
      </c>
      <c r="H146" s="358">
        <v>174</v>
      </c>
      <c r="I146" s="358">
        <v>176</v>
      </c>
      <c r="J146" s="358">
        <v>179</v>
      </c>
      <c r="K146" s="358">
        <v>183</v>
      </c>
      <c r="L146" s="358">
        <v>185</v>
      </c>
      <c r="M146" s="358">
        <v>188</v>
      </c>
      <c r="N146" s="358">
        <v>190</v>
      </c>
      <c r="O146" s="358">
        <v>195</v>
      </c>
      <c r="P146" s="358">
        <v>201</v>
      </c>
      <c r="Q146" s="358">
        <v>203</v>
      </c>
      <c r="R146" s="358">
        <v>206</v>
      </c>
      <c r="S146" s="358">
        <v>208</v>
      </c>
      <c r="T146" s="358">
        <v>211</v>
      </c>
      <c r="U146" s="358">
        <v>214</v>
      </c>
      <c r="V146" s="358">
        <v>156</v>
      </c>
      <c r="W146" s="358">
        <v>154</v>
      </c>
      <c r="X146" s="358">
        <v>152</v>
      </c>
      <c r="Y146" s="358">
        <v>150</v>
      </c>
      <c r="Z146" s="358">
        <v>148</v>
      </c>
      <c r="AA146" s="358">
        <v>147</v>
      </c>
      <c r="AB146" s="358">
        <v>145</v>
      </c>
      <c r="AC146" s="358">
        <v>142</v>
      </c>
      <c r="AD146" s="358">
        <v>140</v>
      </c>
      <c r="AE146" s="358">
        <v>135</v>
      </c>
      <c r="AF146" s="358">
        <v>130</v>
      </c>
      <c r="AG146" s="358">
        <v>125</v>
      </c>
      <c r="AH146" s="358">
        <v>124</v>
      </c>
      <c r="AI146" s="358">
        <v>123</v>
      </c>
      <c r="AJ146" s="358">
        <v>119</v>
      </c>
      <c r="AK146" s="358">
        <v>113</v>
      </c>
      <c r="AL146" s="358">
        <v>107</v>
      </c>
      <c r="AM146" s="358">
        <v>102</v>
      </c>
      <c r="AN146" s="358">
        <v>96</v>
      </c>
      <c r="AO146" s="358">
        <v>92</v>
      </c>
      <c r="AP146" s="358">
        <v>86</v>
      </c>
      <c r="AQ146" s="358">
        <v>80</v>
      </c>
      <c r="AR146" s="358">
        <v>76</v>
      </c>
      <c r="AS146" s="358">
        <v>64</v>
      </c>
      <c r="AT146" s="358">
        <v>56</v>
      </c>
      <c r="AU146" s="358">
        <v>46</v>
      </c>
      <c r="AV146" s="358">
        <v>37</v>
      </c>
      <c r="AW146" s="358">
        <v>29</v>
      </c>
      <c r="AX146" s="358">
        <v>161</v>
      </c>
      <c r="AY146" s="358">
        <v>165</v>
      </c>
      <c r="AZ146" s="358">
        <v>166</v>
      </c>
      <c r="BA146" s="358">
        <v>167</v>
      </c>
      <c r="BB146" s="358">
        <v>168</v>
      </c>
      <c r="BC146" s="358">
        <v>171</v>
      </c>
      <c r="BD146" s="358">
        <v>175</v>
      </c>
      <c r="BE146" s="358">
        <v>177</v>
      </c>
      <c r="BF146" s="358">
        <v>178</v>
      </c>
      <c r="BG146" s="358">
        <v>181</v>
      </c>
      <c r="BH146" s="358">
        <v>182</v>
      </c>
      <c r="BI146" s="358">
        <v>183</v>
      </c>
      <c r="BJ146" s="358">
        <v>185</v>
      </c>
      <c r="BK146" s="358">
        <v>186</v>
      </c>
      <c r="BL146" s="358">
        <v>187</v>
      </c>
      <c r="BM146" s="358">
        <v>189</v>
      </c>
      <c r="BN146" s="358">
        <v>190</v>
      </c>
      <c r="BO146" s="358">
        <v>193</v>
      </c>
      <c r="BP146" s="358">
        <v>198</v>
      </c>
      <c r="BQ146" s="358">
        <v>202</v>
      </c>
      <c r="BR146" s="358">
        <v>212</v>
      </c>
      <c r="BS146" s="358">
        <v>219</v>
      </c>
      <c r="BT146" s="358">
        <v>223</v>
      </c>
      <c r="BU146" s="358">
        <v>226</v>
      </c>
      <c r="BV146" s="358">
        <v>163</v>
      </c>
      <c r="BW146" s="358">
        <v>164</v>
      </c>
      <c r="BX146" s="358">
        <v>167</v>
      </c>
      <c r="BY146" s="358">
        <v>171</v>
      </c>
      <c r="BZ146" s="358">
        <v>176</v>
      </c>
      <c r="CA146" s="358">
        <v>180</v>
      </c>
      <c r="CB146" s="358">
        <v>187</v>
      </c>
      <c r="CC146" s="358">
        <v>192</v>
      </c>
      <c r="CD146" s="358">
        <v>195</v>
      </c>
      <c r="CE146" s="358">
        <v>199</v>
      </c>
      <c r="CF146" s="358">
        <v>201</v>
      </c>
      <c r="CG146" s="358">
        <v>208</v>
      </c>
      <c r="CH146" s="358">
        <v>210</v>
      </c>
      <c r="CI146" s="358">
        <v>214</v>
      </c>
      <c r="CJ146" s="358">
        <v>217</v>
      </c>
      <c r="CK146" s="358">
        <v>224</v>
      </c>
      <c r="CL146" s="358">
        <v>230</v>
      </c>
      <c r="CM146" s="358">
        <v>234</v>
      </c>
      <c r="CN146" s="358">
        <v>239</v>
      </c>
      <c r="CO146" s="358">
        <v>246</v>
      </c>
      <c r="CP146" s="358">
        <v>257</v>
      </c>
      <c r="CQ146" s="358">
        <v>270</v>
      </c>
      <c r="CR146" s="358">
        <v>275</v>
      </c>
      <c r="CS146" s="358">
        <v>164</v>
      </c>
      <c r="CT146" s="358">
        <v>169</v>
      </c>
      <c r="CU146" s="358">
        <v>175</v>
      </c>
      <c r="CV146" s="358">
        <v>181</v>
      </c>
      <c r="CW146" s="358">
        <v>187</v>
      </c>
      <c r="CX146" s="358">
        <v>192</v>
      </c>
      <c r="CY146" s="358">
        <v>199</v>
      </c>
      <c r="CZ146" s="358">
        <v>202</v>
      </c>
      <c r="DA146" s="358">
        <v>206</v>
      </c>
      <c r="DB146" s="358">
        <v>211</v>
      </c>
      <c r="DC146" s="358">
        <v>222</v>
      </c>
      <c r="DD146" s="358">
        <v>232</v>
      </c>
      <c r="DE146" s="358">
        <v>236</v>
      </c>
      <c r="DF146" s="358">
        <v>242</v>
      </c>
      <c r="DG146" s="358">
        <v>251</v>
      </c>
      <c r="DH146" s="358">
        <v>256</v>
      </c>
      <c r="DI146" s="358">
        <v>263</v>
      </c>
      <c r="DJ146" s="358">
        <v>272</v>
      </c>
      <c r="DK146" s="358">
        <v>279</v>
      </c>
      <c r="DL146" s="358">
        <v>287</v>
      </c>
      <c r="DM146" s="358">
        <v>299</v>
      </c>
      <c r="DN146" s="358">
        <v>302</v>
      </c>
      <c r="DO146" s="358">
        <v>313</v>
      </c>
      <c r="DP146" s="358">
        <v>322</v>
      </c>
      <c r="DQ146" s="358">
        <v>157</v>
      </c>
      <c r="DR146" s="358">
        <v>162</v>
      </c>
      <c r="DS146" s="358">
        <v>166</v>
      </c>
      <c r="DT146" s="358">
        <v>168</v>
      </c>
      <c r="DU146" s="358">
        <v>171</v>
      </c>
      <c r="DV146" s="358">
        <v>172</v>
      </c>
      <c r="DW146" s="358">
        <v>178</v>
      </c>
      <c r="DX146" s="358">
        <v>181</v>
      </c>
      <c r="DY146" s="358">
        <v>187</v>
      </c>
      <c r="DZ146" s="358">
        <v>192</v>
      </c>
      <c r="EA146" s="358">
        <v>196</v>
      </c>
      <c r="EB146" s="358">
        <v>200</v>
      </c>
      <c r="EC146" s="358">
        <v>205</v>
      </c>
      <c r="ED146" s="358">
        <v>211</v>
      </c>
      <c r="EE146" s="358">
        <v>217</v>
      </c>
      <c r="EF146" s="358">
        <v>220</v>
      </c>
      <c r="EG146" s="358">
        <v>224</v>
      </c>
      <c r="EH146" s="358">
        <v>229</v>
      </c>
      <c r="EI146" s="358">
        <v>234</v>
      </c>
      <c r="EJ146" s="358">
        <v>238</v>
      </c>
      <c r="EK146" s="358">
        <v>243</v>
      </c>
      <c r="EL146" s="358">
        <v>247</v>
      </c>
      <c r="EM146" s="358">
        <v>12</v>
      </c>
      <c r="EO146" s="358">
        <v>11</v>
      </c>
      <c r="EP146" s="358">
        <v>21</v>
      </c>
      <c r="EQ146" s="358">
        <v>28</v>
      </c>
      <c r="ES146" s="358">
        <v>40</v>
      </c>
      <c r="ET146" s="358">
        <v>45</v>
      </c>
      <c r="EU146" s="358">
        <v>54</v>
      </c>
      <c r="EV146" s="358">
        <v>60</v>
      </c>
      <c r="EW146" s="358">
        <v>42</v>
      </c>
      <c r="EX146" s="358">
        <v>53</v>
      </c>
      <c r="EY146" s="358">
        <v>64</v>
      </c>
      <c r="EZ146" s="358">
        <v>80</v>
      </c>
      <c r="FA146" s="358">
        <v>88</v>
      </c>
      <c r="FB146" s="358">
        <v>98</v>
      </c>
      <c r="FC146" s="358">
        <v>112</v>
      </c>
      <c r="FD146" s="358">
        <v>124</v>
      </c>
      <c r="FE146" s="358">
        <v>131</v>
      </c>
      <c r="FF146" s="358">
        <v>136</v>
      </c>
      <c r="FG146" s="358">
        <v>148</v>
      </c>
      <c r="FH146" s="358">
        <v>157</v>
      </c>
      <c r="FI146" s="358">
        <v>168</v>
      </c>
      <c r="FJ146" s="358">
        <v>174</v>
      </c>
      <c r="FK146" s="358">
        <v>179</v>
      </c>
      <c r="FL146" s="358">
        <v>55</v>
      </c>
      <c r="FM146" s="358">
        <v>65</v>
      </c>
      <c r="FN146" s="358">
        <v>71</v>
      </c>
      <c r="FO146" s="358">
        <v>78</v>
      </c>
      <c r="FP146" s="358">
        <v>91</v>
      </c>
      <c r="FQ146" s="358">
        <v>106</v>
      </c>
      <c r="FR146" s="358">
        <v>114</v>
      </c>
      <c r="FS146" s="358">
        <v>121</v>
      </c>
      <c r="FT146" s="358">
        <v>128</v>
      </c>
      <c r="FU146" s="358">
        <v>135</v>
      </c>
      <c r="FV146" s="358">
        <v>145</v>
      </c>
      <c r="FW146" s="358">
        <v>230</v>
      </c>
      <c r="FX146" s="358">
        <v>277</v>
      </c>
      <c r="FY146" s="358">
        <v>284</v>
      </c>
      <c r="FZ146" s="358">
        <v>312</v>
      </c>
      <c r="GA146" s="358">
        <v>381</v>
      </c>
      <c r="GB146" s="358">
        <v>101</v>
      </c>
      <c r="GC146" s="358">
        <v>269</v>
      </c>
      <c r="GD146" s="358">
        <v>305</v>
      </c>
      <c r="GE146" s="358">
        <v>334</v>
      </c>
      <c r="GF146" s="358">
        <v>326</v>
      </c>
      <c r="GG146" s="358">
        <v>250</v>
      </c>
      <c r="GH146" s="358">
        <v>262</v>
      </c>
      <c r="GI146" s="361">
        <v>288</v>
      </c>
    </row>
    <row r="147" spans="1:191">
      <c r="A147" s="336" t="s">
        <v>352</v>
      </c>
      <c r="B147" s="358">
        <v>169</v>
      </c>
      <c r="C147" s="358">
        <v>173</v>
      </c>
      <c r="D147" s="358">
        <v>175</v>
      </c>
      <c r="E147" s="358">
        <v>176</v>
      </c>
      <c r="F147" s="358">
        <v>179</v>
      </c>
      <c r="G147" s="358">
        <v>182</v>
      </c>
      <c r="H147" s="358">
        <v>185</v>
      </c>
      <c r="I147" s="358">
        <v>187</v>
      </c>
      <c r="J147" s="358">
        <v>190</v>
      </c>
      <c r="K147" s="358">
        <v>194</v>
      </c>
      <c r="L147" s="358">
        <v>196</v>
      </c>
      <c r="M147" s="358">
        <v>199</v>
      </c>
      <c r="N147" s="358">
        <v>201</v>
      </c>
      <c r="O147" s="358">
        <v>206</v>
      </c>
      <c r="P147" s="358">
        <v>212</v>
      </c>
      <c r="Q147" s="358">
        <v>214</v>
      </c>
      <c r="R147" s="358">
        <v>217</v>
      </c>
      <c r="S147" s="358">
        <v>219</v>
      </c>
      <c r="T147" s="358">
        <v>222</v>
      </c>
      <c r="U147" s="358">
        <v>225</v>
      </c>
      <c r="V147" s="358">
        <v>167</v>
      </c>
      <c r="W147" s="358">
        <v>165</v>
      </c>
      <c r="X147" s="358">
        <v>163</v>
      </c>
      <c r="Y147" s="358">
        <v>161</v>
      </c>
      <c r="Z147" s="358">
        <v>159</v>
      </c>
      <c r="AA147" s="358">
        <v>158</v>
      </c>
      <c r="AB147" s="358">
        <v>156</v>
      </c>
      <c r="AC147" s="358">
        <v>153</v>
      </c>
      <c r="AD147" s="358">
        <v>151</v>
      </c>
      <c r="AE147" s="358">
        <v>146</v>
      </c>
      <c r="AF147" s="358">
        <v>141</v>
      </c>
      <c r="AG147" s="358">
        <v>136</v>
      </c>
      <c r="AH147" s="358">
        <v>135</v>
      </c>
      <c r="AI147" s="358">
        <v>134</v>
      </c>
      <c r="AJ147" s="358">
        <v>130</v>
      </c>
      <c r="AK147" s="358">
        <v>124</v>
      </c>
      <c r="AL147" s="358">
        <v>118</v>
      </c>
      <c r="AM147" s="358">
        <v>113</v>
      </c>
      <c r="AN147" s="358">
        <v>107</v>
      </c>
      <c r="AO147" s="358">
        <v>103</v>
      </c>
      <c r="AP147" s="358">
        <v>97</v>
      </c>
      <c r="AQ147" s="358">
        <v>91</v>
      </c>
      <c r="AR147" s="358">
        <v>87</v>
      </c>
      <c r="AS147" s="358">
        <v>75</v>
      </c>
      <c r="AT147" s="358">
        <v>67</v>
      </c>
      <c r="AU147" s="358">
        <v>57</v>
      </c>
      <c r="AV147" s="358">
        <v>48</v>
      </c>
      <c r="AW147" s="358">
        <v>40</v>
      </c>
      <c r="AX147" s="358">
        <v>172</v>
      </c>
      <c r="AY147" s="358">
        <v>176</v>
      </c>
      <c r="AZ147" s="358">
        <v>177</v>
      </c>
      <c r="BA147" s="358">
        <v>178</v>
      </c>
      <c r="BB147" s="358">
        <v>179</v>
      </c>
      <c r="BC147" s="358">
        <v>182</v>
      </c>
      <c r="BD147" s="358">
        <v>186</v>
      </c>
      <c r="BE147" s="358">
        <v>188</v>
      </c>
      <c r="BF147" s="358">
        <v>189</v>
      </c>
      <c r="BG147" s="358">
        <v>192</v>
      </c>
      <c r="BH147" s="358">
        <v>193</v>
      </c>
      <c r="BI147" s="358">
        <v>194</v>
      </c>
      <c r="BJ147" s="358">
        <v>196</v>
      </c>
      <c r="BK147" s="358">
        <v>197</v>
      </c>
      <c r="BL147" s="358">
        <v>198</v>
      </c>
      <c r="BM147" s="358">
        <v>200</v>
      </c>
      <c r="BN147" s="358">
        <v>201</v>
      </c>
      <c r="BO147" s="358">
        <v>204</v>
      </c>
      <c r="BP147" s="358">
        <v>209</v>
      </c>
      <c r="BQ147" s="358">
        <v>213</v>
      </c>
      <c r="BR147" s="358">
        <v>223</v>
      </c>
      <c r="BS147" s="358">
        <v>230</v>
      </c>
      <c r="BT147" s="358">
        <v>234</v>
      </c>
      <c r="BU147" s="358">
        <v>237</v>
      </c>
      <c r="BV147" s="358">
        <v>174</v>
      </c>
      <c r="BW147" s="358">
        <v>175</v>
      </c>
      <c r="BX147" s="358">
        <v>178</v>
      </c>
      <c r="BY147" s="358">
        <v>182</v>
      </c>
      <c r="BZ147" s="358">
        <v>187</v>
      </c>
      <c r="CA147" s="358">
        <v>191</v>
      </c>
      <c r="CB147" s="358">
        <v>198</v>
      </c>
      <c r="CC147" s="358">
        <v>203</v>
      </c>
      <c r="CD147" s="358">
        <v>206</v>
      </c>
      <c r="CE147" s="358">
        <v>210</v>
      </c>
      <c r="CF147" s="358">
        <v>212</v>
      </c>
      <c r="CG147" s="358">
        <v>219</v>
      </c>
      <c r="CH147" s="358">
        <v>221</v>
      </c>
      <c r="CI147" s="358">
        <v>225</v>
      </c>
      <c r="CJ147" s="358">
        <v>228</v>
      </c>
      <c r="CK147" s="358">
        <v>235</v>
      </c>
      <c r="CL147" s="358">
        <v>241</v>
      </c>
      <c r="CM147" s="358">
        <v>245</v>
      </c>
      <c r="CN147" s="358">
        <v>250</v>
      </c>
      <c r="CO147" s="358">
        <v>257</v>
      </c>
      <c r="CP147" s="358">
        <v>268</v>
      </c>
      <c r="CQ147" s="358">
        <v>281</v>
      </c>
      <c r="CR147" s="358">
        <v>286</v>
      </c>
      <c r="CS147" s="358">
        <v>175</v>
      </c>
      <c r="CT147" s="358">
        <v>180</v>
      </c>
      <c r="CU147" s="358">
        <v>186</v>
      </c>
      <c r="CV147" s="358">
        <v>192</v>
      </c>
      <c r="CW147" s="358">
        <v>198</v>
      </c>
      <c r="CX147" s="358">
        <v>203</v>
      </c>
      <c r="CY147" s="358">
        <v>210</v>
      </c>
      <c r="CZ147" s="358">
        <v>213</v>
      </c>
      <c r="DA147" s="358">
        <v>217</v>
      </c>
      <c r="DB147" s="358">
        <v>222</v>
      </c>
      <c r="DC147" s="358">
        <v>233</v>
      </c>
      <c r="DD147" s="358">
        <v>243</v>
      </c>
      <c r="DE147" s="358">
        <v>247</v>
      </c>
      <c r="DF147" s="358">
        <v>253</v>
      </c>
      <c r="DG147" s="358">
        <v>262</v>
      </c>
      <c r="DH147" s="358">
        <v>267</v>
      </c>
      <c r="DI147" s="358">
        <v>274</v>
      </c>
      <c r="DJ147" s="358">
        <v>283</v>
      </c>
      <c r="DK147" s="358">
        <v>290</v>
      </c>
      <c r="DL147" s="358">
        <v>298</v>
      </c>
      <c r="DM147" s="358">
        <v>310</v>
      </c>
      <c r="DN147" s="358">
        <v>313</v>
      </c>
      <c r="DO147" s="358">
        <v>324</v>
      </c>
      <c r="DP147" s="358">
        <v>333</v>
      </c>
      <c r="DQ147" s="358">
        <v>168</v>
      </c>
      <c r="DR147" s="358">
        <v>173</v>
      </c>
      <c r="DS147" s="358">
        <v>177</v>
      </c>
      <c r="DT147" s="358">
        <v>179</v>
      </c>
      <c r="DU147" s="358">
        <v>182</v>
      </c>
      <c r="DV147" s="358">
        <v>183</v>
      </c>
      <c r="DW147" s="358">
        <v>189</v>
      </c>
      <c r="DX147" s="358">
        <v>192</v>
      </c>
      <c r="DY147" s="358">
        <v>198</v>
      </c>
      <c r="DZ147" s="358">
        <v>203</v>
      </c>
      <c r="EA147" s="358">
        <v>207</v>
      </c>
      <c r="EB147" s="358">
        <v>211</v>
      </c>
      <c r="EC147" s="358">
        <v>216</v>
      </c>
      <c r="ED147" s="358">
        <v>222</v>
      </c>
      <c r="EE147" s="358">
        <v>228</v>
      </c>
      <c r="EF147" s="358">
        <v>231</v>
      </c>
      <c r="EG147" s="358">
        <v>235</v>
      </c>
      <c r="EH147" s="358">
        <v>240</v>
      </c>
      <c r="EI147" s="358">
        <v>245</v>
      </c>
      <c r="EJ147" s="358">
        <v>249</v>
      </c>
      <c r="EK147" s="358">
        <v>254</v>
      </c>
      <c r="EL147" s="358">
        <v>258</v>
      </c>
      <c r="EM147" s="358">
        <v>23</v>
      </c>
      <c r="EN147" s="358">
        <v>11</v>
      </c>
      <c r="EP147" s="358">
        <v>10</v>
      </c>
      <c r="EQ147" s="358">
        <v>17</v>
      </c>
      <c r="ES147" s="358">
        <v>29</v>
      </c>
      <c r="ET147" s="358">
        <v>34</v>
      </c>
      <c r="EU147" s="358">
        <v>43</v>
      </c>
      <c r="EV147" s="358">
        <v>49</v>
      </c>
      <c r="EW147" s="358">
        <v>53</v>
      </c>
      <c r="EX147" s="358">
        <v>64</v>
      </c>
      <c r="EY147" s="358">
        <v>75</v>
      </c>
      <c r="EZ147" s="358">
        <v>91</v>
      </c>
      <c r="FA147" s="358">
        <v>99</v>
      </c>
      <c r="FB147" s="358">
        <v>109</v>
      </c>
      <c r="FC147" s="358">
        <v>123</v>
      </c>
      <c r="FD147" s="358">
        <v>135</v>
      </c>
      <c r="FE147" s="358">
        <v>142</v>
      </c>
      <c r="FF147" s="358">
        <v>147</v>
      </c>
      <c r="FG147" s="358">
        <v>159</v>
      </c>
      <c r="FH147" s="358">
        <v>168</v>
      </c>
      <c r="FI147" s="358">
        <v>179</v>
      </c>
      <c r="FJ147" s="358">
        <v>185</v>
      </c>
      <c r="FK147" s="358">
        <v>190</v>
      </c>
      <c r="FL147" s="358">
        <v>66</v>
      </c>
      <c r="FM147" s="358">
        <v>76</v>
      </c>
      <c r="FN147" s="358">
        <v>82</v>
      </c>
      <c r="FO147" s="358">
        <v>89</v>
      </c>
      <c r="FP147" s="358">
        <v>102</v>
      </c>
      <c r="FQ147" s="358">
        <v>117</v>
      </c>
      <c r="FR147" s="358">
        <v>125</v>
      </c>
      <c r="FS147" s="358">
        <v>132</v>
      </c>
      <c r="FT147" s="358">
        <v>139</v>
      </c>
      <c r="FU147" s="358">
        <v>146</v>
      </c>
      <c r="FV147" s="358">
        <v>156</v>
      </c>
      <c r="FW147" s="358">
        <v>241</v>
      </c>
      <c r="FX147" s="358">
        <v>288</v>
      </c>
      <c r="FY147" s="358">
        <v>295</v>
      </c>
      <c r="FZ147" s="358">
        <v>323</v>
      </c>
      <c r="GA147" s="358">
        <v>392</v>
      </c>
      <c r="GB147" s="358">
        <v>90</v>
      </c>
      <c r="GC147" s="358">
        <v>280</v>
      </c>
      <c r="GD147" s="358">
        <v>316</v>
      </c>
      <c r="GE147" s="358">
        <v>345</v>
      </c>
      <c r="GF147" s="358">
        <v>337</v>
      </c>
      <c r="GG147" s="358">
        <v>261</v>
      </c>
      <c r="GH147" s="358">
        <v>273</v>
      </c>
      <c r="GI147" s="361">
        <v>299</v>
      </c>
    </row>
    <row r="148" spans="1:191">
      <c r="A148" s="336" t="s">
        <v>351</v>
      </c>
      <c r="B148" s="358">
        <v>179</v>
      </c>
      <c r="C148" s="358">
        <v>183</v>
      </c>
      <c r="D148" s="358">
        <v>185</v>
      </c>
      <c r="E148" s="358">
        <v>186</v>
      </c>
      <c r="F148" s="358">
        <v>189</v>
      </c>
      <c r="G148" s="358">
        <v>192</v>
      </c>
      <c r="H148" s="358">
        <v>195</v>
      </c>
      <c r="I148" s="358">
        <v>197</v>
      </c>
      <c r="J148" s="358">
        <v>200</v>
      </c>
      <c r="K148" s="358">
        <v>204</v>
      </c>
      <c r="L148" s="358">
        <v>206</v>
      </c>
      <c r="M148" s="358">
        <v>209</v>
      </c>
      <c r="N148" s="358">
        <v>211</v>
      </c>
      <c r="O148" s="358">
        <v>216</v>
      </c>
      <c r="P148" s="358">
        <v>222</v>
      </c>
      <c r="Q148" s="358">
        <v>224</v>
      </c>
      <c r="R148" s="358">
        <v>227</v>
      </c>
      <c r="S148" s="358">
        <v>229</v>
      </c>
      <c r="T148" s="358">
        <v>232</v>
      </c>
      <c r="U148" s="358">
        <v>235</v>
      </c>
      <c r="V148" s="358">
        <v>177</v>
      </c>
      <c r="W148" s="358">
        <v>175</v>
      </c>
      <c r="X148" s="358">
        <v>173</v>
      </c>
      <c r="Y148" s="358">
        <v>171</v>
      </c>
      <c r="Z148" s="358">
        <v>169</v>
      </c>
      <c r="AA148" s="358">
        <v>168</v>
      </c>
      <c r="AB148" s="358">
        <v>166</v>
      </c>
      <c r="AC148" s="358">
        <v>163</v>
      </c>
      <c r="AD148" s="358">
        <v>161</v>
      </c>
      <c r="AE148" s="358">
        <v>156</v>
      </c>
      <c r="AF148" s="358">
        <v>151</v>
      </c>
      <c r="AG148" s="358">
        <v>146</v>
      </c>
      <c r="AH148" s="358">
        <v>145</v>
      </c>
      <c r="AI148" s="358">
        <v>144</v>
      </c>
      <c r="AJ148" s="358">
        <v>140</v>
      </c>
      <c r="AK148" s="358">
        <v>134</v>
      </c>
      <c r="AL148" s="358">
        <v>128</v>
      </c>
      <c r="AM148" s="358">
        <v>123</v>
      </c>
      <c r="AN148" s="358">
        <v>117</v>
      </c>
      <c r="AO148" s="358">
        <v>113</v>
      </c>
      <c r="AP148" s="358">
        <v>107</v>
      </c>
      <c r="AQ148" s="358">
        <v>101</v>
      </c>
      <c r="AR148" s="358">
        <v>97</v>
      </c>
      <c r="AS148" s="358">
        <v>85</v>
      </c>
      <c r="AT148" s="358">
        <v>77</v>
      </c>
      <c r="AU148" s="358">
        <v>67</v>
      </c>
      <c r="AV148" s="358">
        <v>58</v>
      </c>
      <c r="AW148" s="358">
        <v>50</v>
      </c>
      <c r="AX148" s="358">
        <v>182</v>
      </c>
      <c r="AY148" s="358">
        <v>186</v>
      </c>
      <c r="AZ148" s="358">
        <v>187</v>
      </c>
      <c r="BA148" s="358">
        <v>188</v>
      </c>
      <c r="BB148" s="358">
        <v>189</v>
      </c>
      <c r="BC148" s="358">
        <v>192</v>
      </c>
      <c r="BD148" s="358">
        <v>196</v>
      </c>
      <c r="BE148" s="358">
        <v>198</v>
      </c>
      <c r="BF148" s="358">
        <v>199</v>
      </c>
      <c r="BG148" s="358">
        <v>202</v>
      </c>
      <c r="BH148" s="358">
        <v>203</v>
      </c>
      <c r="BI148" s="358">
        <v>204</v>
      </c>
      <c r="BJ148" s="358">
        <v>206</v>
      </c>
      <c r="BK148" s="358">
        <v>207</v>
      </c>
      <c r="BL148" s="358">
        <v>208</v>
      </c>
      <c r="BM148" s="358">
        <v>210</v>
      </c>
      <c r="BN148" s="358">
        <v>211</v>
      </c>
      <c r="BO148" s="358">
        <v>214</v>
      </c>
      <c r="BP148" s="358">
        <v>219</v>
      </c>
      <c r="BQ148" s="358">
        <v>223</v>
      </c>
      <c r="BR148" s="358">
        <v>233</v>
      </c>
      <c r="BS148" s="358">
        <v>240</v>
      </c>
      <c r="BT148" s="358">
        <v>244</v>
      </c>
      <c r="BU148" s="358">
        <v>247</v>
      </c>
      <c r="BV148" s="358">
        <v>184</v>
      </c>
      <c r="BW148" s="358">
        <v>185</v>
      </c>
      <c r="BX148" s="358">
        <v>188</v>
      </c>
      <c r="BY148" s="358">
        <v>192</v>
      </c>
      <c r="BZ148" s="358">
        <v>197</v>
      </c>
      <c r="CA148" s="358">
        <v>201</v>
      </c>
      <c r="CB148" s="358">
        <v>208</v>
      </c>
      <c r="CC148" s="358">
        <v>213</v>
      </c>
      <c r="CD148" s="358">
        <v>216</v>
      </c>
      <c r="CE148" s="358">
        <v>220</v>
      </c>
      <c r="CF148" s="358">
        <v>222</v>
      </c>
      <c r="CG148" s="358">
        <v>229</v>
      </c>
      <c r="CH148" s="358">
        <v>231</v>
      </c>
      <c r="CI148" s="358">
        <v>235</v>
      </c>
      <c r="CJ148" s="358">
        <v>238</v>
      </c>
      <c r="CK148" s="358">
        <v>245</v>
      </c>
      <c r="CL148" s="358">
        <v>251</v>
      </c>
      <c r="CM148" s="358">
        <v>255</v>
      </c>
      <c r="CN148" s="358">
        <v>260</v>
      </c>
      <c r="CO148" s="358">
        <v>267</v>
      </c>
      <c r="CP148" s="358">
        <v>278</v>
      </c>
      <c r="CQ148" s="358">
        <v>291</v>
      </c>
      <c r="CR148" s="358">
        <v>296</v>
      </c>
      <c r="CS148" s="358">
        <v>185</v>
      </c>
      <c r="CT148" s="358">
        <v>190</v>
      </c>
      <c r="CU148" s="358">
        <v>196</v>
      </c>
      <c r="CV148" s="358">
        <v>202</v>
      </c>
      <c r="CW148" s="358">
        <v>208</v>
      </c>
      <c r="CX148" s="358">
        <v>213</v>
      </c>
      <c r="CY148" s="358">
        <v>220</v>
      </c>
      <c r="CZ148" s="358">
        <v>223</v>
      </c>
      <c r="DA148" s="358">
        <v>227</v>
      </c>
      <c r="DB148" s="358">
        <v>232</v>
      </c>
      <c r="DC148" s="358">
        <v>243</v>
      </c>
      <c r="DD148" s="358">
        <v>253</v>
      </c>
      <c r="DE148" s="358">
        <v>257</v>
      </c>
      <c r="DF148" s="358">
        <v>263</v>
      </c>
      <c r="DG148" s="358">
        <v>272</v>
      </c>
      <c r="DH148" s="358">
        <v>277</v>
      </c>
      <c r="DI148" s="358">
        <v>284</v>
      </c>
      <c r="DJ148" s="358">
        <v>293</v>
      </c>
      <c r="DK148" s="358">
        <v>300</v>
      </c>
      <c r="DL148" s="358">
        <v>308</v>
      </c>
      <c r="DM148" s="358">
        <v>320</v>
      </c>
      <c r="DN148" s="358">
        <v>323</v>
      </c>
      <c r="DO148" s="358">
        <v>334</v>
      </c>
      <c r="DP148" s="358">
        <v>343</v>
      </c>
      <c r="DQ148" s="358">
        <v>178</v>
      </c>
      <c r="DR148" s="358">
        <v>183</v>
      </c>
      <c r="DS148" s="358">
        <v>187</v>
      </c>
      <c r="DT148" s="358">
        <v>189</v>
      </c>
      <c r="DU148" s="358">
        <v>192</v>
      </c>
      <c r="DV148" s="358">
        <v>193</v>
      </c>
      <c r="DW148" s="358">
        <v>199</v>
      </c>
      <c r="DX148" s="358">
        <v>202</v>
      </c>
      <c r="DY148" s="358">
        <v>208</v>
      </c>
      <c r="DZ148" s="358">
        <v>213</v>
      </c>
      <c r="EA148" s="358">
        <v>217</v>
      </c>
      <c r="EB148" s="358">
        <v>221</v>
      </c>
      <c r="EC148" s="358">
        <v>226</v>
      </c>
      <c r="ED148" s="358">
        <v>232</v>
      </c>
      <c r="EE148" s="358">
        <v>238</v>
      </c>
      <c r="EF148" s="358">
        <v>241</v>
      </c>
      <c r="EG148" s="358">
        <v>245</v>
      </c>
      <c r="EH148" s="358">
        <v>250</v>
      </c>
      <c r="EI148" s="358">
        <v>255</v>
      </c>
      <c r="EJ148" s="358">
        <v>259</v>
      </c>
      <c r="EK148" s="358">
        <v>264</v>
      </c>
      <c r="EL148" s="358">
        <v>268</v>
      </c>
      <c r="EM148" s="358">
        <v>33</v>
      </c>
      <c r="EN148" s="358">
        <v>21</v>
      </c>
      <c r="EO148" s="358">
        <v>10</v>
      </c>
      <c r="EQ148" s="358">
        <v>7</v>
      </c>
      <c r="ES148" s="358">
        <v>19</v>
      </c>
      <c r="ET148" s="358">
        <v>24</v>
      </c>
      <c r="EU148" s="358">
        <v>33</v>
      </c>
      <c r="EV148" s="358">
        <v>39</v>
      </c>
      <c r="EW148" s="358">
        <v>63</v>
      </c>
      <c r="EX148" s="358">
        <v>74</v>
      </c>
      <c r="EY148" s="358">
        <v>85</v>
      </c>
      <c r="EZ148" s="358">
        <v>101</v>
      </c>
      <c r="FA148" s="358">
        <v>109</v>
      </c>
      <c r="FB148" s="358">
        <v>119</v>
      </c>
      <c r="FC148" s="358">
        <v>133</v>
      </c>
      <c r="FD148" s="358">
        <v>145</v>
      </c>
      <c r="FE148" s="358">
        <v>152</v>
      </c>
      <c r="FF148" s="358">
        <v>157</v>
      </c>
      <c r="FG148" s="358">
        <v>169</v>
      </c>
      <c r="FH148" s="358">
        <v>178</v>
      </c>
      <c r="FI148" s="358">
        <v>189</v>
      </c>
      <c r="FJ148" s="358">
        <v>195</v>
      </c>
      <c r="FK148" s="358">
        <v>200</v>
      </c>
      <c r="FL148" s="358">
        <v>76</v>
      </c>
      <c r="FM148" s="358">
        <v>86</v>
      </c>
      <c r="FN148" s="358">
        <v>92</v>
      </c>
      <c r="FO148" s="358">
        <v>99</v>
      </c>
      <c r="FP148" s="358">
        <v>112</v>
      </c>
      <c r="FQ148" s="358">
        <v>127</v>
      </c>
      <c r="FR148" s="358">
        <v>135</v>
      </c>
      <c r="FS148" s="358">
        <v>142</v>
      </c>
      <c r="FT148" s="358">
        <v>149</v>
      </c>
      <c r="FU148" s="358">
        <v>156</v>
      </c>
      <c r="FV148" s="358">
        <v>166</v>
      </c>
      <c r="FW148" s="358">
        <v>251</v>
      </c>
      <c r="FX148" s="358">
        <v>298</v>
      </c>
      <c r="FY148" s="358">
        <v>305</v>
      </c>
      <c r="FZ148" s="358">
        <v>333</v>
      </c>
      <c r="GA148" s="358">
        <v>402</v>
      </c>
      <c r="GB148" s="358">
        <v>80</v>
      </c>
      <c r="GC148" s="358">
        <v>290</v>
      </c>
      <c r="GD148" s="358">
        <v>326</v>
      </c>
      <c r="GE148" s="358">
        <v>355</v>
      </c>
      <c r="GF148" s="358">
        <v>347</v>
      </c>
      <c r="GG148" s="358">
        <v>271</v>
      </c>
      <c r="GH148" s="358">
        <v>283</v>
      </c>
      <c r="GI148" s="361">
        <v>309</v>
      </c>
    </row>
    <row r="149" spans="1:191">
      <c r="A149" s="336" t="s">
        <v>350</v>
      </c>
      <c r="B149" s="358">
        <v>186</v>
      </c>
      <c r="C149" s="358">
        <v>190</v>
      </c>
      <c r="D149" s="358">
        <v>192</v>
      </c>
      <c r="E149" s="358">
        <v>193</v>
      </c>
      <c r="F149" s="358">
        <v>196</v>
      </c>
      <c r="G149" s="358">
        <v>199</v>
      </c>
      <c r="H149" s="358">
        <v>202</v>
      </c>
      <c r="I149" s="358">
        <v>204</v>
      </c>
      <c r="J149" s="358">
        <v>207</v>
      </c>
      <c r="K149" s="358">
        <v>211</v>
      </c>
      <c r="L149" s="358">
        <v>213</v>
      </c>
      <c r="M149" s="358">
        <v>216</v>
      </c>
      <c r="N149" s="358">
        <v>218</v>
      </c>
      <c r="O149" s="358">
        <v>223</v>
      </c>
      <c r="P149" s="358">
        <v>229</v>
      </c>
      <c r="Q149" s="358">
        <v>231</v>
      </c>
      <c r="R149" s="358">
        <v>234</v>
      </c>
      <c r="S149" s="358">
        <v>236</v>
      </c>
      <c r="T149" s="358">
        <v>239</v>
      </c>
      <c r="U149" s="358">
        <v>242</v>
      </c>
      <c r="V149" s="358">
        <v>184</v>
      </c>
      <c r="W149" s="358">
        <v>182</v>
      </c>
      <c r="X149" s="358">
        <v>180</v>
      </c>
      <c r="Y149" s="358">
        <v>178</v>
      </c>
      <c r="Z149" s="358">
        <v>176</v>
      </c>
      <c r="AA149" s="358">
        <v>175</v>
      </c>
      <c r="AB149" s="358">
        <v>173</v>
      </c>
      <c r="AC149" s="358">
        <v>170</v>
      </c>
      <c r="AD149" s="358">
        <v>168</v>
      </c>
      <c r="AE149" s="358">
        <v>163</v>
      </c>
      <c r="AF149" s="358">
        <v>158</v>
      </c>
      <c r="AG149" s="358">
        <v>153</v>
      </c>
      <c r="AH149" s="358">
        <v>152</v>
      </c>
      <c r="AI149" s="358">
        <v>151</v>
      </c>
      <c r="AJ149" s="358">
        <v>147</v>
      </c>
      <c r="AK149" s="358">
        <v>141</v>
      </c>
      <c r="AL149" s="358">
        <v>135</v>
      </c>
      <c r="AM149" s="358">
        <v>130</v>
      </c>
      <c r="AN149" s="358">
        <v>124</v>
      </c>
      <c r="AO149" s="358">
        <v>120</v>
      </c>
      <c r="AP149" s="358">
        <v>114</v>
      </c>
      <c r="AQ149" s="358">
        <v>108</v>
      </c>
      <c r="AR149" s="358">
        <v>104</v>
      </c>
      <c r="AS149" s="358">
        <v>92</v>
      </c>
      <c r="AT149" s="358">
        <v>84</v>
      </c>
      <c r="AU149" s="358">
        <v>74</v>
      </c>
      <c r="AV149" s="358">
        <v>65</v>
      </c>
      <c r="AW149" s="358">
        <v>57</v>
      </c>
      <c r="AX149" s="358">
        <v>189</v>
      </c>
      <c r="AY149" s="358">
        <v>193</v>
      </c>
      <c r="AZ149" s="358">
        <v>194</v>
      </c>
      <c r="BA149" s="358">
        <v>195</v>
      </c>
      <c r="BB149" s="358">
        <v>196</v>
      </c>
      <c r="BC149" s="358">
        <v>199</v>
      </c>
      <c r="BD149" s="358">
        <v>203</v>
      </c>
      <c r="BE149" s="358">
        <v>205</v>
      </c>
      <c r="BF149" s="358">
        <v>206</v>
      </c>
      <c r="BG149" s="358">
        <v>209</v>
      </c>
      <c r="BH149" s="358">
        <v>210</v>
      </c>
      <c r="BI149" s="358">
        <v>211</v>
      </c>
      <c r="BJ149" s="358">
        <v>213</v>
      </c>
      <c r="BK149" s="358">
        <v>214</v>
      </c>
      <c r="BL149" s="358">
        <v>215</v>
      </c>
      <c r="BM149" s="358">
        <v>217</v>
      </c>
      <c r="BN149" s="358">
        <v>218</v>
      </c>
      <c r="BO149" s="358">
        <v>221</v>
      </c>
      <c r="BP149" s="358">
        <v>226</v>
      </c>
      <c r="BQ149" s="358">
        <v>230</v>
      </c>
      <c r="BR149" s="358">
        <v>240</v>
      </c>
      <c r="BS149" s="358">
        <v>247</v>
      </c>
      <c r="BT149" s="358">
        <v>251</v>
      </c>
      <c r="BU149" s="358">
        <v>254</v>
      </c>
      <c r="BV149" s="358">
        <v>191</v>
      </c>
      <c r="BW149" s="358">
        <v>192</v>
      </c>
      <c r="BX149" s="358">
        <v>195</v>
      </c>
      <c r="BY149" s="358">
        <v>199</v>
      </c>
      <c r="BZ149" s="358">
        <v>204</v>
      </c>
      <c r="CA149" s="358">
        <v>208</v>
      </c>
      <c r="CB149" s="358">
        <v>215</v>
      </c>
      <c r="CC149" s="358">
        <v>220</v>
      </c>
      <c r="CD149" s="358">
        <v>223</v>
      </c>
      <c r="CE149" s="358">
        <v>227</v>
      </c>
      <c r="CF149" s="358">
        <v>229</v>
      </c>
      <c r="CG149" s="358">
        <v>236</v>
      </c>
      <c r="CH149" s="358">
        <v>238</v>
      </c>
      <c r="CI149" s="358">
        <v>242</v>
      </c>
      <c r="CJ149" s="358">
        <v>245</v>
      </c>
      <c r="CK149" s="358">
        <v>252</v>
      </c>
      <c r="CL149" s="358">
        <v>258</v>
      </c>
      <c r="CM149" s="358">
        <v>262</v>
      </c>
      <c r="CN149" s="358">
        <v>267</v>
      </c>
      <c r="CO149" s="358">
        <v>274</v>
      </c>
      <c r="CP149" s="358">
        <v>285</v>
      </c>
      <c r="CQ149" s="358">
        <v>298</v>
      </c>
      <c r="CR149" s="358">
        <v>303</v>
      </c>
      <c r="CS149" s="358">
        <v>192</v>
      </c>
      <c r="CT149" s="358">
        <v>197</v>
      </c>
      <c r="CU149" s="358">
        <v>203</v>
      </c>
      <c r="CV149" s="358">
        <v>209</v>
      </c>
      <c r="CW149" s="358">
        <v>215</v>
      </c>
      <c r="CX149" s="358">
        <v>220</v>
      </c>
      <c r="CY149" s="358">
        <v>227</v>
      </c>
      <c r="CZ149" s="358">
        <v>230</v>
      </c>
      <c r="DA149" s="358">
        <v>234</v>
      </c>
      <c r="DB149" s="358">
        <v>239</v>
      </c>
      <c r="DC149" s="358">
        <v>250</v>
      </c>
      <c r="DD149" s="358">
        <v>260</v>
      </c>
      <c r="DE149" s="358">
        <v>264</v>
      </c>
      <c r="DF149" s="358">
        <v>270</v>
      </c>
      <c r="DG149" s="358">
        <v>279</v>
      </c>
      <c r="DH149" s="358">
        <v>284</v>
      </c>
      <c r="DI149" s="358">
        <v>291</v>
      </c>
      <c r="DJ149" s="358">
        <v>300</v>
      </c>
      <c r="DK149" s="358">
        <v>307</v>
      </c>
      <c r="DL149" s="358">
        <v>315</v>
      </c>
      <c r="DM149" s="358">
        <v>327</v>
      </c>
      <c r="DN149" s="358">
        <v>330</v>
      </c>
      <c r="DO149" s="358">
        <v>341</v>
      </c>
      <c r="DP149" s="358">
        <v>350</v>
      </c>
      <c r="DQ149" s="358">
        <v>185</v>
      </c>
      <c r="DR149" s="358">
        <v>190</v>
      </c>
      <c r="DS149" s="358">
        <v>194</v>
      </c>
      <c r="DT149" s="358">
        <v>196</v>
      </c>
      <c r="DU149" s="358">
        <v>199</v>
      </c>
      <c r="DV149" s="358">
        <v>200</v>
      </c>
      <c r="DW149" s="358">
        <v>206</v>
      </c>
      <c r="DX149" s="358">
        <v>209</v>
      </c>
      <c r="DY149" s="358">
        <v>215</v>
      </c>
      <c r="DZ149" s="358">
        <v>220</v>
      </c>
      <c r="EA149" s="358">
        <v>224</v>
      </c>
      <c r="EB149" s="358">
        <v>228</v>
      </c>
      <c r="EC149" s="358">
        <v>233</v>
      </c>
      <c r="ED149" s="358">
        <v>239</v>
      </c>
      <c r="EE149" s="358">
        <v>245</v>
      </c>
      <c r="EF149" s="358">
        <v>248</v>
      </c>
      <c r="EG149" s="358">
        <v>252</v>
      </c>
      <c r="EH149" s="358">
        <v>257</v>
      </c>
      <c r="EI149" s="358">
        <v>262</v>
      </c>
      <c r="EJ149" s="358">
        <v>266</v>
      </c>
      <c r="EK149" s="358">
        <v>271</v>
      </c>
      <c r="EL149" s="358">
        <v>275</v>
      </c>
      <c r="EM149" s="358">
        <v>40</v>
      </c>
      <c r="EN149" s="358">
        <v>28</v>
      </c>
      <c r="EO149" s="358">
        <v>17</v>
      </c>
      <c r="EP149" s="358">
        <v>7</v>
      </c>
      <c r="ES149" s="358">
        <v>12</v>
      </c>
      <c r="ET149" s="358">
        <v>17</v>
      </c>
      <c r="EU149" s="358">
        <v>26</v>
      </c>
      <c r="EV149" s="358">
        <v>32</v>
      </c>
      <c r="EW149" s="358">
        <v>70</v>
      </c>
      <c r="EX149" s="358">
        <v>81</v>
      </c>
      <c r="EY149" s="358">
        <v>92</v>
      </c>
      <c r="EZ149" s="358">
        <v>108</v>
      </c>
      <c r="FA149" s="358">
        <v>116</v>
      </c>
      <c r="FB149" s="358">
        <v>126</v>
      </c>
      <c r="FC149" s="358">
        <v>140</v>
      </c>
      <c r="FD149" s="358">
        <v>152</v>
      </c>
      <c r="FE149" s="358">
        <v>159</v>
      </c>
      <c r="FF149" s="358">
        <v>164</v>
      </c>
      <c r="FG149" s="358">
        <v>176</v>
      </c>
      <c r="FH149" s="358">
        <v>185</v>
      </c>
      <c r="FI149" s="358">
        <v>196</v>
      </c>
      <c r="FJ149" s="358">
        <v>202</v>
      </c>
      <c r="FK149" s="358">
        <v>207</v>
      </c>
      <c r="FL149" s="358">
        <v>83</v>
      </c>
      <c r="FM149" s="358">
        <v>93</v>
      </c>
      <c r="FN149" s="358">
        <v>99</v>
      </c>
      <c r="FO149" s="358">
        <v>106</v>
      </c>
      <c r="FP149" s="358">
        <v>119</v>
      </c>
      <c r="FQ149" s="358">
        <v>134</v>
      </c>
      <c r="FR149" s="358">
        <v>142</v>
      </c>
      <c r="FS149" s="358">
        <v>149</v>
      </c>
      <c r="FT149" s="358">
        <v>156</v>
      </c>
      <c r="FU149" s="358">
        <v>163</v>
      </c>
      <c r="FV149" s="358">
        <v>173</v>
      </c>
      <c r="FW149" s="358">
        <v>258</v>
      </c>
      <c r="FX149" s="358">
        <v>305</v>
      </c>
      <c r="FY149" s="358">
        <v>312</v>
      </c>
      <c r="FZ149" s="358">
        <v>340</v>
      </c>
      <c r="GA149" s="358">
        <v>409</v>
      </c>
      <c r="GB149" s="358">
        <v>73</v>
      </c>
      <c r="GC149" s="358">
        <v>297</v>
      </c>
      <c r="GD149" s="358">
        <v>333</v>
      </c>
      <c r="GE149" s="358">
        <v>362</v>
      </c>
      <c r="GF149" s="358">
        <v>354</v>
      </c>
      <c r="GG149" s="358">
        <v>278</v>
      </c>
      <c r="GH149" s="358">
        <v>290</v>
      </c>
      <c r="GI149" s="361">
        <v>316</v>
      </c>
    </row>
    <row r="150" spans="1:191">
      <c r="A150" s="336" t="s">
        <v>349</v>
      </c>
      <c r="GI150" s="361"/>
    </row>
    <row r="151" spans="1:191">
      <c r="A151" s="336" t="s">
        <v>348</v>
      </c>
      <c r="B151" s="358">
        <v>198</v>
      </c>
      <c r="C151" s="358">
        <v>202</v>
      </c>
      <c r="D151" s="358">
        <v>204</v>
      </c>
      <c r="E151" s="358">
        <v>205</v>
      </c>
      <c r="F151" s="358">
        <v>208</v>
      </c>
      <c r="G151" s="358">
        <v>211</v>
      </c>
      <c r="H151" s="358">
        <v>214</v>
      </c>
      <c r="I151" s="358">
        <v>216</v>
      </c>
      <c r="J151" s="358">
        <v>219</v>
      </c>
      <c r="K151" s="358">
        <v>223</v>
      </c>
      <c r="L151" s="358">
        <v>225</v>
      </c>
      <c r="M151" s="358">
        <v>228</v>
      </c>
      <c r="N151" s="358">
        <v>230</v>
      </c>
      <c r="O151" s="358">
        <v>235</v>
      </c>
      <c r="P151" s="358">
        <v>241</v>
      </c>
      <c r="Q151" s="358">
        <v>243</v>
      </c>
      <c r="R151" s="358">
        <v>246</v>
      </c>
      <c r="S151" s="358">
        <v>248</v>
      </c>
      <c r="T151" s="358">
        <v>251</v>
      </c>
      <c r="U151" s="358">
        <v>254</v>
      </c>
      <c r="V151" s="358">
        <v>196</v>
      </c>
      <c r="W151" s="358">
        <v>194</v>
      </c>
      <c r="X151" s="358">
        <v>192</v>
      </c>
      <c r="Y151" s="358">
        <v>190</v>
      </c>
      <c r="Z151" s="358">
        <v>188</v>
      </c>
      <c r="AA151" s="358">
        <v>187</v>
      </c>
      <c r="AB151" s="358">
        <v>185</v>
      </c>
      <c r="AC151" s="358">
        <v>182</v>
      </c>
      <c r="AD151" s="358">
        <v>180</v>
      </c>
      <c r="AE151" s="358">
        <v>175</v>
      </c>
      <c r="AF151" s="358">
        <v>170</v>
      </c>
      <c r="AG151" s="358">
        <v>165</v>
      </c>
      <c r="AH151" s="358">
        <v>164</v>
      </c>
      <c r="AI151" s="358">
        <v>163</v>
      </c>
      <c r="AJ151" s="358">
        <v>159</v>
      </c>
      <c r="AK151" s="358">
        <v>153</v>
      </c>
      <c r="AL151" s="358">
        <v>147</v>
      </c>
      <c r="AM151" s="358">
        <v>142</v>
      </c>
      <c r="AN151" s="358">
        <v>136</v>
      </c>
      <c r="AO151" s="358">
        <v>132</v>
      </c>
      <c r="AP151" s="358">
        <v>126</v>
      </c>
      <c r="AQ151" s="358">
        <v>120</v>
      </c>
      <c r="AR151" s="358">
        <v>116</v>
      </c>
      <c r="AS151" s="358">
        <v>104</v>
      </c>
      <c r="AT151" s="358">
        <v>96</v>
      </c>
      <c r="AU151" s="358">
        <v>86</v>
      </c>
      <c r="AV151" s="358">
        <v>77</v>
      </c>
      <c r="AW151" s="358">
        <v>69</v>
      </c>
      <c r="AX151" s="358">
        <v>201</v>
      </c>
      <c r="AY151" s="358">
        <v>205</v>
      </c>
      <c r="AZ151" s="358">
        <v>206</v>
      </c>
      <c r="BA151" s="358">
        <v>207</v>
      </c>
      <c r="BB151" s="358">
        <v>208</v>
      </c>
      <c r="BC151" s="358">
        <v>211</v>
      </c>
      <c r="BD151" s="358">
        <v>215</v>
      </c>
      <c r="BE151" s="358">
        <v>217</v>
      </c>
      <c r="BF151" s="358">
        <v>218</v>
      </c>
      <c r="BG151" s="358">
        <v>221</v>
      </c>
      <c r="BH151" s="358">
        <v>222</v>
      </c>
      <c r="BI151" s="358">
        <v>223</v>
      </c>
      <c r="BJ151" s="358">
        <v>225</v>
      </c>
      <c r="BK151" s="358">
        <v>226</v>
      </c>
      <c r="BL151" s="358">
        <v>227</v>
      </c>
      <c r="BM151" s="358">
        <v>229</v>
      </c>
      <c r="BN151" s="358">
        <v>230</v>
      </c>
      <c r="BO151" s="358">
        <v>233</v>
      </c>
      <c r="BP151" s="358">
        <v>238</v>
      </c>
      <c r="BQ151" s="358">
        <v>242</v>
      </c>
      <c r="BR151" s="358">
        <v>252</v>
      </c>
      <c r="BS151" s="358">
        <v>259</v>
      </c>
      <c r="BT151" s="358">
        <v>263</v>
      </c>
      <c r="BU151" s="358">
        <v>266</v>
      </c>
      <c r="BV151" s="358">
        <v>203</v>
      </c>
      <c r="BW151" s="358">
        <v>204</v>
      </c>
      <c r="BX151" s="358">
        <v>207</v>
      </c>
      <c r="BY151" s="358">
        <v>211</v>
      </c>
      <c r="BZ151" s="358">
        <v>216</v>
      </c>
      <c r="CA151" s="358">
        <v>220</v>
      </c>
      <c r="CB151" s="358">
        <v>227</v>
      </c>
      <c r="CC151" s="358">
        <v>232</v>
      </c>
      <c r="CD151" s="358">
        <v>235</v>
      </c>
      <c r="CE151" s="358">
        <v>239</v>
      </c>
      <c r="CF151" s="358">
        <v>241</v>
      </c>
      <c r="CG151" s="358">
        <v>248</v>
      </c>
      <c r="CH151" s="358">
        <v>250</v>
      </c>
      <c r="CI151" s="358">
        <v>254</v>
      </c>
      <c r="CJ151" s="358">
        <v>257</v>
      </c>
      <c r="CK151" s="358">
        <v>264</v>
      </c>
      <c r="CL151" s="358">
        <v>270</v>
      </c>
      <c r="CM151" s="358">
        <v>274</v>
      </c>
      <c r="CN151" s="358">
        <v>279</v>
      </c>
      <c r="CO151" s="358">
        <v>286</v>
      </c>
      <c r="CP151" s="358">
        <v>297</v>
      </c>
      <c r="CQ151" s="358">
        <v>310</v>
      </c>
      <c r="CR151" s="358">
        <v>315</v>
      </c>
      <c r="CS151" s="358">
        <v>204</v>
      </c>
      <c r="CT151" s="358">
        <v>209</v>
      </c>
      <c r="CU151" s="358">
        <v>215</v>
      </c>
      <c r="CV151" s="358">
        <v>221</v>
      </c>
      <c r="CW151" s="358">
        <v>227</v>
      </c>
      <c r="CX151" s="358">
        <v>232</v>
      </c>
      <c r="CY151" s="358">
        <v>239</v>
      </c>
      <c r="CZ151" s="358">
        <v>242</v>
      </c>
      <c r="DA151" s="358">
        <v>246</v>
      </c>
      <c r="DB151" s="358">
        <v>251</v>
      </c>
      <c r="DC151" s="358">
        <v>262</v>
      </c>
      <c r="DD151" s="358">
        <v>272</v>
      </c>
      <c r="DE151" s="358">
        <v>276</v>
      </c>
      <c r="DF151" s="358">
        <v>282</v>
      </c>
      <c r="DG151" s="358">
        <v>291</v>
      </c>
      <c r="DH151" s="358">
        <v>296</v>
      </c>
      <c r="DI151" s="358">
        <v>303</v>
      </c>
      <c r="DJ151" s="358">
        <v>312</v>
      </c>
      <c r="DK151" s="358">
        <v>319</v>
      </c>
      <c r="DL151" s="358">
        <v>327</v>
      </c>
      <c r="DM151" s="358">
        <v>339</v>
      </c>
      <c r="DN151" s="358">
        <v>342</v>
      </c>
      <c r="DO151" s="358">
        <v>353</v>
      </c>
      <c r="DP151" s="358">
        <v>362</v>
      </c>
      <c r="DQ151" s="358">
        <v>197</v>
      </c>
      <c r="DR151" s="358">
        <v>202</v>
      </c>
      <c r="DS151" s="358">
        <v>206</v>
      </c>
      <c r="DT151" s="358">
        <v>208</v>
      </c>
      <c r="DU151" s="358">
        <v>211</v>
      </c>
      <c r="DV151" s="358">
        <v>212</v>
      </c>
      <c r="DW151" s="358">
        <v>218</v>
      </c>
      <c r="DX151" s="358">
        <v>221</v>
      </c>
      <c r="DY151" s="358">
        <v>227</v>
      </c>
      <c r="DZ151" s="358">
        <v>232</v>
      </c>
      <c r="EA151" s="358">
        <v>236</v>
      </c>
      <c r="EB151" s="358">
        <v>240</v>
      </c>
      <c r="EC151" s="358">
        <v>245</v>
      </c>
      <c r="ED151" s="358">
        <v>251</v>
      </c>
      <c r="EE151" s="358">
        <v>257</v>
      </c>
      <c r="EF151" s="358">
        <v>260</v>
      </c>
      <c r="EG151" s="358">
        <v>264</v>
      </c>
      <c r="EH151" s="358">
        <v>269</v>
      </c>
      <c r="EI151" s="358">
        <v>274</v>
      </c>
      <c r="EJ151" s="358">
        <v>278</v>
      </c>
      <c r="EK151" s="358">
        <v>283</v>
      </c>
      <c r="EL151" s="358">
        <v>287</v>
      </c>
      <c r="EM151" s="358">
        <v>52</v>
      </c>
      <c r="EN151" s="358">
        <v>40</v>
      </c>
      <c r="EO151" s="358">
        <v>29</v>
      </c>
      <c r="EP151" s="358">
        <v>19</v>
      </c>
      <c r="EQ151" s="358">
        <v>12</v>
      </c>
      <c r="ET151" s="358">
        <v>5</v>
      </c>
      <c r="EU151" s="358">
        <v>14</v>
      </c>
      <c r="EV151" s="358">
        <v>20</v>
      </c>
      <c r="EW151" s="358">
        <v>82</v>
      </c>
      <c r="EX151" s="358">
        <v>93</v>
      </c>
      <c r="EY151" s="358">
        <v>104</v>
      </c>
      <c r="EZ151" s="358">
        <v>120</v>
      </c>
      <c r="FA151" s="358">
        <v>128</v>
      </c>
      <c r="FB151" s="358">
        <v>138</v>
      </c>
      <c r="FC151" s="358">
        <v>152</v>
      </c>
      <c r="FD151" s="358">
        <v>164</v>
      </c>
      <c r="FE151" s="358">
        <v>171</v>
      </c>
      <c r="FF151" s="358">
        <v>176</v>
      </c>
      <c r="FG151" s="358">
        <v>188</v>
      </c>
      <c r="FH151" s="358">
        <v>197</v>
      </c>
      <c r="FI151" s="358">
        <v>208</v>
      </c>
      <c r="FJ151" s="358">
        <v>214</v>
      </c>
      <c r="FK151" s="358">
        <v>219</v>
      </c>
      <c r="FL151" s="358">
        <v>95</v>
      </c>
      <c r="FM151" s="358">
        <v>105</v>
      </c>
      <c r="FN151" s="358">
        <v>111</v>
      </c>
      <c r="FO151" s="358">
        <v>118</v>
      </c>
      <c r="FP151" s="358">
        <v>131</v>
      </c>
      <c r="FQ151" s="358">
        <v>146</v>
      </c>
      <c r="FR151" s="358">
        <v>154</v>
      </c>
      <c r="FS151" s="358">
        <v>161</v>
      </c>
      <c r="FT151" s="358">
        <v>168</v>
      </c>
      <c r="FU151" s="358">
        <v>175</v>
      </c>
      <c r="FV151" s="358">
        <v>185</v>
      </c>
      <c r="FW151" s="358">
        <v>270</v>
      </c>
      <c r="FX151" s="358">
        <v>317</v>
      </c>
      <c r="FY151" s="358">
        <v>324</v>
      </c>
      <c r="FZ151" s="358">
        <v>352</v>
      </c>
      <c r="GA151" s="358">
        <v>421</v>
      </c>
      <c r="GB151" s="358">
        <v>61</v>
      </c>
      <c r="GC151" s="358">
        <v>309</v>
      </c>
      <c r="GD151" s="358">
        <v>345</v>
      </c>
      <c r="GE151" s="358">
        <v>374</v>
      </c>
      <c r="GF151" s="358">
        <v>366</v>
      </c>
      <c r="GG151" s="358">
        <v>290</v>
      </c>
      <c r="GH151" s="358">
        <v>302</v>
      </c>
      <c r="GI151" s="361">
        <v>328</v>
      </c>
    </row>
    <row r="152" spans="1:191">
      <c r="A152" s="336" t="s">
        <v>347</v>
      </c>
      <c r="B152" s="358">
        <v>203</v>
      </c>
      <c r="C152" s="358">
        <v>207</v>
      </c>
      <c r="D152" s="358">
        <v>209</v>
      </c>
      <c r="E152" s="358">
        <v>210</v>
      </c>
      <c r="F152" s="358">
        <v>213</v>
      </c>
      <c r="G152" s="358">
        <v>216</v>
      </c>
      <c r="H152" s="358">
        <v>219</v>
      </c>
      <c r="I152" s="358">
        <v>221</v>
      </c>
      <c r="J152" s="358">
        <v>224</v>
      </c>
      <c r="K152" s="358">
        <v>228</v>
      </c>
      <c r="L152" s="358">
        <v>230</v>
      </c>
      <c r="M152" s="358">
        <v>233</v>
      </c>
      <c r="N152" s="358">
        <v>235</v>
      </c>
      <c r="O152" s="358">
        <v>240</v>
      </c>
      <c r="P152" s="358">
        <v>246</v>
      </c>
      <c r="Q152" s="358">
        <v>248</v>
      </c>
      <c r="R152" s="358">
        <v>251</v>
      </c>
      <c r="S152" s="358">
        <v>253</v>
      </c>
      <c r="T152" s="358">
        <v>256</v>
      </c>
      <c r="U152" s="358">
        <v>259</v>
      </c>
      <c r="V152" s="358">
        <v>201</v>
      </c>
      <c r="W152" s="358">
        <v>199</v>
      </c>
      <c r="X152" s="358">
        <v>197</v>
      </c>
      <c r="Y152" s="358">
        <v>195</v>
      </c>
      <c r="Z152" s="358">
        <v>193</v>
      </c>
      <c r="AA152" s="358">
        <v>192</v>
      </c>
      <c r="AB152" s="358">
        <v>190</v>
      </c>
      <c r="AC152" s="358">
        <v>187</v>
      </c>
      <c r="AD152" s="358">
        <v>185</v>
      </c>
      <c r="AE152" s="358">
        <v>180</v>
      </c>
      <c r="AF152" s="358">
        <v>175</v>
      </c>
      <c r="AG152" s="358">
        <v>170</v>
      </c>
      <c r="AH152" s="358">
        <v>169</v>
      </c>
      <c r="AI152" s="358">
        <v>168</v>
      </c>
      <c r="AJ152" s="358">
        <v>164</v>
      </c>
      <c r="AK152" s="358">
        <v>158</v>
      </c>
      <c r="AL152" s="358">
        <v>152</v>
      </c>
      <c r="AM152" s="358">
        <v>147</v>
      </c>
      <c r="AN152" s="358">
        <v>141</v>
      </c>
      <c r="AO152" s="358">
        <v>137</v>
      </c>
      <c r="AP152" s="358">
        <v>131</v>
      </c>
      <c r="AQ152" s="358">
        <v>125</v>
      </c>
      <c r="AR152" s="358">
        <v>121</v>
      </c>
      <c r="AS152" s="358">
        <v>109</v>
      </c>
      <c r="AT152" s="358">
        <v>101</v>
      </c>
      <c r="AU152" s="358">
        <v>91</v>
      </c>
      <c r="AV152" s="358">
        <v>82</v>
      </c>
      <c r="AW152" s="358">
        <v>74</v>
      </c>
      <c r="AX152" s="358">
        <v>206</v>
      </c>
      <c r="AY152" s="358">
        <v>210</v>
      </c>
      <c r="AZ152" s="358">
        <v>211</v>
      </c>
      <c r="BA152" s="358">
        <v>212</v>
      </c>
      <c r="BB152" s="358">
        <v>213</v>
      </c>
      <c r="BC152" s="358">
        <v>216</v>
      </c>
      <c r="BD152" s="358">
        <v>220</v>
      </c>
      <c r="BE152" s="358">
        <v>222</v>
      </c>
      <c r="BF152" s="358">
        <v>223</v>
      </c>
      <c r="BG152" s="358">
        <v>226</v>
      </c>
      <c r="BH152" s="358">
        <v>227</v>
      </c>
      <c r="BI152" s="358">
        <v>228</v>
      </c>
      <c r="BJ152" s="358">
        <v>230</v>
      </c>
      <c r="BK152" s="358">
        <v>231</v>
      </c>
      <c r="BL152" s="358">
        <v>232</v>
      </c>
      <c r="BM152" s="358">
        <v>234</v>
      </c>
      <c r="BN152" s="358">
        <v>235</v>
      </c>
      <c r="BO152" s="358">
        <v>238</v>
      </c>
      <c r="BP152" s="358">
        <v>243</v>
      </c>
      <c r="BQ152" s="358">
        <v>247</v>
      </c>
      <c r="BR152" s="358">
        <v>257</v>
      </c>
      <c r="BS152" s="358">
        <v>264</v>
      </c>
      <c r="BT152" s="358">
        <v>268</v>
      </c>
      <c r="BU152" s="358">
        <v>271</v>
      </c>
      <c r="BV152" s="358">
        <v>208</v>
      </c>
      <c r="BW152" s="358">
        <v>209</v>
      </c>
      <c r="BX152" s="358">
        <v>212</v>
      </c>
      <c r="BY152" s="358">
        <v>216</v>
      </c>
      <c r="BZ152" s="358">
        <v>221</v>
      </c>
      <c r="CA152" s="358">
        <v>225</v>
      </c>
      <c r="CB152" s="358">
        <v>232</v>
      </c>
      <c r="CC152" s="358">
        <v>237</v>
      </c>
      <c r="CD152" s="358">
        <v>240</v>
      </c>
      <c r="CE152" s="358">
        <v>244</v>
      </c>
      <c r="CF152" s="358">
        <v>246</v>
      </c>
      <c r="CG152" s="358">
        <v>253</v>
      </c>
      <c r="CH152" s="358">
        <v>255</v>
      </c>
      <c r="CI152" s="358">
        <v>259</v>
      </c>
      <c r="CJ152" s="358">
        <v>262</v>
      </c>
      <c r="CK152" s="358">
        <v>269</v>
      </c>
      <c r="CL152" s="358">
        <v>275</v>
      </c>
      <c r="CM152" s="358">
        <v>279</v>
      </c>
      <c r="CN152" s="358">
        <v>284</v>
      </c>
      <c r="CO152" s="358">
        <v>291</v>
      </c>
      <c r="CP152" s="358">
        <v>302</v>
      </c>
      <c r="CQ152" s="358">
        <v>315</v>
      </c>
      <c r="CR152" s="358">
        <v>320</v>
      </c>
      <c r="CS152" s="358">
        <v>209</v>
      </c>
      <c r="CT152" s="358">
        <v>214</v>
      </c>
      <c r="CU152" s="358">
        <v>220</v>
      </c>
      <c r="CV152" s="358">
        <v>226</v>
      </c>
      <c r="CW152" s="358">
        <v>232</v>
      </c>
      <c r="CX152" s="358">
        <v>237</v>
      </c>
      <c r="CY152" s="358">
        <v>244</v>
      </c>
      <c r="CZ152" s="358">
        <v>247</v>
      </c>
      <c r="DA152" s="358">
        <v>251</v>
      </c>
      <c r="DB152" s="358">
        <v>256</v>
      </c>
      <c r="DC152" s="358">
        <v>267</v>
      </c>
      <c r="DD152" s="358">
        <v>277</v>
      </c>
      <c r="DE152" s="358">
        <v>281</v>
      </c>
      <c r="DF152" s="358">
        <v>287</v>
      </c>
      <c r="DG152" s="358">
        <v>296</v>
      </c>
      <c r="DH152" s="358">
        <v>301</v>
      </c>
      <c r="DI152" s="358">
        <v>308</v>
      </c>
      <c r="DJ152" s="358">
        <v>317</v>
      </c>
      <c r="DK152" s="358">
        <v>324</v>
      </c>
      <c r="DL152" s="358">
        <v>332</v>
      </c>
      <c r="DM152" s="358">
        <v>344</v>
      </c>
      <c r="DN152" s="358">
        <v>347</v>
      </c>
      <c r="DO152" s="358">
        <v>358</v>
      </c>
      <c r="DP152" s="358">
        <v>367</v>
      </c>
      <c r="DQ152" s="358">
        <v>202</v>
      </c>
      <c r="DR152" s="358">
        <v>207</v>
      </c>
      <c r="DS152" s="358">
        <v>211</v>
      </c>
      <c r="DT152" s="358">
        <v>213</v>
      </c>
      <c r="DU152" s="358">
        <v>216</v>
      </c>
      <c r="DV152" s="358">
        <v>217</v>
      </c>
      <c r="DW152" s="358">
        <v>223</v>
      </c>
      <c r="DX152" s="358">
        <v>226</v>
      </c>
      <c r="DY152" s="358">
        <v>232</v>
      </c>
      <c r="DZ152" s="358">
        <v>237</v>
      </c>
      <c r="EA152" s="358">
        <v>241</v>
      </c>
      <c r="EB152" s="358">
        <v>245</v>
      </c>
      <c r="EC152" s="358">
        <v>250</v>
      </c>
      <c r="ED152" s="358">
        <v>256</v>
      </c>
      <c r="EE152" s="358">
        <v>262</v>
      </c>
      <c r="EF152" s="358">
        <v>265</v>
      </c>
      <c r="EG152" s="358">
        <v>269</v>
      </c>
      <c r="EH152" s="358">
        <v>274</v>
      </c>
      <c r="EI152" s="358">
        <v>279</v>
      </c>
      <c r="EJ152" s="358">
        <v>283</v>
      </c>
      <c r="EK152" s="358">
        <v>288</v>
      </c>
      <c r="EL152" s="358">
        <v>292</v>
      </c>
      <c r="EM152" s="358">
        <v>57</v>
      </c>
      <c r="EN152" s="358">
        <v>45</v>
      </c>
      <c r="EO152" s="358">
        <v>34</v>
      </c>
      <c r="EP152" s="358">
        <v>24</v>
      </c>
      <c r="EQ152" s="358">
        <v>17</v>
      </c>
      <c r="ES152" s="358">
        <v>5</v>
      </c>
      <c r="EU152" s="358">
        <v>9</v>
      </c>
      <c r="EV152" s="358">
        <v>15</v>
      </c>
      <c r="EW152" s="358">
        <v>87</v>
      </c>
      <c r="EX152" s="358">
        <v>98</v>
      </c>
      <c r="EY152" s="358">
        <v>109</v>
      </c>
      <c r="EZ152" s="358">
        <v>125</v>
      </c>
      <c r="FA152" s="358">
        <v>133</v>
      </c>
      <c r="FB152" s="358">
        <v>143</v>
      </c>
      <c r="FC152" s="358">
        <v>157</v>
      </c>
      <c r="FD152" s="358">
        <v>169</v>
      </c>
      <c r="FE152" s="358">
        <v>176</v>
      </c>
      <c r="FF152" s="358">
        <v>181</v>
      </c>
      <c r="FG152" s="358">
        <v>193</v>
      </c>
      <c r="FH152" s="358">
        <v>202</v>
      </c>
      <c r="FI152" s="358">
        <v>213</v>
      </c>
      <c r="FJ152" s="358">
        <v>219</v>
      </c>
      <c r="FK152" s="358">
        <v>224</v>
      </c>
      <c r="FL152" s="358">
        <v>100</v>
      </c>
      <c r="FM152" s="358">
        <v>110</v>
      </c>
      <c r="FN152" s="358">
        <v>116</v>
      </c>
      <c r="FO152" s="358">
        <v>123</v>
      </c>
      <c r="FP152" s="358">
        <v>136</v>
      </c>
      <c r="FQ152" s="358">
        <v>151</v>
      </c>
      <c r="FR152" s="358">
        <v>159</v>
      </c>
      <c r="FS152" s="358">
        <v>166</v>
      </c>
      <c r="FT152" s="358">
        <v>173</v>
      </c>
      <c r="FU152" s="358">
        <v>180</v>
      </c>
      <c r="FV152" s="358">
        <v>190</v>
      </c>
      <c r="FW152" s="358">
        <v>275</v>
      </c>
      <c r="FX152" s="358">
        <v>322</v>
      </c>
      <c r="FY152" s="358">
        <v>329</v>
      </c>
      <c r="FZ152" s="358">
        <v>357</v>
      </c>
      <c r="GA152" s="358">
        <v>426</v>
      </c>
      <c r="GB152" s="358">
        <v>56</v>
      </c>
      <c r="GC152" s="358">
        <v>314</v>
      </c>
      <c r="GD152" s="358">
        <v>350</v>
      </c>
      <c r="GE152" s="358">
        <v>379</v>
      </c>
      <c r="GF152" s="358">
        <v>371</v>
      </c>
      <c r="GG152" s="358">
        <v>295</v>
      </c>
      <c r="GH152" s="358">
        <v>307</v>
      </c>
      <c r="GI152" s="361">
        <v>333</v>
      </c>
    </row>
    <row r="153" spans="1:191">
      <c r="A153" s="336" t="s">
        <v>346</v>
      </c>
      <c r="B153" s="358">
        <v>212</v>
      </c>
      <c r="C153" s="358">
        <v>216</v>
      </c>
      <c r="D153" s="358">
        <v>218</v>
      </c>
      <c r="E153" s="358">
        <v>219</v>
      </c>
      <c r="F153" s="358">
        <v>222</v>
      </c>
      <c r="G153" s="358">
        <v>225</v>
      </c>
      <c r="H153" s="358">
        <v>228</v>
      </c>
      <c r="I153" s="358">
        <v>230</v>
      </c>
      <c r="J153" s="358">
        <v>233</v>
      </c>
      <c r="K153" s="358">
        <v>237</v>
      </c>
      <c r="L153" s="358">
        <v>239</v>
      </c>
      <c r="M153" s="358">
        <v>242</v>
      </c>
      <c r="N153" s="358">
        <v>244</v>
      </c>
      <c r="O153" s="358">
        <v>249</v>
      </c>
      <c r="P153" s="358">
        <v>255</v>
      </c>
      <c r="Q153" s="358">
        <v>257</v>
      </c>
      <c r="R153" s="358">
        <v>260</v>
      </c>
      <c r="S153" s="358">
        <v>262</v>
      </c>
      <c r="T153" s="358">
        <v>265</v>
      </c>
      <c r="U153" s="358">
        <v>268</v>
      </c>
      <c r="V153" s="358">
        <v>210</v>
      </c>
      <c r="W153" s="358">
        <v>208</v>
      </c>
      <c r="X153" s="358">
        <v>206</v>
      </c>
      <c r="Y153" s="358">
        <v>204</v>
      </c>
      <c r="Z153" s="358">
        <v>202</v>
      </c>
      <c r="AA153" s="358">
        <v>201</v>
      </c>
      <c r="AB153" s="358">
        <v>199</v>
      </c>
      <c r="AC153" s="358">
        <v>196</v>
      </c>
      <c r="AD153" s="358">
        <v>194</v>
      </c>
      <c r="AE153" s="358">
        <v>189</v>
      </c>
      <c r="AF153" s="358">
        <v>184</v>
      </c>
      <c r="AG153" s="358">
        <v>179</v>
      </c>
      <c r="AH153" s="358">
        <v>178</v>
      </c>
      <c r="AI153" s="358">
        <v>177</v>
      </c>
      <c r="AJ153" s="358">
        <v>173</v>
      </c>
      <c r="AK153" s="358">
        <v>167</v>
      </c>
      <c r="AL153" s="358">
        <v>161</v>
      </c>
      <c r="AM153" s="358">
        <v>156</v>
      </c>
      <c r="AN153" s="358">
        <v>150</v>
      </c>
      <c r="AO153" s="358">
        <v>146</v>
      </c>
      <c r="AP153" s="358">
        <v>140</v>
      </c>
      <c r="AQ153" s="358">
        <v>134</v>
      </c>
      <c r="AR153" s="358">
        <v>130</v>
      </c>
      <c r="AS153" s="358">
        <v>118</v>
      </c>
      <c r="AT153" s="358">
        <v>110</v>
      </c>
      <c r="AU153" s="358">
        <v>100</v>
      </c>
      <c r="AV153" s="358">
        <v>91</v>
      </c>
      <c r="AW153" s="358">
        <v>83</v>
      </c>
      <c r="AX153" s="358">
        <v>215</v>
      </c>
      <c r="AY153" s="358">
        <v>219</v>
      </c>
      <c r="AZ153" s="358">
        <v>220</v>
      </c>
      <c r="BA153" s="358">
        <v>221</v>
      </c>
      <c r="BB153" s="358">
        <v>222</v>
      </c>
      <c r="BC153" s="358">
        <v>225</v>
      </c>
      <c r="BD153" s="358">
        <v>229</v>
      </c>
      <c r="BE153" s="358">
        <v>231</v>
      </c>
      <c r="BF153" s="358">
        <v>232</v>
      </c>
      <c r="BG153" s="358">
        <v>235</v>
      </c>
      <c r="BH153" s="358">
        <v>236</v>
      </c>
      <c r="BI153" s="358">
        <v>237</v>
      </c>
      <c r="BJ153" s="358">
        <v>239</v>
      </c>
      <c r="BK153" s="358">
        <v>240</v>
      </c>
      <c r="BL153" s="358">
        <v>241</v>
      </c>
      <c r="BM153" s="358">
        <v>243</v>
      </c>
      <c r="BN153" s="358">
        <v>244</v>
      </c>
      <c r="BO153" s="358">
        <v>247</v>
      </c>
      <c r="BP153" s="358">
        <v>252</v>
      </c>
      <c r="BQ153" s="358">
        <v>256</v>
      </c>
      <c r="BR153" s="358">
        <v>266</v>
      </c>
      <c r="BS153" s="358">
        <v>273</v>
      </c>
      <c r="BT153" s="358">
        <v>277</v>
      </c>
      <c r="BU153" s="358">
        <v>280</v>
      </c>
      <c r="BV153" s="358">
        <v>217</v>
      </c>
      <c r="BW153" s="358">
        <v>218</v>
      </c>
      <c r="BX153" s="358">
        <v>221</v>
      </c>
      <c r="BY153" s="358">
        <v>225</v>
      </c>
      <c r="BZ153" s="358">
        <v>230</v>
      </c>
      <c r="CA153" s="358">
        <v>234</v>
      </c>
      <c r="CB153" s="358">
        <v>241</v>
      </c>
      <c r="CC153" s="358">
        <v>246</v>
      </c>
      <c r="CD153" s="358">
        <v>249</v>
      </c>
      <c r="CE153" s="358">
        <v>253</v>
      </c>
      <c r="CF153" s="358">
        <v>255</v>
      </c>
      <c r="CG153" s="358">
        <v>262</v>
      </c>
      <c r="CH153" s="358">
        <v>264</v>
      </c>
      <c r="CI153" s="358">
        <v>268</v>
      </c>
      <c r="CJ153" s="358">
        <v>271</v>
      </c>
      <c r="CK153" s="358">
        <v>278</v>
      </c>
      <c r="CL153" s="358">
        <v>284</v>
      </c>
      <c r="CM153" s="358">
        <v>288</v>
      </c>
      <c r="CN153" s="358">
        <v>293</v>
      </c>
      <c r="CO153" s="358">
        <v>300</v>
      </c>
      <c r="CP153" s="358">
        <v>311</v>
      </c>
      <c r="CQ153" s="358">
        <v>324</v>
      </c>
      <c r="CR153" s="358">
        <v>329</v>
      </c>
      <c r="CS153" s="358">
        <v>218</v>
      </c>
      <c r="CT153" s="358">
        <v>223</v>
      </c>
      <c r="CU153" s="358">
        <v>229</v>
      </c>
      <c r="CV153" s="358">
        <v>235</v>
      </c>
      <c r="CW153" s="358">
        <v>241</v>
      </c>
      <c r="CX153" s="358">
        <v>246</v>
      </c>
      <c r="CY153" s="358">
        <v>253</v>
      </c>
      <c r="CZ153" s="358">
        <v>256</v>
      </c>
      <c r="DA153" s="358">
        <v>260</v>
      </c>
      <c r="DB153" s="358">
        <v>265</v>
      </c>
      <c r="DC153" s="358">
        <v>276</v>
      </c>
      <c r="DD153" s="358">
        <v>286</v>
      </c>
      <c r="DE153" s="358">
        <v>290</v>
      </c>
      <c r="DF153" s="358">
        <v>296</v>
      </c>
      <c r="DG153" s="358">
        <v>305</v>
      </c>
      <c r="DH153" s="358">
        <v>310</v>
      </c>
      <c r="DI153" s="358">
        <v>317</v>
      </c>
      <c r="DJ153" s="358">
        <v>326</v>
      </c>
      <c r="DK153" s="358">
        <v>333</v>
      </c>
      <c r="DL153" s="358">
        <v>341</v>
      </c>
      <c r="DM153" s="358">
        <v>353</v>
      </c>
      <c r="DN153" s="358">
        <v>356</v>
      </c>
      <c r="DO153" s="358">
        <v>367</v>
      </c>
      <c r="DP153" s="358">
        <v>376</v>
      </c>
      <c r="DQ153" s="358">
        <v>211</v>
      </c>
      <c r="DR153" s="358">
        <v>216</v>
      </c>
      <c r="DS153" s="358">
        <v>220</v>
      </c>
      <c r="DT153" s="358">
        <v>222</v>
      </c>
      <c r="DU153" s="358">
        <v>225</v>
      </c>
      <c r="DV153" s="358">
        <v>226</v>
      </c>
      <c r="DW153" s="358">
        <v>232</v>
      </c>
      <c r="DX153" s="358">
        <v>235</v>
      </c>
      <c r="DY153" s="358">
        <v>241</v>
      </c>
      <c r="DZ153" s="358">
        <v>246</v>
      </c>
      <c r="EA153" s="358">
        <v>250</v>
      </c>
      <c r="EB153" s="358">
        <v>254</v>
      </c>
      <c r="EC153" s="358">
        <v>259</v>
      </c>
      <c r="ED153" s="358">
        <v>265</v>
      </c>
      <c r="EE153" s="358">
        <v>271</v>
      </c>
      <c r="EF153" s="358">
        <v>274</v>
      </c>
      <c r="EG153" s="358">
        <v>278</v>
      </c>
      <c r="EH153" s="358">
        <v>283</v>
      </c>
      <c r="EI153" s="358">
        <v>288</v>
      </c>
      <c r="EJ153" s="358">
        <v>292</v>
      </c>
      <c r="EK153" s="358">
        <v>297</v>
      </c>
      <c r="EL153" s="358">
        <v>301</v>
      </c>
      <c r="EM153" s="358">
        <v>66</v>
      </c>
      <c r="EN153" s="358">
        <v>54</v>
      </c>
      <c r="EO153" s="358">
        <v>43</v>
      </c>
      <c r="EP153" s="358">
        <v>33</v>
      </c>
      <c r="EQ153" s="358">
        <v>26</v>
      </c>
      <c r="ES153" s="358">
        <v>14</v>
      </c>
      <c r="ET153" s="358">
        <v>9</v>
      </c>
      <c r="EV153" s="358">
        <v>6</v>
      </c>
      <c r="EW153" s="358">
        <v>96</v>
      </c>
      <c r="EX153" s="358">
        <v>107</v>
      </c>
      <c r="EY153" s="358">
        <v>118</v>
      </c>
      <c r="EZ153" s="358">
        <v>134</v>
      </c>
      <c r="FA153" s="358">
        <v>142</v>
      </c>
      <c r="FB153" s="358">
        <v>152</v>
      </c>
      <c r="FC153" s="358">
        <v>166</v>
      </c>
      <c r="FD153" s="358">
        <v>178</v>
      </c>
      <c r="FE153" s="358">
        <v>185</v>
      </c>
      <c r="FF153" s="358">
        <v>190</v>
      </c>
      <c r="FG153" s="358">
        <v>202</v>
      </c>
      <c r="FH153" s="358">
        <v>211</v>
      </c>
      <c r="FI153" s="358">
        <v>222</v>
      </c>
      <c r="FJ153" s="358">
        <v>228</v>
      </c>
      <c r="FK153" s="358">
        <v>233</v>
      </c>
      <c r="FL153" s="358">
        <v>109</v>
      </c>
      <c r="FM153" s="358">
        <v>119</v>
      </c>
      <c r="FN153" s="358">
        <v>125</v>
      </c>
      <c r="FO153" s="358">
        <v>132</v>
      </c>
      <c r="FP153" s="358">
        <v>145</v>
      </c>
      <c r="FQ153" s="358">
        <v>160</v>
      </c>
      <c r="FR153" s="358">
        <v>168</v>
      </c>
      <c r="FS153" s="358">
        <v>175</v>
      </c>
      <c r="FT153" s="358">
        <v>182</v>
      </c>
      <c r="FU153" s="358">
        <v>189</v>
      </c>
      <c r="FV153" s="358">
        <v>199</v>
      </c>
      <c r="FW153" s="358">
        <v>284</v>
      </c>
      <c r="FX153" s="358">
        <v>331</v>
      </c>
      <c r="FY153" s="358">
        <v>338</v>
      </c>
      <c r="FZ153" s="358">
        <v>366</v>
      </c>
      <c r="GA153" s="358">
        <v>435</v>
      </c>
      <c r="GB153" s="358">
        <v>47</v>
      </c>
      <c r="GC153" s="358">
        <v>323</v>
      </c>
      <c r="GD153" s="358">
        <v>359</v>
      </c>
      <c r="GE153" s="358">
        <v>388</v>
      </c>
      <c r="GF153" s="358">
        <v>380</v>
      </c>
      <c r="GG153" s="358">
        <v>304</v>
      </c>
      <c r="GH153" s="358">
        <v>316</v>
      </c>
      <c r="GI153" s="361">
        <v>342</v>
      </c>
    </row>
    <row r="154" spans="1:191">
      <c r="A154" s="336" t="s">
        <v>345</v>
      </c>
      <c r="B154" s="358">
        <v>218</v>
      </c>
      <c r="C154" s="358">
        <v>222</v>
      </c>
      <c r="D154" s="358">
        <v>224</v>
      </c>
      <c r="E154" s="358">
        <v>225</v>
      </c>
      <c r="F154" s="358">
        <v>228</v>
      </c>
      <c r="G154" s="358">
        <v>231</v>
      </c>
      <c r="H154" s="358">
        <v>234</v>
      </c>
      <c r="I154" s="358">
        <v>236</v>
      </c>
      <c r="J154" s="358">
        <v>239</v>
      </c>
      <c r="K154" s="358">
        <v>243</v>
      </c>
      <c r="L154" s="358">
        <v>245</v>
      </c>
      <c r="M154" s="358">
        <v>248</v>
      </c>
      <c r="N154" s="358">
        <v>250</v>
      </c>
      <c r="O154" s="358">
        <v>255</v>
      </c>
      <c r="P154" s="358">
        <v>261</v>
      </c>
      <c r="Q154" s="358">
        <v>263</v>
      </c>
      <c r="R154" s="358">
        <v>266</v>
      </c>
      <c r="S154" s="358">
        <v>268</v>
      </c>
      <c r="T154" s="358">
        <v>271</v>
      </c>
      <c r="U154" s="358">
        <v>274</v>
      </c>
      <c r="V154" s="358">
        <v>216</v>
      </c>
      <c r="W154" s="358">
        <v>214</v>
      </c>
      <c r="X154" s="358">
        <v>212</v>
      </c>
      <c r="Y154" s="358">
        <v>210</v>
      </c>
      <c r="Z154" s="358">
        <v>208</v>
      </c>
      <c r="AA154" s="358">
        <v>207</v>
      </c>
      <c r="AB154" s="358">
        <v>205</v>
      </c>
      <c r="AC154" s="358">
        <v>202</v>
      </c>
      <c r="AD154" s="358">
        <v>200</v>
      </c>
      <c r="AE154" s="358">
        <v>195</v>
      </c>
      <c r="AF154" s="358">
        <v>190</v>
      </c>
      <c r="AG154" s="358">
        <v>185</v>
      </c>
      <c r="AH154" s="358">
        <v>184</v>
      </c>
      <c r="AI154" s="358">
        <v>183</v>
      </c>
      <c r="AJ154" s="358">
        <v>179</v>
      </c>
      <c r="AK154" s="358">
        <v>173</v>
      </c>
      <c r="AL154" s="358">
        <v>167</v>
      </c>
      <c r="AM154" s="358">
        <v>162</v>
      </c>
      <c r="AN154" s="358">
        <v>156</v>
      </c>
      <c r="AO154" s="358">
        <v>152</v>
      </c>
      <c r="AP154" s="358">
        <v>146</v>
      </c>
      <c r="AQ154" s="358">
        <v>140</v>
      </c>
      <c r="AR154" s="358">
        <v>136</v>
      </c>
      <c r="AS154" s="358">
        <v>124</v>
      </c>
      <c r="AT154" s="358">
        <v>116</v>
      </c>
      <c r="AU154" s="358">
        <v>106</v>
      </c>
      <c r="AV154" s="358">
        <v>97</v>
      </c>
      <c r="AW154" s="358">
        <v>89</v>
      </c>
      <c r="AX154" s="358">
        <v>221</v>
      </c>
      <c r="AY154" s="358">
        <v>225</v>
      </c>
      <c r="AZ154" s="358">
        <v>226</v>
      </c>
      <c r="BA154" s="358">
        <v>227</v>
      </c>
      <c r="BB154" s="358">
        <v>228</v>
      </c>
      <c r="BC154" s="358">
        <v>231</v>
      </c>
      <c r="BD154" s="358">
        <v>235</v>
      </c>
      <c r="BE154" s="358">
        <v>237</v>
      </c>
      <c r="BF154" s="358">
        <v>238</v>
      </c>
      <c r="BG154" s="358">
        <v>241</v>
      </c>
      <c r="BH154" s="358">
        <v>242</v>
      </c>
      <c r="BI154" s="358">
        <v>243</v>
      </c>
      <c r="BJ154" s="358">
        <v>245</v>
      </c>
      <c r="BK154" s="358">
        <v>246</v>
      </c>
      <c r="BL154" s="358">
        <v>247</v>
      </c>
      <c r="BM154" s="358">
        <v>249</v>
      </c>
      <c r="BN154" s="358">
        <v>250</v>
      </c>
      <c r="BO154" s="358">
        <v>253</v>
      </c>
      <c r="BP154" s="358">
        <v>258</v>
      </c>
      <c r="BQ154" s="358">
        <v>262</v>
      </c>
      <c r="BR154" s="358">
        <v>272</v>
      </c>
      <c r="BS154" s="358">
        <v>279</v>
      </c>
      <c r="BT154" s="358">
        <v>283</v>
      </c>
      <c r="BU154" s="358">
        <v>286</v>
      </c>
      <c r="BV154" s="358">
        <v>223</v>
      </c>
      <c r="BW154" s="358">
        <v>224</v>
      </c>
      <c r="BX154" s="358">
        <v>227</v>
      </c>
      <c r="BY154" s="358">
        <v>231</v>
      </c>
      <c r="BZ154" s="358">
        <v>236</v>
      </c>
      <c r="CA154" s="358">
        <v>240</v>
      </c>
      <c r="CB154" s="358">
        <v>247</v>
      </c>
      <c r="CC154" s="358">
        <v>252</v>
      </c>
      <c r="CD154" s="358">
        <v>255</v>
      </c>
      <c r="CE154" s="358">
        <v>259</v>
      </c>
      <c r="CF154" s="358">
        <v>261</v>
      </c>
      <c r="CG154" s="358">
        <v>268</v>
      </c>
      <c r="CH154" s="358">
        <v>270</v>
      </c>
      <c r="CI154" s="358">
        <v>274</v>
      </c>
      <c r="CJ154" s="358">
        <v>277</v>
      </c>
      <c r="CK154" s="358">
        <v>284</v>
      </c>
      <c r="CL154" s="358">
        <v>290</v>
      </c>
      <c r="CM154" s="358">
        <v>294</v>
      </c>
      <c r="CN154" s="358">
        <v>299</v>
      </c>
      <c r="CO154" s="358">
        <v>306</v>
      </c>
      <c r="CP154" s="358">
        <v>317</v>
      </c>
      <c r="CQ154" s="358">
        <v>330</v>
      </c>
      <c r="CR154" s="358">
        <v>335</v>
      </c>
      <c r="CS154" s="358">
        <v>224</v>
      </c>
      <c r="CT154" s="358">
        <v>229</v>
      </c>
      <c r="CU154" s="358">
        <v>235</v>
      </c>
      <c r="CV154" s="358">
        <v>241</v>
      </c>
      <c r="CW154" s="358">
        <v>247</v>
      </c>
      <c r="CX154" s="358">
        <v>252</v>
      </c>
      <c r="CY154" s="358">
        <v>259</v>
      </c>
      <c r="CZ154" s="358">
        <v>262</v>
      </c>
      <c r="DA154" s="358">
        <v>266</v>
      </c>
      <c r="DB154" s="358">
        <v>271</v>
      </c>
      <c r="DC154" s="358">
        <v>282</v>
      </c>
      <c r="DD154" s="358">
        <v>292</v>
      </c>
      <c r="DE154" s="358">
        <v>296</v>
      </c>
      <c r="DF154" s="358">
        <v>302</v>
      </c>
      <c r="DG154" s="358">
        <v>311</v>
      </c>
      <c r="DH154" s="358">
        <v>316</v>
      </c>
      <c r="DI154" s="358">
        <v>323</v>
      </c>
      <c r="DJ154" s="358">
        <v>332</v>
      </c>
      <c r="DK154" s="358">
        <v>339</v>
      </c>
      <c r="DL154" s="358">
        <v>347</v>
      </c>
      <c r="DM154" s="358">
        <v>359</v>
      </c>
      <c r="DN154" s="358">
        <v>362</v>
      </c>
      <c r="DO154" s="358">
        <v>373</v>
      </c>
      <c r="DP154" s="358">
        <v>382</v>
      </c>
      <c r="DQ154" s="358">
        <v>217</v>
      </c>
      <c r="DR154" s="358">
        <v>222</v>
      </c>
      <c r="DS154" s="358">
        <v>226</v>
      </c>
      <c r="DT154" s="358">
        <v>228</v>
      </c>
      <c r="DU154" s="358">
        <v>231</v>
      </c>
      <c r="DV154" s="358">
        <v>232</v>
      </c>
      <c r="DW154" s="358">
        <v>238</v>
      </c>
      <c r="DX154" s="358">
        <v>241</v>
      </c>
      <c r="DY154" s="358">
        <v>247</v>
      </c>
      <c r="DZ154" s="358">
        <v>252</v>
      </c>
      <c r="EA154" s="358">
        <v>256</v>
      </c>
      <c r="EB154" s="358">
        <v>260</v>
      </c>
      <c r="EC154" s="358">
        <v>265</v>
      </c>
      <c r="ED154" s="358">
        <v>271</v>
      </c>
      <c r="EE154" s="358">
        <v>277</v>
      </c>
      <c r="EF154" s="358">
        <v>280</v>
      </c>
      <c r="EG154" s="358">
        <v>284</v>
      </c>
      <c r="EH154" s="358">
        <v>289</v>
      </c>
      <c r="EI154" s="358">
        <v>294</v>
      </c>
      <c r="EJ154" s="358">
        <v>298</v>
      </c>
      <c r="EK154" s="358">
        <v>303</v>
      </c>
      <c r="EL154" s="358">
        <v>307</v>
      </c>
      <c r="EM154" s="358">
        <v>72</v>
      </c>
      <c r="EN154" s="358">
        <v>60</v>
      </c>
      <c r="EO154" s="358">
        <v>49</v>
      </c>
      <c r="EP154" s="358">
        <v>39</v>
      </c>
      <c r="EQ154" s="358">
        <v>32</v>
      </c>
      <c r="ES154" s="358">
        <v>20</v>
      </c>
      <c r="ET154" s="358">
        <v>15</v>
      </c>
      <c r="EU154" s="358">
        <v>6</v>
      </c>
      <c r="EW154" s="358">
        <v>102</v>
      </c>
      <c r="EX154" s="358">
        <v>113</v>
      </c>
      <c r="EY154" s="358">
        <v>124</v>
      </c>
      <c r="EZ154" s="358">
        <v>140</v>
      </c>
      <c r="FA154" s="358">
        <v>148</v>
      </c>
      <c r="FB154" s="358">
        <v>158</v>
      </c>
      <c r="FC154" s="358">
        <v>172</v>
      </c>
      <c r="FD154" s="358">
        <v>184</v>
      </c>
      <c r="FE154" s="358">
        <v>191</v>
      </c>
      <c r="FF154" s="358">
        <v>196</v>
      </c>
      <c r="FG154" s="358">
        <v>208</v>
      </c>
      <c r="FH154" s="358">
        <v>217</v>
      </c>
      <c r="FI154" s="358">
        <v>228</v>
      </c>
      <c r="FJ154" s="358">
        <v>234</v>
      </c>
      <c r="FK154" s="358">
        <v>239</v>
      </c>
      <c r="FL154" s="358">
        <v>115</v>
      </c>
      <c r="FM154" s="358">
        <v>125</v>
      </c>
      <c r="FN154" s="358">
        <v>131</v>
      </c>
      <c r="FO154" s="358">
        <v>138</v>
      </c>
      <c r="FP154" s="358">
        <v>151</v>
      </c>
      <c r="FQ154" s="358">
        <v>166</v>
      </c>
      <c r="FR154" s="358">
        <v>174</v>
      </c>
      <c r="FS154" s="358">
        <v>181</v>
      </c>
      <c r="FT154" s="358">
        <v>188</v>
      </c>
      <c r="FU154" s="358">
        <v>195</v>
      </c>
      <c r="FV154" s="358">
        <v>205</v>
      </c>
      <c r="FW154" s="358">
        <v>290</v>
      </c>
      <c r="FX154" s="358">
        <v>337</v>
      </c>
      <c r="FY154" s="358">
        <v>344</v>
      </c>
      <c r="FZ154" s="358">
        <v>372</v>
      </c>
      <c r="GA154" s="358">
        <v>441</v>
      </c>
      <c r="GB154" s="358">
        <v>41</v>
      </c>
      <c r="GC154" s="358">
        <v>329</v>
      </c>
      <c r="GD154" s="358">
        <v>365</v>
      </c>
      <c r="GE154" s="358">
        <v>394</v>
      </c>
      <c r="GF154" s="358">
        <v>386</v>
      </c>
      <c r="GG154" s="358">
        <v>310</v>
      </c>
      <c r="GH154" s="358">
        <v>322</v>
      </c>
      <c r="GI154" s="361">
        <v>348</v>
      </c>
    </row>
    <row r="155" spans="1:191">
      <c r="A155" s="336" t="s">
        <v>344</v>
      </c>
      <c r="B155" s="358">
        <v>142</v>
      </c>
      <c r="C155" s="358">
        <v>146</v>
      </c>
      <c r="D155" s="358">
        <v>148</v>
      </c>
      <c r="E155" s="358">
        <v>149</v>
      </c>
      <c r="F155" s="358">
        <v>152</v>
      </c>
      <c r="G155" s="358">
        <v>155</v>
      </c>
      <c r="H155" s="358">
        <v>158</v>
      </c>
      <c r="I155" s="358">
        <v>160</v>
      </c>
      <c r="J155" s="358">
        <v>163</v>
      </c>
      <c r="K155" s="358">
        <v>167</v>
      </c>
      <c r="L155" s="358">
        <v>169</v>
      </c>
      <c r="M155" s="358">
        <v>172</v>
      </c>
      <c r="N155" s="358">
        <v>174</v>
      </c>
      <c r="O155" s="358">
        <v>179</v>
      </c>
      <c r="P155" s="358">
        <v>185</v>
      </c>
      <c r="Q155" s="358">
        <v>187</v>
      </c>
      <c r="R155" s="358">
        <v>190</v>
      </c>
      <c r="S155" s="358">
        <v>192</v>
      </c>
      <c r="T155" s="358">
        <v>195</v>
      </c>
      <c r="U155" s="358">
        <v>198</v>
      </c>
      <c r="V155" s="358">
        <v>140</v>
      </c>
      <c r="W155" s="358">
        <v>138</v>
      </c>
      <c r="X155" s="358">
        <v>136</v>
      </c>
      <c r="Y155" s="358">
        <v>134</v>
      </c>
      <c r="Z155" s="358">
        <v>132</v>
      </c>
      <c r="AA155" s="358">
        <v>131</v>
      </c>
      <c r="AB155" s="358">
        <v>129</v>
      </c>
      <c r="AC155" s="358">
        <v>126</v>
      </c>
      <c r="AD155" s="358">
        <v>124</v>
      </c>
      <c r="AE155" s="358">
        <v>119</v>
      </c>
      <c r="AF155" s="358">
        <v>114</v>
      </c>
      <c r="AG155" s="358">
        <v>109</v>
      </c>
      <c r="AH155" s="358">
        <v>108</v>
      </c>
      <c r="AI155" s="358">
        <v>107</v>
      </c>
      <c r="AJ155" s="358">
        <v>103</v>
      </c>
      <c r="AK155" s="358">
        <v>97</v>
      </c>
      <c r="AL155" s="358">
        <v>91</v>
      </c>
      <c r="AM155" s="358">
        <v>86</v>
      </c>
      <c r="AN155" s="358">
        <v>80</v>
      </c>
      <c r="AO155" s="358">
        <v>76</v>
      </c>
      <c r="AP155" s="358">
        <v>70</v>
      </c>
      <c r="AQ155" s="358">
        <v>64</v>
      </c>
      <c r="AR155" s="358">
        <v>60</v>
      </c>
      <c r="AS155" s="358">
        <v>48</v>
      </c>
      <c r="AT155" s="358">
        <v>40</v>
      </c>
      <c r="AU155" s="358">
        <v>30</v>
      </c>
      <c r="AV155" s="358">
        <v>21</v>
      </c>
      <c r="AW155" s="358">
        <v>13</v>
      </c>
      <c r="AX155" s="358">
        <v>145</v>
      </c>
      <c r="AY155" s="358">
        <v>149</v>
      </c>
      <c r="AZ155" s="358">
        <v>150</v>
      </c>
      <c r="BA155" s="358">
        <v>151</v>
      </c>
      <c r="BB155" s="358">
        <v>152</v>
      </c>
      <c r="BC155" s="358">
        <v>155</v>
      </c>
      <c r="BD155" s="358">
        <v>159</v>
      </c>
      <c r="BE155" s="358">
        <v>161</v>
      </c>
      <c r="BF155" s="358">
        <v>162</v>
      </c>
      <c r="BG155" s="358">
        <v>165</v>
      </c>
      <c r="BH155" s="358">
        <v>166</v>
      </c>
      <c r="BI155" s="358">
        <v>167</v>
      </c>
      <c r="BJ155" s="358">
        <v>169</v>
      </c>
      <c r="BK155" s="358">
        <v>170</v>
      </c>
      <c r="BL155" s="358">
        <v>171</v>
      </c>
      <c r="BM155" s="358">
        <v>173</v>
      </c>
      <c r="BN155" s="358">
        <v>174</v>
      </c>
      <c r="BO155" s="358">
        <v>177</v>
      </c>
      <c r="BP155" s="358">
        <v>182</v>
      </c>
      <c r="BQ155" s="358">
        <v>186</v>
      </c>
      <c r="BR155" s="358">
        <v>196</v>
      </c>
      <c r="BS155" s="358">
        <v>203</v>
      </c>
      <c r="BT155" s="358">
        <v>207</v>
      </c>
      <c r="BU155" s="358">
        <v>210</v>
      </c>
      <c r="BV155" s="358">
        <v>147</v>
      </c>
      <c r="BW155" s="358">
        <v>148</v>
      </c>
      <c r="BX155" s="358">
        <v>151</v>
      </c>
      <c r="BY155" s="358">
        <v>155</v>
      </c>
      <c r="BZ155" s="358">
        <v>160</v>
      </c>
      <c r="CA155" s="358">
        <v>164</v>
      </c>
      <c r="CB155" s="358">
        <v>171</v>
      </c>
      <c r="CC155" s="358">
        <v>176</v>
      </c>
      <c r="CD155" s="358">
        <v>179</v>
      </c>
      <c r="CE155" s="358">
        <v>183</v>
      </c>
      <c r="CF155" s="358">
        <v>185</v>
      </c>
      <c r="CG155" s="358">
        <v>192</v>
      </c>
      <c r="CH155" s="358">
        <v>194</v>
      </c>
      <c r="CI155" s="358">
        <v>198</v>
      </c>
      <c r="CJ155" s="358">
        <v>201</v>
      </c>
      <c r="CK155" s="358">
        <v>208</v>
      </c>
      <c r="CL155" s="358">
        <v>214</v>
      </c>
      <c r="CM155" s="358">
        <v>218</v>
      </c>
      <c r="CN155" s="358">
        <v>223</v>
      </c>
      <c r="CO155" s="358">
        <v>230</v>
      </c>
      <c r="CP155" s="358">
        <v>241</v>
      </c>
      <c r="CQ155" s="358">
        <v>254</v>
      </c>
      <c r="CR155" s="358">
        <v>259</v>
      </c>
      <c r="CS155" s="358">
        <v>148</v>
      </c>
      <c r="CT155" s="358">
        <v>153</v>
      </c>
      <c r="CU155" s="358">
        <v>159</v>
      </c>
      <c r="CV155" s="358">
        <v>165</v>
      </c>
      <c r="CW155" s="358">
        <v>171</v>
      </c>
      <c r="CX155" s="358">
        <v>176</v>
      </c>
      <c r="CY155" s="358">
        <v>183</v>
      </c>
      <c r="CZ155" s="358">
        <v>186</v>
      </c>
      <c r="DA155" s="358">
        <v>190</v>
      </c>
      <c r="DB155" s="358">
        <v>195</v>
      </c>
      <c r="DC155" s="358">
        <v>206</v>
      </c>
      <c r="DD155" s="358">
        <v>216</v>
      </c>
      <c r="DE155" s="358">
        <v>220</v>
      </c>
      <c r="DF155" s="358">
        <v>226</v>
      </c>
      <c r="DG155" s="358">
        <v>235</v>
      </c>
      <c r="DH155" s="358">
        <v>240</v>
      </c>
      <c r="DI155" s="358">
        <v>247</v>
      </c>
      <c r="DJ155" s="358">
        <v>256</v>
      </c>
      <c r="DK155" s="358">
        <v>263</v>
      </c>
      <c r="DL155" s="358">
        <v>271</v>
      </c>
      <c r="DM155" s="358">
        <v>283</v>
      </c>
      <c r="DN155" s="358">
        <v>286</v>
      </c>
      <c r="DO155" s="358">
        <v>297</v>
      </c>
      <c r="DP155" s="358">
        <v>306</v>
      </c>
      <c r="DQ155" s="358">
        <v>141</v>
      </c>
      <c r="DR155" s="358">
        <v>146</v>
      </c>
      <c r="DS155" s="358">
        <v>150</v>
      </c>
      <c r="DT155" s="358">
        <v>152</v>
      </c>
      <c r="DU155" s="358">
        <v>155</v>
      </c>
      <c r="DV155" s="358">
        <v>156</v>
      </c>
      <c r="DW155" s="358">
        <v>162</v>
      </c>
      <c r="DX155" s="358">
        <v>165</v>
      </c>
      <c r="DY155" s="358">
        <v>171</v>
      </c>
      <c r="DZ155" s="358">
        <v>176</v>
      </c>
      <c r="EA155" s="358">
        <v>180</v>
      </c>
      <c r="EB155" s="358">
        <v>184</v>
      </c>
      <c r="EC155" s="358">
        <v>189</v>
      </c>
      <c r="ED155" s="358">
        <v>195</v>
      </c>
      <c r="EE155" s="358">
        <v>201</v>
      </c>
      <c r="EF155" s="358">
        <v>204</v>
      </c>
      <c r="EG155" s="358">
        <v>208</v>
      </c>
      <c r="EH155" s="358">
        <v>213</v>
      </c>
      <c r="EI155" s="358">
        <v>218</v>
      </c>
      <c r="EJ155" s="358">
        <v>222</v>
      </c>
      <c r="EK155" s="358">
        <v>227</v>
      </c>
      <c r="EL155" s="358">
        <v>231</v>
      </c>
      <c r="EM155" s="358">
        <v>30</v>
      </c>
      <c r="EN155" s="358">
        <v>42</v>
      </c>
      <c r="EO155" s="358">
        <v>53</v>
      </c>
      <c r="EP155" s="358">
        <v>63</v>
      </c>
      <c r="EQ155" s="358">
        <v>70</v>
      </c>
      <c r="ES155" s="358">
        <v>82</v>
      </c>
      <c r="ET155" s="358">
        <v>87</v>
      </c>
      <c r="EU155" s="358">
        <v>96</v>
      </c>
      <c r="EV155" s="358">
        <v>102</v>
      </c>
      <c r="EX155" s="358">
        <v>11</v>
      </c>
      <c r="EY155" s="358">
        <v>22</v>
      </c>
      <c r="EZ155" s="358">
        <v>38</v>
      </c>
      <c r="FA155" s="358">
        <v>46</v>
      </c>
      <c r="FB155" s="358">
        <v>56</v>
      </c>
      <c r="FC155" s="358">
        <v>70</v>
      </c>
      <c r="FD155" s="358">
        <v>82</v>
      </c>
      <c r="FE155" s="358">
        <v>89</v>
      </c>
      <c r="FF155" s="358">
        <v>94</v>
      </c>
      <c r="FG155" s="358">
        <v>106</v>
      </c>
      <c r="FH155" s="358">
        <v>115</v>
      </c>
      <c r="FI155" s="358">
        <v>126</v>
      </c>
      <c r="FJ155" s="358">
        <v>132</v>
      </c>
      <c r="FK155" s="358">
        <v>137</v>
      </c>
      <c r="FL155" s="358">
        <v>39</v>
      </c>
      <c r="FM155" s="358">
        <v>49</v>
      </c>
      <c r="FN155" s="358">
        <v>55</v>
      </c>
      <c r="FO155" s="358">
        <v>62</v>
      </c>
      <c r="FP155" s="358">
        <v>75</v>
      </c>
      <c r="FQ155" s="358">
        <v>90</v>
      </c>
      <c r="FR155" s="358">
        <v>98</v>
      </c>
      <c r="FS155" s="358">
        <v>105</v>
      </c>
      <c r="FT155" s="358">
        <v>112</v>
      </c>
      <c r="FU155" s="358">
        <v>119</v>
      </c>
      <c r="FV155" s="358">
        <v>129</v>
      </c>
      <c r="FW155" s="358">
        <v>214</v>
      </c>
      <c r="FX155" s="358">
        <v>261</v>
      </c>
      <c r="FY155" s="358">
        <v>268</v>
      </c>
      <c r="FZ155" s="358">
        <v>296</v>
      </c>
      <c r="GA155" s="358">
        <v>365</v>
      </c>
      <c r="GB155" s="358">
        <v>143</v>
      </c>
      <c r="GC155" s="358">
        <v>253</v>
      </c>
      <c r="GD155" s="358">
        <v>289</v>
      </c>
      <c r="GE155" s="358">
        <v>318</v>
      </c>
      <c r="GF155" s="358">
        <v>310</v>
      </c>
      <c r="GG155" s="358">
        <v>234</v>
      </c>
      <c r="GH155" s="358">
        <v>246</v>
      </c>
      <c r="GI155" s="361">
        <v>272</v>
      </c>
    </row>
    <row r="156" spans="1:191">
      <c r="A156" s="336" t="s">
        <v>343</v>
      </c>
      <c r="B156" s="358">
        <v>153</v>
      </c>
      <c r="C156" s="358">
        <v>157</v>
      </c>
      <c r="D156" s="358">
        <v>159</v>
      </c>
      <c r="E156" s="358">
        <v>160</v>
      </c>
      <c r="F156" s="358">
        <v>163</v>
      </c>
      <c r="G156" s="358">
        <v>166</v>
      </c>
      <c r="H156" s="358">
        <v>169</v>
      </c>
      <c r="I156" s="358">
        <v>171</v>
      </c>
      <c r="J156" s="358">
        <v>174</v>
      </c>
      <c r="K156" s="358">
        <v>178</v>
      </c>
      <c r="L156" s="358">
        <v>180</v>
      </c>
      <c r="M156" s="358">
        <v>183</v>
      </c>
      <c r="N156" s="358">
        <v>185</v>
      </c>
      <c r="O156" s="358">
        <v>190</v>
      </c>
      <c r="P156" s="358">
        <v>196</v>
      </c>
      <c r="Q156" s="358">
        <v>198</v>
      </c>
      <c r="R156" s="358">
        <v>201</v>
      </c>
      <c r="S156" s="358">
        <v>203</v>
      </c>
      <c r="T156" s="358">
        <v>206</v>
      </c>
      <c r="U156" s="358">
        <v>209</v>
      </c>
      <c r="V156" s="358">
        <v>151</v>
      </c>
      <c r="W156" s="358">
        <v>149</v>
      </c>
      <c r="X156" s="358">
        <v>147</v>
      </c>
      <c r="Y156" s="358">
        <v>145</v>
      </c>
      <c r="Z156" s="358">
        <v>143</v>
      </c>
      <c r="AA156" s="358">
        <v>142</v>
      </c>
      <c r="AB156" s="358">
        <v>140</v>
      </c>
      <c r="AC156" s="358">
        <v>137</v>
      </c>
      <c r="AD156" s="358">
        <v>135</v>
      </c>
      <c r="AE156" s="358">
        <v>130</v>
      </c>
      <c r="AF156" s="358">
        <v>125</v>
      </c>
      <c r="AG156" s="358">
        <v>120</v>
      </c>
      <c r="AH156" s="358">
        <v>119</v>
      </c>
      <c r="AI156" s="358">
        <v>118</v>
      </c>
      <c r="AJ156" s="358">
        <v>114</v>
      </c>
      <c r="AK156" s="358">
        <v>108</v>
      </c>
      <c r="AL156" s="358">
        <v>102</v>
      </c>
      <c r="AM156" s="358">
        <v>97</v>
      </c>
      <c r="AN156" s="358">
        <v>91</v>
      </c>
      <c r="AO156" s="358">
        <v>87</v>
      </c>
      <c r="AP156" s="358">
        <v>81</v>
      </c>
      <c r="AQ156" s="358">
        <v>75</v>
      </c>
      <c r="AR156" s="358">
        <v>71</v>
      </c>
      <c r="AS156" s="358">
        <v>59</v>
      </c>
      <c r="AT156" s="358">
        <v>51</v>
      </c>
      <c r="AU156" s="358">
        <v>41</v>
      </c>
      <c r="AV156" s="358">
        <v>32</v>
      </c>
      <c r="AW156" s="358">
        <v>24</v>
      </c>
      <c r="AX156" s="358">
        <v>156</v>
      </c>
      <c r="AY156" s="358">
        <v>160</v>
      </c>
      <c r="AZ156" s="358">
        <v>161</v>
      </c>
      <c r="BA156" s="358">
        <v>162</v>
      </c>
      <c r="BB156" s="358">
        <v>163</v>
      </c>
      <c r="BC156" s="358">
        <v>166</v>
      </c>
      <c r="BD156" s="358">
        <v>170</v>
      </c>
      <c r="BE156" s="358">
        <v>172</v>
      </c>
      <c r="BF156" s="358">
        <v>173</v>
      </c>
      <c r="BG156" s="358">
        <v>176</v>
      </c>
      <c r="BH156" s="358">
        <v>177</v>
      </c>
      <c r="BI156" s="358">
        <v>178</v>
      </c>
      <c r="BJ156" s="358">
        <v>180</v>
      </c>
      <c r="BK156" s="358">
        <v>181</v>
      </c>
      <c r="BL156" s="358">
        <v>182</v>
      </c>
      <c r="BM156" s="358">
        <v>184</v>
      </c>
      <c r="BN156" s="358">
        <v>185</v>
      </c>
      <c r="BO156" s="358">
        <v>188</v>
      </c>
      <c r="BP156" s="358">
        <v>193</v>
      </c>
      <c r="BQ156" s="358">
        <v>197</v>
      </c>
      <c r="BR156" s="358">
        <v>207</v>
      </c>
      <c r="BS156" s="358">
        <v>214</v>
      </c>
      <c r="BT156" s="358">
        <v>218</v>
      </c>
      <c r="BU156" s="358">
        <v>221</v>
      </c>
      <c r="BV156" s="358">
        <v>158</v>
      </c>
      <c r="BW156" s="358">
        <v>159</v>
      </c>
      <c r="BX156" s="358">
        <v>162</v>
      </c>
      <c r="BY156" s="358">
        <v>166</v>
      </c>
      <c r="BZ156" s="358">
        <v>171</v>
      </c>
      <c r="CA156" s="358">
        <v>175</v>
      </c>
      <c r="CB156" s="358">
        <v>182</v>
      </c>
      <c r="CC156" s="358">
        <v>187</v>
      </c>
      <c r="CD156" s="358">
        <v>190</v>
      </c>
      <c r="CE156" s="358">
        <v>194</v>
      </c>
      <c r="CF156" s="358">
        <v>196</v>
      </c>
      <c r="CG156" s="358">
        <v>203</v>
      </c>
      <c r="CH156" s="358">
        <v>205</v>
      </c>
      <c r="CI156" s="358">
        <v>209</v>
      </c>
      <c r="CJ156" s="358">
        <v>212</v>
      </c>
      <c r="CK156" s="358">
        <v>219</v>
      </c>
      <c r="CL156" s="358">
        <v>225</v>
      </c>
      <c r="CM156" s="358">
        <v>229</v>
      </c>
      <c r="CN156" s="358">
        <v>234</v>
      </c>
      <c r="CO156" s="358">
        <v>241</v>
      </c>
      <c r="CP156" s="358">
        <v>252</v>
      </c>
      <c r="CQ156" s="358">
        <v>265</v>
      </c>
      <c r="CR156" s="358">
        <v>270</v>
      </c>
      <c r="CS156" s="358">
        <v>159</v>
      </c>
      <c r="CT156" s="358">
        <v>164</v>
      </c>
      <c r="CU156" s="358">
        <v>170</v>
      </c>
      <c r="CV156" s="358">
        <v>176</v>
      </c>
      <c r="CW156" s="358">
        <v>182</v>
      </c>
      <c r="CX156" s="358">
        <v>187</v>
      </c>
      <c r="CY156" s="358">
        <v>194</v>
      </c>
      <c r="CZ156" s="358">
        <v>197</v>
      </c>
      <c r="DA156" s="358">
        <v>201</v>
      </c>
      <c r="DB156" s="358">
        <v>206</v>
      </c>
      <c r="DC156" s="358">
        <v>217</v>
      </c>
      <c r="DD156" s="358">
        <v>227</v>
      </c>
      <c r="DE156" s="358">
        <v>231</v>
      </c>
      <c r="DF156" s="358">
        <v>237</v>
      </c>
      <c r="DG156" s="358">
        <v>246</v>
      </c>
      <c r="DH156" s="358">
        <v>251</v>
      </c>
      <c r="DI156" s="358">
        <v>258</v>
      </c>
      <c r="DJ156" s="358">
        <v>267</v>
      </c>
      <c r="DK156" s="358">
        <v>274</v>
      </c>
      <c r="DL156" s="358">
        <v>282</v>
      </c>
      <c r="DM156" s="358">
        <v>294</v>
      </c>
      <c r="DN156" s="358">
        <v>297</v>
      </c>
      <c r="DO156" s="358">
        <v>308</v>
      </c>
      <c r="DP156" s="358">
        <v>317</v>
      </c>
      <c r="DQ156" s="358">
        <v>152</v>
      </c>
      <c r="DR156" s="358">
        <v>157</v>
      </c>
      <c r="DS156" s="358">
        <v>161</v>
      </c>
      <c r="DT156" s="358">
        <v>163</v>
      </c>
      <c r="DU156" s="358">
        <v>166</v>
      </c>
      <c r="DV156" s="358">
        <v>167</v>
      </c>
      <c r="DW156" s="358">
        <v>173</v>
      </c>
      <c r="DX156" s="358">
        <v>176</v>
      </c>
      <c r="DY156" s="358">
        <v>182</v>
      </c>
      <c r="DZ156" s="358">
        <v>187</v>
      </c>
      <c r="EA156" s="358">
        <v>191</v>
      </c>
      <c r="EB156" s="358">
        <v>195</v>
      </c>
      <c r="EC156" s="358">
        <v>200</v>
      </c>
      <c r="ED156" s="358">
        <v>206</v>
      </c>
      <c r="EE156" s="358">
        <v>212</v>
      </c>
      <c r="EF156" s="358">
        <v>215</v>
      </c>
      <c r="EG156" s="358">
        <v>219</v>
      </c>
      <c r="EH156" s="358">
        <v>224</v>
      </c>
      <c r="EI156" s="358">
        <v>229</v>
      </c>
      <c r="EJ156" s="358">
        <v>233</v>
      </c>
      <c r="EK156" s="358">
        <v>238</v>
      </c>
      <c r="EL156" s="358">
        <v>242</v>
      </c>
      <c r="EM156" s="358">
        <v>41</v>
      </c>
      <c r="EN156" s="358">
        <v>53</v>
      </c>
      <c r="EO156" s="358">
        <v>64</v>
      </c>
      <c r="EP156" s="358">
        <v>74</v>
      </c>
      <c r="EQ156" s="358">
        <v>81</v>
      </c>
      <c r="ES156" s="358">
        <v>93</v>
      </c>
      <c r="ET156" s="358">
        <v>98</v>
      </c>
      <c r="EU156" s="358">
        <v>107</v>
      </c>
      <c r="EV156" s="358">
        <v>113</v>
      </c>
      <c r="EW156" s="358">
        <v>11</v>
      </c>
      <c r="EY156" s="358">
        <v>11</v>
      </c>
      <c r="EZ156" s="358">
        <v>27</v>
      </c>
      <c r="FA156" s="358">
        <v>35</v>
      </c>
      <c r="FB156" s="358">
        <v>45</v>
      </c>
      <c r="FC156" s="358">
        <v>59</v>
      </c>
      <c r="FD156" s="358">
        <v>71</v>
      </c>
      <c r="FE156" s="358">
        <v>78</v>
      </c>
      <c r="FF156" s="358">
        <v>83</v>
      </c>
      <c r="FG156" s="358">
        <v>95</v>
      </c>
      <c r="FH156" s="358">
        <v>104</v>
      </c>
      <c r="FI156" s="358">
        <v>115</v>
      </c>
      <c r="FJ156" s="358">
        <v>121</v>
      </c>
      <c r="FK156" s="358">
        <v>126</v>
      </c>
      <c r="FL156" s="358">
        <v>50</v>
      </c>
      <c r="FM156" s="358">
        <v>60</v>
      </c>
      <c r="FN156" s="358">
        <v>66</v>
      </c>
      <c r="FO156" s="358">
        <v>73</v>
      </c>
      <c r="FP156" s="358">
        <v>86</v>
      </c>
      <c r="FQ156" s="358">
        <v>101</v>
      </c>
      <c r="FR156" s="358">
        <v>109</v>
      </c>
      <c r="FS156" s="358">
        <v>116</v>
      </c>
      <c r="FT156" s="358">
        <v>123</v>
      </c>
      <c r="FU156" s="358">
        <v>130</v>
      </c>
      <c r="FV156" s="358">
        <v>140</v>
      </c>
      <c r="FW156" s="358">
        <v>225</v>
      </c>
      <c r="FX156" s="358">
        <v>272</v>
      </c>
      <c r="FY156" s="358">
        <v>279</v>
      </c>
      <c r="FZ156" s="358">
        <v>307</v>
      </c>
      <c r="GA156" s="358">
        <v>376</v>
      </c>
      <c r="GB156" s="358">
        <v>154</v>
      </c>
      <c r="GC156" s="358">
        <v>264</v>
      </c>
      <c r="GD156" s="358">
        <v>300</v>
      </c>
      <c r="GE156" s="358">
        <v>329</v>
      </c>
      <c r="GF156" s="358">
        <v>321</v>
      </c>
      <c r="GG156" s="358">
        <v>245</v>
      </c>
      <c r="GH156" s="358">
        <v>257</v>
      </c>
      <c r="GI156" s="361">
        <v>283</v>
      </c>
    </row>
    <row r="157" spans="1:191">
      <c r="A157" s="336" t="s">
        <v>342</v>
      </c>
      <c r="B157" s="358">
        <v>164</v>
      </c>
      <c r="C157" s="358">
        <v>168</v>
      </c>
      <c r="D157" s="358">
        <v>170</v>
      </c>
      <c r="E157" s="358">
        <v>171</v>
      </c>
      <c r="F157" s="358">
        <v>174</v>
      </c>
      <c r="G157" s="358">
        <v>177</v>
      </c>
      <c r="H157" s="358">
        <v>180</v>
      </c>
      <c r="I157" s="358">
        <v>182</v>
      </c>
      <c r="J157" s="358">
        <v>185</v>
      </c>
      <c r="K157" s="358">
        <v>189</v>
      </c>
      <c r="L157" s="358">
        <v>191</v>
      </c>
      <c r="M157" s="358">
        <v>194</v>
      </c>
      <c r="N157" s="358">
        <v>196</v>
      </c>
      <c r="O157" s="358">
        <v>201</v>
      </c>
      <c r="P157" s="358">
        <v>207</v>
      </c>
      <c r="Q157" s="358">
        <v>209</v>
      </c>
      <c r="R157" s="358">
        <v>212</v>
      </c>
      <c r="S157" s="358">
        <v>214</v>
      </c>
      <c r="T157" s="358">
        <v>217</v>
      </c>
      <c r="U157" s="358">
        <v>220</v>
      </c>
      <c r="V157" s="358">
        <v>162</v>
      </c>
      <c r="W157" s="358">
        <v>160</v>
      </c>
      <c r="X157" s="358">
        <v>158</v>
      </c>
      <c r="Y157" s="358">
        <v>156</v>
      </c>
      <c r="Z157" s="358">
        <v>154</v>
      </c>
      <c r="AA157" s="358">
        <v>153</v>
      </c>
      <c r="AB157" s="358">
        <v>151</v>
      </c>
      <c r="AC157" s="358">
        <v>148</v>
      </c>
      <c r="AD157" s="358">
        <v>146</v>
      </c>
      <c r="AE157" s="358">
        <v>141</v>
      </c>
      <c r="AF157" s="358">
        <v>136</v>
      </c>
      <c r="AG157" s="358">
        <v>131</v>
      </c>
      <c r="AH157" s="358">
        <v>130</v>
      </c>
      <c r="AI157" s="358">
        <v>129</v>
      </c>
      <c r="AJ157" s="358">
        <v>125</v>
      </c>
      <c r="AK157" s="358">
        <v>119</v>
      </c>
      <c r="AL157" s="358">
        <v>113</v>
      </c>
      <c r="AM157" s="358">
        <v>108</v>
      </c>
      <c r="AN157" s="358">
        <v>102</v>
      </c>
      <c r="AO157" s="358">
        <v>98</v>
      </c>
      <c r="AP157" s="358">
        <v>92</v>
      </c>
      <c r="AQ157" s="358">
        <v>86</v>
      </c>
      <c r="AR157" s="358">
        <v>82</v>
      </c>
      <c r="AS157" s="358">
        <v>70</v>
      </c>
      <c r="AT157" s="358">
        <v>62</v>
      </c>
      <c r="AU157" s="358">
        <v>52</v>
      </c>
      <c r="AV157" s="358">
        <v>43</v>
      </c>
      <c r="AW157" s="358">
        <v>35</v>
      </c>
      <c r="AX157" s="358">
        <v>167</v>
      </c>
      <c r="AY157" s="358">
        <v>171</v>
      </c>
      <c r="AZ157" s="358">
        <v>172</v>
      </c>
      <c r="BA157" s="358">
        <v>173</v>
      </c>
      <c r="BB157" s="358">
        <v>174</v>
      </c>
      <c r="BC157" s="358">
        <v>177</v>
      </c>
      <c r="BD157" s="358">
        <v>181</v>
      </c>
      <c r="BE157" s="358">
        <v>183</v>
      </c>
      <c r="BF157" s="358">
        <v>184</v>
      </c>
      <c r="BG157" s="358">
        <v>187</v>
      </c>
      <c r="BH157" s="358">
        <v>188</v>
      </c>
      <c r="BI157" s="358">
        <v>189</v>
      </c>
      <c r="BJ157" s="358">
        <v>191</v>
      </c>
      <c r="BK157" s="358">
        <v>192</v>
      </c>
      <c r="BL157" s="358">
        <v>193</v>
      </c>
      <c r="BM157" s="358">
        <v>195</v>
      </c>
      <c r="BN157" s="358">
        <v>196</v>
      </c>
      <c r="BO157" s="358">
        <v>199</v>
      </c>
      <c r="BP157" s="358">
        <v>204</v>
      </c>
      <c r="BQ157" s="358">
        <v>208</v>
      </c>
      <c r="BR157" s="358">
        <v>218</v>
      </c>
      <c r="BS157" s="358">
        <v>225</v>
      </c>
      <c r="BT157" s="358">
        <v>229</v>
      </c>
      <c r="BU157" s="358">
        <v>232</v>
      </c>
      <c r="BV157" s="358">
        <v>169</v>
      </c>
      <c r="BW157" s="358">
        <v>170</v>
      </c>
      <c r="BX157" s="358">
        <v>173</v>
      </c>
      <c r="BY157" s="358">
        <v>177</v>
      </c>
      <c r="BZ157" s="358">
        <v>182</v>
      </c>
      <c r="CA157" s="358">
        <v>186</v>
      </c>
      <c r="CB157" s="358">
        <v>193</v>
      </c>
      <c r="CC157" s="358">
        <v>198</v>
      </c>
      <c r="CD157" s="358">
        <v>201</v>
      </c>
      <c r="CE157" s="358">
        <v>205</v>
      </c>
      <c r="CF157" s="358">
        <v>207</v>
      </c>
      <c r="CG157" s="358">
        <v>214</v>
      </c>
      <c r="CH157" s="358">
        <v>216</v>
      </c>
      <c r="CI157" s="358">
        <v>220</v>
      </c>
      <c r="CJ157" s="358">
        <v>223</v>
      </c>
      <c r="CK157" s="358">
        <v>230</v>
      </c>
      <c r="CL157" s="358">
        <v>236</v>
      </c>
      <c r="CM157" s="358">
        <v>240</v>
      </c>
      <c r="CN157" s="358">
        <v>245</v>
      </c>
      <c r="CO157" s="358">
        <v>252</v>
      </c>
      <c r="CP157" s="358">
        <v>263</v>
      </c>
      <c r="CQ157" s="358">
        <v>276</v>
      </c>
      <c r="CR157" s="358">
        <v>281</v>
      </c>
      <c r="CS157" s="358">
        <v>170</v>
      </c>
      <c r="CT157" s="358">
        <v>175</v>
      </c>
      <c r="CU157" s="358">
        <v>181</v>
      </c>
      <c r="CV157" s="358">
        <v>187</v>
      </c>
      <c r="CW157" s="358">
        <v>193</v>
      </c>
      <c r="CX157" s="358">
        <v>198</v>
      </c>
      <c r="CY157" s="358">
        <v>205</v>
      </c>
      <c r="CZ157" s="358">
        <v>208</v>
      </c>
      <c r="DA157" s="358">
        <v>212</v>
      </c>
      <c r="DB157" s="358">
        <v>217</v>
      </c>
      <c r="DC157" s="358">
        <v>228</v>
      </c>
      <c r="DD157" s="358">
        <v>238</v>
      </c>
      <c r="DE157" s="358">
        <v>242</v>
      </c>
      <c r="DF157" s="358">
        <v>248</v>
      </c>
      <c r="DG157" s="358">
        <v>257</v>
      </c>
      <c r="DH157" s="358">
        <v>262</v>
      </c>
      <c r="DI157" s="358">
        <v>269</v>
      </c>
      <c r="DJ157" s="358">
        <v>278</v>
      </c>
      <c r="DK157" s="358">
        <v>285</v>
      </c>
      <c r="DL157" s="358">
        <v>293</v>
      </c>
      <c r="DM157" s="358">
        <v>305</v>
      </c>
      <c r="DN157" s="358">
        <v>308</v>
      </c>
      <c r="DO157" s="358">
        <v>319</v>
      </c>
      <c r="DP157" s="358">
        <v>328</v>
      </c>
      <c r="DQ157" s="358">
        <v>163</v>
      </c>
      <c r="DR157" s="358">
        <v>168</v>
      </c>
      <c r="DS157" s="358">
        <v>172</v>
      </c>
      <c r="DT157" s="358">
        <v>174</v>
      </c>
      <c r="DU157" s="358">
        <v>177</v>
      </c>
      <c r="DV157" s="358">
        <v>178</v>
      </c>
      <c r="DW157" s="358">
        <v>184</v>
      </c>
      <c r="DX157" s="358">
        <v>187</v>
      </c>
      <c r="DY157" s="358">
        <v>193</v>
      </c>
      <c r="DZ157" s="358">
        <v>198</v>
      </c>
      <c r="EA157" s="358">
        <v>202</v>
      </c>
      <c r="EB157" s="358">
        <v>206</v>
      </c>
      <c r="EC157" s="358">
        <v>211</v>
      </c>
      <c r="ED157" s="358">
        <v>217</v>
      </c>
      <c r="EE157" s="358">
        <v>223</v>
      </c>
      <c r="EF157" s="358">
        <v>226</v>
      </c>
      <c r="EG157" s="358">
        <v>230</v>
      </c>
      <c r="EH157" s="358">
        <v>235</v>
      </c>
      <c r="EI157" s="358">
        <v>240</v>
      </c>
      <c r="EJ157" s="358">
        <v>244</v>
      </c>
      <c r="EK157" s="358">
        <v>249</v>
      </c>
      <c r="EL157" s="358">
        <v>253</v>
      </c>
      <c r="EM157" s="358">
        <v>52</v>
      </c>
      <c r="EN157" s="358">
        <v>64</v>
      </c>
      <c r="EO157" s="358">
        <v>75</v>
      </c>
      <c r="EP157" s="358">
        <v>85</v>
      </c>
      <c r="EQ157" s="358">
        <v>92</v>
      </c>
      <c r="ES157" s="358">
        <v>104</v>
      </c>
      <c r="ET157" s="358">
        <v>109</v>
      </c>
      <c r="EU157" s="358">
        <v>118</v>
      </c>
      <c r="EV157" s="358">
        <v>124</v>
      </c>
      <c r="EW157" s="358">
        <v>22</v>
      </c>
      <c r="EX157" s="358">
        <v>11</v>
      </c>
      <c r="EZ157" s="358">
        <v>16</v>
      </c>
      <c r="FA157" s="358">
        <v>24</v>
      </c>
      <c r="FB157" s="358">
        <v>34</v>
      </c>
      <c r="FC157" s="358">
        <v>48</v>
      </c>
      <c r="FD157" s="358">
        <v>60</v>
      </c>
      <c r="FE157" s="358">
        <v>67</v>
      </c>
      <c r="FF157" s="358">
        <v>72</v>
      </c>
      <c r="FG157" s="358">
        <v>84</v>
      </c>
      <c r="FH157" s="358">
        <v>93</v>
      </c>
      <c r="FI157" s="358">
        <v>104</v>
      </c>
      <c r="FJ157" s="358">
        <v>110</v>
      </c>
      <c r="FK157" s="358">
        <v>115</v>
      </c>
      <c r="FL157" s="358">
        <v>61</v>
      </c>
      <c r="FM157" s="358">
        <v>71</v>
      </c>
      <c r="FN157" s="358">
        <v>77</v>
      </c>
      <c r="FO157" s="358">
        <v>84</v>
      </c>
      <c r="FP157" s="358">
        <v>97</v>
      </c>
      <c r="FQ157" s="358">
        <v>112</v>
      </c>
      <c r="FR157" s="358">
        <v>120</v>
      </c>
      <c r="FS157" s="358">
        <v>127</v>
      </c>
      <c r="FT157" s="358">
        <v>134</v>
      </c>
      <c r="FU157" s="358">
        <v>141</v>
      </c>
      <c r="FV157" s="358">
        <v>151</v>
      </c>
      <c r="FW157" s="358">
        <v>236</v>
      </c>
      <c r="FX157" s="358">
        <v>283</v>
      </c>
      <c r="FY157" s="358">
        <v>290</v>
      </c>
      <c r="FZ157" s="358">
        <v>318</v>
      </c>
      <c r="GA157" s="358">
        <v>387</v>
      </c>
      <c r="GB157" s="358">
        <v>165</v>
      </c>
      <c r="GC157" s="358">
        <v>275</v>
      </c>
      <c r="GD157" s="358">
        <v>311</v>
      </c>
      <c r="GE157" s="358">
        <v>340</v>
      </c>
      <c r="GF157" s="358">
        <v>332</v>
      </c>
      <c r="GG157" s="358">
        <v>256</v>
      </c>
      <c r="GH157" s="358">
        <v>268</v>
      </c>
      <c r="GI157" s="361">
        <v>294</v>
      </c>
    </row>
    <row r="158" spans="1:191">
      <c r="A158" s="336" t="s">
        <v>341</v>
      </c>
      <c r="B158" s="358">
        <v>180</v>
      </c>
      <c r="C158" s="358">
        <v>184</v>
      </c>
      <c r="D158" s="358">
        <v>186</v>
      </c>
      <c r="E158" s="358">
        <v>187</v>
      </c>
      <c r="F158" s="358">
        <v>190</v>
      </c>
      <c r="G158" s="358">
        <v>193</v>
      </c>
      <c r="H158" s="358">
        <v>196</v>
      </c>
      <c r="I158" s="358">
        <v>198</v>
      </c>
      <c r="J158" s="358">
        <v>201</v>
      </c>
      <c r="K158" s="358">
        <v>205</v>
      </c>
      <c r="L158" s="358">
        <v>207</v>
      </c>
      <c r="M158" s="358">
        <v>210</v>
      </c>
      <c r="N158" s="358">
        <v>212</v>
      </c>
      <c r="O158" s="358">
        <v>217</v>
      </c>
      <c r="P158" s="358">
        <v>223</v>
      </c>
      <c r="Q158" s="358">
        <v>225</v>
      </c>
      <c r="R158" s="358">
        <v>228</v>
      </c>
      <c r="S158" s="358">
        <v>230</v>
      </c>
      <c r="T158" s="358">
        <v>233</v>
      </c>
      <c r="U158" s="358">
        <v>236</v>
      </c>
      <c r="V158" s="358">
        <v>178</v>
      </c>
      <c r="W158" s="358">
        <v>176</v>
      </c>
      <c r="X158" s="358">
        <v>174</v>
      </c>
      <c r="Y158" s="358">
        <v>172</v>
      </c>
      <c r="Z158" s="358">
        <v>170</v>
      </c>
      <c r="AA158" s="358">
        <v>169</v>
      </c>
      <c r="AB158" s="358">
        <v>167</v>
      </c>
      <c r="AC158" s="358">
        <v>164</v>
      </c>
      <c r="AD158" s="358">
        <v>162</v>
      </c>
      <c r="AE158" s="358">
        <v>157</v>
      </c>
      <c r="AF158" s="358">
        <v>152</v>
      </c>
      <c r="AG158" s="358">
        <v>147</v>
      </c>
      <c r="AH158" s="358">
        <v>146</v>
      </c>
      <c r="AI158" s="358">
        <v>145</v>
      </c>
      <c r="AJ158" s="358">
        <v>141</v>
      </c>
      <c r="AK158" s="358">
        <v>135</v>
      </c>
      <c r="AL158" s="358">
        <v>129</v>
      </c>
      <c r="AM158" s="358">
        <v>124</v>
      </c>
      <c r="AN158" s="358">
        <v>118</v>
      </c>
      <c r="AO158" s="358">
        <v>114</v>
      </c>
      <c r="AP158" s="358">
        <v>108</v>
      </c>
      <c r="AQ158" s="358">
        <v>102</v>
      </c>
      <c r="AR158" s="358">
        <v>98</v>
      </c>
      <c r="AS158" s="358">
        <v>86</v>
      </c>
      <c r="AT158" s="358">
        <v>78</v>
      </c>
      <c r="AU158" s="358">
        <v>68</v>
      </c>
      <c r="AV158" s="358">
        <v>59</v>
      </c>
      <c r="AW158" s="358">
        <v>51</v>
      </c>
      <c r="AX158" s="358">
        <v>183</v>
      </c>
      <c r="AY158" s="358">
        <v>187</v>
      </c>
      <c r="AZ158" s="358">
        <v>188</v>
      </c>
      <c r="BA158" s="358">
        <v>189</v>
      </c>
      <c r="BB158" s="358">
        <v>190</v>
      </c>
      <c r="BC158" s="358">
        <v>193</v>
      </c>
      <c r="BD158" s="358">
        <v>197</v>
      </c>
      <c r="BE158" s="358">
        <v>199</v>
      </c>
      <c r="BF158" s="358">
        <v>200</v>
      </c>
      <c r="BG158" s="358">
        <v>203</v>
      </c>
      <c r="BH158" s="358">
        <v>204</v>
      </c>
      <c r="BI158" s="358">
        <v>205</v>
      </c>
      <c r="BJ158" s="358">
        <v>207</v>
      </c>
      <c r="BK158" s="358">
        <v>208</v>
      </c>
      <c r="BL158" s="358">
        <v>209</v>
      </c>
      <c r="BM158" s="358">
        <v>211</v>
      </c>
      <c r="BN158" s="358">
        <v>212</v>
      </c>
      <c r="BO158" s="358">
        <v>215</v>
      </c>
      <c r="BP158" s="358">
        <v>220</v>
      </c>
      <c r="BQ158" s="358">
        <v>224</v>
      </c>
      <c r="BR158" s="358">
        <v>234</v>
      </c>
      <c r="BS158" s="358">
        <v>241</v>
      </c>
      <c r="BT158" s="358">
        <v>245</v>
      </c>
      <c r="BU158" s="358">
        <v>248</v>
      </c>
      <c r="BV158" s="358">
        <v>185</v>
      </c>
      <c r="BW158" s="358">
        <v>186</v>
      </c>
      <c r="BX158" s="358">
        <v>189</v>
      </c>
      <c r="BY158" s="358">
        <v>193</v>
      </c>
      <c r="BZ158" s="358">
        <v>198</v>
      </c>
      <c r="CA158" s="358">
        <v>202</v>
      </c>
      <c r="CB158" s="358">
        <v>209</v>
      </c>
      <c r="CC158" s="358">
        <v>214</v>
      </c>
      <c r="CD158" s="358">
        <v>217</v>
      </c>
      <c r="CE158" s="358">
        <v>221</v>
      </c>
      <c r="CF158" s="358">
        <v>223</v>
      </c>
      <c r="CG158" s="358">
        <v>230</v>
      </c>
      <c r="CH158" s="358">
        <v>232</v>
      </c>
      <c r="CI158" s="358">
        <v>236</v>
      </c>
      <c r="CJ158" s="358">
        <v>239</v>
      </c>
      <c r="CK158" s="358">
        <v>246</v>
      </c>
      <c r="CL158" s="358">
        <v>252</v>
      </c>
      <c r="CM158" s="358">
        <v>256</v>
      </c>
      <c r="CN158" s="358">
        <v>261</v>
      </c>
      <c r="CO158" s="358">
        <v>268</v>
      </c>
      <c r="CP158" s="358">
        <v>279</v>
      </c>
      <c r="CQ158" s="358">
        <v>292</v>
      </c>
      <c r="CR158" s="358">
        <v>297</v>
      </c>
      <c r="CS158" s="358">
        <v>186</v>
      </c>
      <c r="CT158" s="358">
        <v>191</v>
      </c>
      <c r="CU158" s="358">
        <v>197</v>
      </c>
      <c r="CV158" s="358">
        <v>203</v>
      </c>
      <c r="CW158" s="358">
        <v>209</v>
      </c>
      <c r="CX158" s="358">
        <v>214</v>
      </c>
      <c r="CY158" s="358">
        <v>221</v>
      </c>
      <c r="CZ158" s="358">
        <v>224</v>
      </c>
      <c r="DA158" s="358">
        <v>228</v>
      </c>
      <c r="DB158" s="358">
        <v>233</v>
      </c>
      <c r="DC158" s="358">
        <v>244</v>
      </c>
      <c r="DD158" s="358">
        <v>254</v>
      </c>
      <c r="DE158" s="358">
        <v>258</v>
      </c>
      <c r="DF158" s="358">
        <v>264</v>
      </c>
      <c r="DG158" s="358">
        <v>273</v>
      </c>
      <c r="DH158" s="358">
        <v>278</v>
      </c>
      <c r="DI158" s="358">
        <v>285</v>
      </c>
      <c r="DJ158" s="358">
        <v>294</v>
      </c>
      <c r="DK158" s="358">
        <v>301</v>
      </c>
      <c r="DL158" s="358">
        <v>309</v>
      </c>
      <c r="DM158" s="358">
        <v>321</v>
      </c>
      <c r="DN158" s="358">
        <v>324</v>
      </c>
      <c r="DO158" s="358">
        <v>335</v>
      </c>
      <c r="DP158" s="358">
        <v>344</v>
      </c>
      <c r="DQ158" s="358">
        <v>179</v>
      </c>
      <c r="DR158" s="358">
        <v>184</v>
      </c>
      <c r="DS158" s="358">
        <v>188</v>
      </c>
      <c r="DT158" s="358">
        <v>190</v>
      </c>
      <c r="DU158" s="358">
        <v>193</v>
      </c>
      <c r="DV158" s="358">
        <v>194</v>
      </c>
      <c r="DW158" s="358">
        <v>200</v>
      </c>
      <c r="DX158" s="358">
        <v>203</v>
      </c>
      <c r="DY158" s="358">
        <v>209</v>
      </c>
      <c r="DZ158" s="358">
        <v>214</v>
      </c>
      <c r="EA158" s="358">
        <v>218</v>
      </c>
      <c r="EB158" s="358">
        <v>222</v>
      </c>
      <c r="EC158" s="358">
        <v>227</v>
      </c>
      <c r="ED158" s="358">
        <v>233</v>
      </c>
      <c r="EE158" s="358">
        <v>239</v>
      </c>
      <c r="EF158" s="358">
        <v>242</v>
      </c>
      <c r="EG158" s="358">
        <v>246</v>
      </c>
      <c r="EH158" s="358">
        <v>251</v>
      </c>
      <c r="EI158" s="358">
        <v>256</v>
      </c>
      <c r="EJ158" s="358">
        <v>260</v>
      </c>
      <c r="EK158" s="358">
        <v>265</v>
      </c>
      <c r="EL158" s="358">
        <v>269</v>
      </c>
      <c r="EM158" s="358">
        <v>68</v>
      </c>
      <c r="EN158" s="358">
        <v>80</v>
      </c>
      <c r="EO158" s="358">
        <v>91</v>
      </c>
      <c r="EP158" s="358">
        <v>101</v>
      </c>
      <c r="EQ158" s="358">
        <v>108</v>
      </c>
      <c r="ES158" s="358">
        <v>120</v>
      </c>
      <c r="ET158" s="358">
        <v>125</v>
      </c>
      <c r="EU158" s="358">
        <v>134</v>
      </c>
      <c r="EV158" s="358">
        <v>140</v>
      </c>
      <c r="EW158" s="358">
        <v>38</v>
      </c>
      <c r="EX158" s="358">
        <v>27</v>
      </c>
      <c r="EY158" s="358">
        <v>16</v>
      </c>
      <c r="FA158" s="358">
        <v>8</v>
      </c>
      <c r="FB158" s="358">
        <v>18</v>
      </c>
      <c r="FC158" s="358">
        <v>32</v>
      </c>
      <c r="FD158" s="358">
        <v>44</v>
      </c>
      <c r="FE158" s="358">
        <v>51</v>
      </c>
      <c r="FF158" s="358">
        <v>56</v>
      </c>
      <c r="FG158" s="358">
        <v>68</v>
      </c>
      <c r="FH158" s="358">
        <v>77</v>
      </c>
      <c r="FI158" s="358">
        <v>88</v>
      </c>
      <c r="FJ158" s="358">
        <v>94</v>
      </c>
      <c r="FK158" s="358">
        <v>99</v>
      </c>
      <c r="FL158" s="358">
        <v>77</v>
      </c>
      <c r="FM158" s="358">
        <v>87</v>
      </c>
      <c r="FN158" s="358">
        <v>93</v>
      </c>
      <c r="FO158" s="358">
        <v>100</v>
      </c>
      <c r="FP158" s="358">
        <v>113</v>
      </c>
      <c r="FQ158" s="358">
        <v>128</v>
      </c>
      <c r="FR158" s="358">
        <v>136</v>
      </c>
      <c r="FS158" s="358">
        <v>143</v>
      </c>
      <c r="FT158" s="358">
        <v>150</v>
      </c>
      <c r="FU158" s="358">
        <v>157</v>
      </c>
      <c r="FV158" s="358">
        <v>167</v>
      </c>
      <c r="FW158" s="358">
        <v>252</v>
      </c>
      <c r="FX158" s="358">
        <v>299</v>
      </c>
      <c r="FY158" s="358">
        <v>306</v>
      </c>
      <c r="FZ158" s="358">
        <v>334</v>
      </c>
      <c r="GA158" s="358">
        <v>403</v>
      </c>
      <c r="GB158" s="358">
        <v>181</v>
      </c>
      <c r="GC158" s="358">
        <v>291</v>
      </c>
      <c r="GD158" s="358">
        <v>327</v>
      </c>
      <c r="GE158" s="358">
        <v>356</v>
      </c>
      <c r="GF158" s="358">
        <v>348</v>
      </c>
      <c r="GG158" s="358">
        <v>272</v>
      </c>
      <c r="GH158" s="358">
        <v>284</v>
      </c>
      <c r="GI158" s="361">
        <v>310</v>
      </c>
    </row>
    <row r="159" spans="1:191">
      <c r="A159" s="336" t="s">
        <v>340</v>
      </c>
      <c r="B159" s="358">
        <v>188</v>
      </c>
      <c r="C159" s="358">
        <v>192</v>
      </c>
      <c r="D159" s="358">
        <v>194</v>
      </c>
      <c r="E159" s="358">
        <v>195</v>
      </c>
      <c r="F159" s="358">
        <v>198</v>
      </c>
      <c r="G159" s="358">
        <v>201</v>
      </c>
      <c r="H159" s="358">
        <v>204</v>
      </c>
      <c r="I159" s="358">
        <v>206</v>
      </c>
      <c r="J159" s="358">
        <v>209</v>
      </c>
      <c r="K159" s="358">
        <v>213</v>
      </c>
      <c r="L159" s="358">
        <v>215</v>
      </c>
      <c r="M159" s="358">
        <v>218</v>
      </c>
      <c r="N159" s="358">
        <v>220</v>
      </c>
      <c r="O159" s="358">
        <v>225</v>
      </c>
      <c r="P159" s="358">
        <v>231</v>
      </c>
      <c r="Q159" s="358">
        <v>233</v>
      </c>
      <c r="R159" s="358">
        <v>236</v>
      </c>
      <c r="S159" s="358">
        <v>238</v>
      </c>
      <c r="T159" s="358">
        <v>241</v>
      </c>
      <c r="U159" s="358">
        <v>244</v>
      </c>
      <c r="V159" s="358">
        <v>186</v>
      </c>
      <c r="W159" s="358">
        <v>184</v>
      </c>
      <c r="X159" s="358">
        <v>182</v>
      </c>
      <c r="Y159" s="358">
        <v>180</v>
      </c>
      <c r="Z159" s="358">
        <v>178</v>
      </c>
      <c r="AA159" s="358">
        <v>177</v>
      </c>
      <c r="AB159" s="358">
        <v>175</v>
      </c>
      <c r="AC159" s="358">
        <v>172</v>
      </c>
      <c r="AD159" s="358">
        <v>170</v>
      </c>
      <c r="AE159" s="358">
        <v>165</v>
      </c>
      <c r="AF159" s="358">
        <v>160</v>
      </c>
      <c r="AG159" s="358">
        <v>155</v>
      </c>
      <c r="AH159" s="358">
        <v>154</v>
      </c>
      <c r="AI159" s="358">
        <v>153</v>
      </c>
      <c r="AJ159" s="358">
        <v>149</v>
      </c>
      <c r="AK159" s="358">
        <v>143</v>
      </c>
      <c r="AL159" s="358">
        <v>137</v>
      </c>
      <c r="AM159" s="358">
        <v>132</v>
      </c>
      <c r="AN159" s="358">
        <v>126</v>
      </c>
      <c r="AO159" s="358">
        <v>122</v>
      </c>
      <c r="AP159" s="358">
        <v>116</v>
      </c>
      <c r="AQ159" s="358">
        <v>110</v>
      </c>
      <c r="AR159" s="358">
        <v>106</v>
      </c>
      <c r="AS159" s="358">
        <v>94</v>
      </c>
      <c r="AT159" s="358">
        <v>86</v>
      </c>
      <c r="AU159" s="358">
        <v>76</v>
      </c>
      <c r="AV159" s="358">
        <v>67</v>
      </c>
      <c r="AW159" s="358">
        <v>59</v>
      </c>
      <c r="AX159" s="358">
        <v>191</v>
      </c>
      <c r="AY159" s="358">
        <v>195</v>
      </c>
      <c r="AZ159" s="358">
        <v>196</v>
      </c>
      <c r="BA159" s="358">
        <v>197</v>
      </c>
      <c r="BB159" s="358">
        <v>198</v>
      </c>
      <c r="BC159" s="358">
        <v>201</v>
      </c>
      <c r="BD159" s="358">
        <v>205</v>
      </c>
      <c r="BE159" s="358">
        <v>207</v>
      </c>
      <c r="BF159" s="358">
        <v>208</v>
      </c>
      <c r="BG159" s="358">
        <v>211</v>
      </c>
      <c r="BH159" s="358">
        <v>212</v>
      </c>
      <c r="BI159" s="358">
        <v>213</v>
      </c>
      <c r="BJ159" s="358">
        <v>215</v>
      </c>
      <c r="BK159" s="358">
        <v>216</v>
      </c>
      <c r="BL159" s="358">
        <v>217</v>
      </c>
      <c r="BM159" s="358">
        <v>219</v>
      </c>
      <c r="BN159" s="358">
        <v>220</v>
      </c>
      <c r="BO159" s="358">
        <v>223</v>
      </c>
      <c r="BP159" s="358">
        <v>228</v>
      </c>
      <c r="BQ159" s="358">
        <v>232</v>
      </c>
      <c r="BR159" s="358">
        <v>242</v>
      </c>
      <c r="BS159" s="358">
        <v>249</v>
      </c>
      <c r="BT159" s="358">
        <v>253</v>
      </c>
      <c r="BU159" s="358">
        <v>256</v>
      </c>
      <c r="BV159" s="358">
        <v>193</v>
      </c>
      <c r="BW159" s="358">
        <v>194</v>
      </c>
      <c r="BX159" s="358">
        <v>197</v>
      </c>
      <c r="BY159" s="358">
        <v>201</v>
      </c>
      <c r="BZ159" s="358">
        <v>206</v>
      </c>
      <c r="CA159" s="358">
        <v>210</v>
      </c>
      <c r="CB159" s="358">
        <v>217</v>
      </c>
      <c r="CC159" s="358">
        <v>222</v>
      </c>
      <c r="CD159" s="358">
        <v>225</v>
      </c>
      <c r="CE159" s="358">
        <v>229</v>
      </c>
      <c r="CF159" s="358">
        <v>231</v>
      </c>
      <c r="CG159" s="358">
        <v>238</v>
      </c>
      <c r="CH159" s="358">
        <v>240</v>
      </c>
      <c r="CI159" s="358">
        <v>244</v>
      </c>
      <c r="CJ159" s="358">
        <v>247</v>
      </c>
      <c r="CK159" s="358">
        <v>254</v>
      </c>
      <c r="CL159" s="358">
        <v>260</v>
      </c>
      <c r="CM159" s="358">
        <v>264</v>
      </c>
      <c r="CN159" s="358">
        <v>269</v>
      </c>
      <c r="CO159" s="358">
        <v>276</v>
      </c>
      <c r="CP159" s="358">
        <v>287</v>
      </c>
      <c r="CQ159" s="358">
        <v>300</v>
      </c>
      <c r="CR159" s="358">
        <v>305</v>
      </c>
      <c r="CS159" s="358">
        <v>194</v>
      </c>
      <c r="CT159" s="358">
        <v>199</v>
      </c>
      <c r="CU159" s="358">
        <v>205</v>
      </c>
      <c r="CV159" s="358">
        <v>211</v>
      </c>
      <c r="CW159" s="358">
        <v>217</v>
      </c>
      <c r="CX159" s="358">
        <v>222</v>
      </c>
      <c r="CY159" s="358">
        <v>229</v>
      </c>
      <c r="CZ159" s="358">
        <v>232</v>
      </c>
      <c r="DA159" s="358">
        <v>236</v>
      </c>
      <c r="DB159" s="358">
        <v>241</v>
      </c>
      <c r="DC159" s="358">
        <v>252</v>
      </c>
      <c r="DD159" s="358">
        <v>262</v>
      </c>
      <c r="DE159" s="358">
        <v>266</v>
      </c>
      <c r="DF159" s="358">
        <v>272</v>
      </c>
      <c r="DG159" s="358">
        <v>281</v>
      </c>
      <c r="DH159" s="358">
        <v>286</v>
      </c>
      <c r="DI159" s="358">
        <v>293</v>
      </c>
      <c r="DJ159" s="358">
        <v>302</v>
      </c>
      <c r="DK159" s="358">
        <v>309</v>
      </c>
      <c r="DL159" s="358">
        <v>317</v>
      </c>
      <c r="DM159" s="358">
        <v>329</v>
      </c>
      <c r="DN159" s="358">
        <v>332</v>
      </c>
      <c r="DO159" s="358">
        <v>343</v>
      </c>
      <c r="DP159" s="358">
        <v>352</v>
      </c>
      <c r="DQ159" s="358">
        <v>187</v>
      </c>
      <c r="DR159" s="358">
        <v>192</v>
      </c>
      <c r="DS159" s="358">
        <v>196</v>
      </c>
      <c r="DT159" s="358">
        <v>198</v>
      </c>
      <c r="DU159" s="358">
        <v>201</v>
      </c>
      <c r="DV159" s="358">
        <v>202</v>
      </c>
      <c r="DW159" s="358">
        <v>208</v>
      </c>
      <c r="DX159" s="358">
        <v>211</v>
      </c>
      <c r="DY159" s="358">
        <v>217</v>
      </c>
      <c r="DZ159" s="358">
        <v>222</v>
      </c>
      <c r="EA159" s="358">
        <v>226</v>
      </c>
      <c r="EB159" s="358">
        <v>230</v>
      </c>
      <c r="EC159" s="358">
        <v>235</v>
      </c>
      <c r="ED159" s="358">
        <v>241</v>
      </c>
      <c r="EE159" s="358">
        <v>247</v>
      </c>
      <c r="EF159" s="358">
        <v>250</v>
      </c>
      <c r="EG159" s="358">
        <v>254</v>
      </c>
      <c r="EH159" s="358">
        <v>259</v>
      </c>
      <c r="EI159" s="358">
        <v>264</v>
      </c>
      <c r="EJ159" s="358">
        <v>268</v>
      </c>
      <c r="EK159" s="358">
        <v>273</v>
      </c>
      <c r="EL159" s="358">
        <v>277</v>
      </c>
      <c r="EM159" s="358">
        <v>76</v>
      </c>
      <c r="EN159" s="358">
        <v>88</v>
      </c>
      <c r="EO159" s="358">
        <v>99</v>
      </c>
      <c r="EP159" s="358">
        <v>109</v>
      </c>
      <c r="EQ159" s="358">
        <v>116</v>
      </c>
      <c r="ES159" s="358">
        <v>128</v>
      </c>
      <c r="ET159" s="358">
        <v>133</v>
      </c>
      <c r="EU159" s="358">
        <v>142</v>
      </c>
      <c r="EV159" s="358">
        <v>148</v>
      </c>
      <c r="EW159" s="358">
        <v>46</v>
      </c>
      <c r="EX159" s="358">
        <v>35</v>
      </c>
      <c r="EY159" s="358">
        <v>24</v>
      </c>
      <c r="EZ159" s="358">
        <v>8</v>
      </c>
      <c r="FB159" s="358">
        <v>10</v>
      </c>
      <c r="FC159" s="358">
        <v>24</v>
      </c>
      <c r="FD159" s="358">
        <v>36</v>
      </c>
      <c r="FE159" s="358">
        <v>43</v>
      </c>
      <c r="FF159" s="358">
        <v>48</v>
      </c>
      <c r="FG159" s="358">
        <v>60</v>
      </c>
      <c r="FH159" s="358">
        <v>69</v>
      </c>
      <c r="FI159" s="358">
        <v>80</v>
      </c>
      <c r="FJ159" s="358">
        <v>86</v>
      </c>
      <c r="FK159" s="358">
        <v>91</v>
      </c>
      <c r="FL159" s="358">
        <v>85</v>
      </c>
      <c r="FM159" s="358">
        <v>95</v>
      </c>
      <c r="FN159" s="358">
        <v>101</v>
      </c>
      <c r="FO159" s="358">
        <v>108</v>
      </c>
      <c r="FP159" s="358">
        <v>121</v>
      </c>
      <c r="FQ159" s="358">
        <v>136</v>
      </c>
      <c r="FR159" s="358">
        <v>144</v>
      </c>
      <c r="FS159" s="358">
        <v>151</v>
      </c>
      <c r="FT159" s="358">
        <v>158</v>
      </c>
      <c r="FU159" s="358">
        <v>165</v>
      </c>
      <c r="FV159" s="358">
        <v>175</v>
      </c>
      <c r="FW159" s="358">
        <v>260</v>
      </c>
      <c r="FX159" s="358">
        <v>307</v>
      </c>
      <c r="FY159" s="358">
        <v>314</v>
      </c>
      <c r="FZ159" s="358">
        <v>342</v>
      </c>
      <c r="GA159" s="358">
        <v>411</v>
      </c>
      <c r="GB159" s="358">
        <v>189</v>
      </c>
      <c r="GC159" s="358">
        <v>299</v>
      </c>
      <c r="GD159" s="358">
        <v>335</v>
      </c>
      <c r="GE159" s="358">
        <v>364</v>
      </c>
      <c r="GF159" s="358">
        <v>356</v>
      </c>
      <c r="GG159" s="358">
        <v>280</v>
      </c>
      <c r="GH159" s="358">
        <v>292</v>
      </c>
      <c r="GI159" s="361">
        <v>318</v>
      </c>
    </row>
    <row r="160" spans="1:191">
      <c r="A160" s="336" t="s">
        <v>339</v>
      </c>
      <c r="B160" s="358">
        <v>198</v>
      </c>
      <c r="C160" s="358">
        <v>202</v>
      </c>
      <c r="D160" s="358">
        <v>204</v>
      </c>
      <c r="E160" s="358">
        <v>205</v>
      </c>
      <c r="F160" s="358">
        <v>208</v>
      </c>
      <c r="G160" s="358">
        <v>211</v>
      </c>
      <c r="H160" s="358">
        <v>214</v>
      </c>
      <c r="I160" s="358">
        <v>216</v>
      </c>
      <c r="J160" s="358">
        <v>219</v>
      </c>
      <c r="K160" s="358">
        <v>223</v>
      </c>
      <c r="L160" s="358">
        <v>225</v>
      </c>
      <c r="M160" s="358">
        <v>228</v>
      </c>
      <c r="N160" s="358">
        <v>230</v>
      </c>
      <c r="O160" s="358">
        <v>235</v>
      </c>
      <c r="P160" s="358">
        <v>241</v>
      </c>
      <c r="Q160" s="358">
        <v>243</v>
      </c>
      <c r="R160" s="358">
        <v>246</v>
      </c>
      <c r="S160" s="358">
        <v>248</v>
      </c>
      <c r="T160" s="358">
        <v>251</v>
      </c>
      <c r="U160" s="358">
        <v>254</v>
      </c>
      <c r="V160" s="358">
        <v>196</v>
      </c>
      <c r="W160" s="358">
        <v>194</v>
      </c>
      <c r="X160" s="358">
        <v>192</v>
      </c>
      <c r="Y160" s="358">
        <v>190</v>
      </c>
      <c r="Z160" s="358">
        <v>188</v>
      </c>
      <c r="AA160" s="358">
        <v>187</v>
      </c>
      <c r="AB160" s="358">
        <v>185</v>
      </c>
      <c r="AC160" s="358">
        <v>182</v>
      </c>
      <c r="AD160" s="358">
        <v>180</v>
      </c>
      <c r="AE160" s="358">
        <v>175</v>
      </c>
      <c r="AF160" s="358">
        <v>170</v>
      </c>
      <c r="AG160" s="358">
        <v>165</v>
      </c>
      <c r="AH160" s="358">
        <v>164</v>
      </c>
      <c r="AI160" s="358">
        <v>163</v>
      </c>
      <c r="AJ160" s="358">
        <v>159</v>
      </c>
      <c r="AK160" s="358">
        <v>153</v>
      </c>
      <c r="AL160" s="358">
        <v>147</v>
      </c>
      <c r="AM160" s="358">
        <v>142</v>
      </c>
      <c r="AN160" s="358">
        <v>136</v>
      </c>
      <c r="AO160" s="358">
        <v>132</v>
      </c>
      <c r="AP160" s="358">
        <v>126</v>
      </c>
      <c r="AQ160" s="358">
        <v>120</v>
      </c>
      <c r="AR160" s="358">
        <v>116</v>
      </c>
      <c r="AS160" s="358">
        <v>104</v>
      </c>
      <c r="AT160" s="358">
        <v>96</v>
      </c>
      <c r="AU160" s="358">
        <v>86</v>
      </c>
      <c r="AV160" s="358">
        <v>77</v>
      </c>
      <c r="AW160" s="358">
        <v>69</v>
      </c>
      <c r="AX160" s="358">
        <v>201</v>
      </c>
      <c r="AY160" s="358">
        <v>205</v>
      </c>
      <c r="AZ160" s="358">
        <v>206</v>
      </c>
      <c r="BA160" s="358">
        <v>207</v>
      </c>
      <c r="BB160" s="358">
        <v>208</v>
      </c>
      <c r="BC160" s="358">
        <v>211</v>
      </c>
      <c r="BD160" s="358">
        <v>215</v>
      </c>
      <c r="BE160" s="358">
        <v>217</v>
      </c>
      <c r="BF160" s="358">
        <v>218</v>
      </c>
      <c r="BG160" s="358">
        <v>221</v>
      </c>
      <c r="BH160" s="358">
        <v>222</v>
      </c>
      <c r="BI160" s="358">
        <v>223</v>
      </c>
      <c r="BJ160" s="358">
        <v>225</v>
      </c>
      <c r="BK160" s="358">
        <v>226</v>
      </c>
      <c r="BL160" s="358">
        <v>227</v>
      </c>
      <c r="BM160" s="358">
        <v>229</v>
      </c>
      <c r="BN160" s="358">
        <v>230</v>
      </c>
      <c r="BO160" s="358">
        <v>233</v>
      </c>
      <c r="BP160" s="358">
        <v>238</v>
      </c>
      <c r="BQ160" s="358">
        <v>242</v>
      </c>
      <c r="BR160" s="358">
        <v>252</v>
      </c>
      <c r="BS160" s="358">
        <v>259</v>
      </c>
      <c r="BT160" s="358">
        <v>263</v>
      </c>
      <c r="BU160" s="358">
        <v>266</v>
      </c>
      <c r="BV160" s="358">
        <v>203</v>
      </c>
      <c r="BW160" s="358">
        <v>204</v>
      </c>
      <c r="BX160" s="358">
        <v>207</v>
      </c>
      <c r="BY160" s="358">
        <v>211</v>
      </c>
      <c r="BZ160" s="358">
        <v>216</v>
      </c>
      <c r="CA160" s="358">
        <v>220</v>
      </c>
      <c r="CB160" s="358">
        <v>227</v>
      </c>
      <c r="CC160" s="358">
        <v>232</v>
      </c>
      <c r="CD160" s="358">
        <v>235</v>
      </c>
      <c r="CE160" s="358">
        <v>239</v>
      </c>
      <c r="CF160" s="358">
        <v>241</v>
      </c>
      <c r="CG160" s="358">
        <v>248</v>
      </c>
      <c r="CH160" s="358">
        <v>250</v>
      </c>
      <c r="CI160" s="358">
        <v>254</v>
      </c>
      <c r="CJ160" s="358">
        <v>257</v>
      </c>
      <c r="CK160" s="358">
        <v>264</v>
      </c>
      <c r="CL160" s="358">
        <v>270</v>
      </c>
      <c r="CM160" s="358">
        <v>274</v>
      </c>
      <c r="CN160" s="358">
        <v>279</v>
      </c>
      <c r="CO160" s="358">
        <v>286</v>
      </c>
      <c r="CP160" s="358">
        <v>297</v>
      </c>
      <c r="CQ160" s="358">
        <v>310</v>
      </c>
      <c r="CR160" s="358">
        <v>315</v>
      </c>
      <c r="CS160" s="358">
        <v>204</v>
      </c>
      <c r="CT160" s="358">
        <v>209</v>
      </c>
      <c r="CU160" s="358">
        <v>215</v>
      </c>
      <c r="CV160" s="358">
        <v>221</v>
      </c>
      <c r="CW160" s="358">
        <v>227</v>
      </c>
      <c r="CX160" s="358">
        <v>232</v>
      </c>
      <c r="CY160" s="358">
        <v>239</v>
      </c>
      <c r="CZ160" s="358">
        <v>242</v>
      </c>
      <c r="DA160" s="358">
        <v>246</v>
      </c>
      <c r="DB160" s="358">
        <v>251</v>
      </c>
      <c r="DC160" s="358">
        <v>262</v>
      </c>
      <c r="DD160" s="358">
        <v>272</v>
      </c>
      <c r="DE160" s="358">
        <v>276</v>
      </c>
      <c r="DF160" s="358">
        <v>282</v>
      </c>
      <c r="DG160" s="358">
        <v>291</v>
      </c>
      <c r="DH160" s="358">
        <v>296</v>
      </c>
      <c r="DI160" s="358">
        <v>303</v>
      </c>
      <c r="DJ160" s="358">
        <v>312</v>
      </c>
      <c r="DK160" s="358">
        <v>319</v>
      </c>
      <c r="DL160" s="358">
        <v>327</v>
      </c>
      <c r="DM160" s="358">
        <v>339</v>
      </c>
      <c r="DN160" s="358">
        <v>342</v>
      </c>
      <c r="DO160" s="358">
        <v>353</v>
      </c>
      <c r="DP160" s="358">
        <v>362</v>
      </c>
      <c r="DQ160" s="358">
        <v>197</v>
      </c>
      <c r="DR160" s="358">
        <v>202</v>
      </c>
      <c r="DS160" s="358">
        <v>206</v>
      </c>
      <c r="DT160" s="358">
        <v>208</v>
      </c>
      <c r="DU160" s="358">
        <v>211</v>
      </c>
      <c r="DV160" s="358">
        <v>212</v>
      </c>
      <c r="DW160" s="358">
        <v>218</v>
      </c>
      <c r="DX160" s="358">
        <v>221</v>
      </c>
      <c r="DY160" s="358">
        <v>227</v>
      </c>
      <c r="DZ160" s="358">
        <v>232</v>
      </c>
      <c r="EA160" s="358">
        <v>236</v>
      </c>
      <c r="EB160" s="358">
        <v>240</v>
      </c>
      <c r="EC160" s="358">
        <v>245</v>
      </c>
      <c r="ED160" s="358">
        <v>251</v>
      </c>
      <c r="EE160" s="358">
        <v>257</v>
      </c>
      <c r="EF160" s="358">
        <v>260</v>
      </c>
      <c r="EG160" s="358">
        <v>264</v>
      </c>
      <c r="EH160" s="358">
        <v>269</v>
      </c>
      <c r="EI160" s="358">
        <v>274</v>
      </c>
      <c r="EJ160" s="358">
        <v>278</v>
      </c>
      <c r="EK160" s="358">
        <v>283</v>
      </c>
      <c r="EL160" s="358">
        <v>287</v>
      </c>
      <c r="EM160" s="358">
        <v>86</v>
      </c>
      <c r="EN160" s="358">
        <v>98</v>
      </c>
      <c r="EO160" s="358">
        <v>109</v>
      </c>
      <c r="EP160" s="358">
        <v>119</v>
      </c>
      <c r="EQ160" s="358">
        <v>126</v>
      </c>
      <c r="ES160" s="358">
        <v>138</v>
      </c>
      <c r="ET160" s="358">
        <v>143</v>
      </c>
      <c r="EU160" s="358">
        <v>152</v>
      </c>
      <c r="EV160" s="358">
        <v>158</v>
      </c>
      <c r="EW160" s="358">
        <v>56</v>
      </c>
      <c r="EX160" s="358">
        <v>45</v>
      </c>
      <c r="EY160" s="358">
        <v>34</v>
      </c>
      <c r="EZ160" s="358">
        <v>18</v>
      </c>
      <c r="FA160" s="358">
        <v>10</v>
      </c>
      <c r="FC160" s="358">
        <v>14</v>
      </c>
      <c r="FD160" s="358">
        <v>26</v>
      </c>
      <c r="FE160" s="358">
        <v>33</v>
      </c>
      <c r="FF160" s="358">
        <v>38</v>
      </c>
      <c r="FG160" s="358">
        <v>50</v>
      </c>
      <c r="FH160" s="358">
        <v>59</v>
      </c>
      <c r="FI160" s="358">
        <v>70</v>
      </c>
      <c r="FJ160" s="358">
        <v>76</v>
      </c>
      <c r="FK160" s="358">
        <v>81</v>
      </c>
      <c r="FL160" s="358">
        <v>95</v>
      </c>
      <c r="FM160" s="358">
        <v>105</v>
      </c>
      <c r="FN160" s="358">
        <v>111</v>
      </c>
      <c r="FO160" s="358">
        <v>118</v>
      </c>
      <c r="FP160" s="358">
        <v>131</v>
      </c>
      <c r="FQ160" s="358">
        <v>146</v>
      </c>
      <c r="FR160" s="358">
        <v>154</v>
      </c>
      <c r="FS160" s="358">
        <v>161</v>
      </c>
      <c r="FT160" s="358">
        <v>168</v>
      </c>
      <c r="FU160" s="358">
        <v>175</v>
      </c>
      <c r="FV160" s="358">
        <v>185</v>
      </c>
      <c r="FW160" s="358">
        <v>270</v>
      </c>
      <c r="FX160" s="358">
        <v>317</v>
      </c>
      <c r="FY160" s="358">
        <v>324</v>
      </c>
      <c r="FZ160" s="358">
        <v>352</v>
      </c>
      <c r="GA160" s="358">
        <v>421</v>
      </c>
      <c r="GB160" s="358">
        <v>199</v>
      </c>
      <c r="GC160" s="358">
        <v>309</v>
      </c>
      <c r="GD160" s="358">
        <v>345</v>
      </c>
      <c r="GE160" s="358">
        <v>374</v>
      </c>
      <c r="GF160" s="358">
        <v>366</v>
      </c>
      <c r="GG160" s="358">
        <v>290</v>
      </c>
      <c r="GH160" s="358">
        <v>302</v>
      </c>
      <c r="GI160" s="361">
        <v>328</v>
      </c>
    </row>
    <row r="161" spans="1:191">
      <c r="A161" s="336" t="s">
        <v>338</v>
      </c>
      <c r="B161" s="358">
        <v>212</v>
      </c>
      <c r="C161" s="358">
        <v>216</v>
      </c>
      <c r="D161" s="358">
        <v>218</v>
      </c>
      <c r="E161" s="358">
        <v>219</v>
      </c>
      <c r="F161" s="358">
        <v>222</v>
      </c>
      <c r="G161" s="358">
        <v>225</v>
      </c>
      <c r="H161" s="358">
        <v>228</v>
      </c>
      <c r="I161" s="358">
        <v>230</v>
      </c>
      <c r="J161" s="358">
        <v>233</v>
      </c>
      <c r="K161" s="358">
        <v>237</v>
      </c>
      <c r="L161" s="358">
        <v>239</v>
      </c>
      <c r="M161" s="358">
        <v>242</v>
      </c>
      <c r="N161" s="358">
        <v>244</v>
      </c>
      <c r="O161" s="358">
        <v>249</v>
      </c>
      <c r="P161" s="358">
        <v>255</v>
      </c>
      <c r="Q161" s="358">
        <v>257</v>
      </c>
      <c r="R161" s="358">
        <v>260</v>
      </c>
      <c r="S161" s="358">
        <v>262</v>
      </c>
      <c r="T161" s="358">
        <v>265</v>
      </c>
      <c r="U161" s="358">
        <v>268</v>
      </c>
      <c r="V161" s="358">
        <v>210</v>
      </c>
      <c r="W161" s="358">
        <v>208</v>
      </c>
      <c r="X161" s="358">
        <v>206</v>
      </c>
      <c r="Y161" s="358">
        <v>204</v>
      </c>
      <c r="Z161" s="358">
        <v>202</v>
      </c>
      <c r="AA161" s="358">
        <v>201</v>
      </c>
      <c r="AB161" s="358">
        <v>199</v>
      </c>
      <c r="AC161" s="358">
        <v>196</v>
      </c>
      <c r="AD161" s="358">
        <v>194</v>
      </c>
      <c r="AE161" s="358">
        <v>189</v>
      </c>
      <c r="AF161" s="358">
        <v>184</v>
      </c>
      <c r="AG161" s="358">
        <v>179</v>
      </c>
      <c r="AH161" s="358">
        <v>178</v>
      </c>
      <c r="AI161" s="358">
        <v>177</v>
      </c>
      <c r="AJ161" s="358">
        <v>173</v>
      </c>
      <c r="AK161" s="358">
        <v>167</v>
      </c>
      <c r="AL161" s="358">
        <v>161</v>
      </c>
      <c r="AM161" s="358">
        <v>156</v>
      </c>
      <c r="AN161" s="358">
        <v>150</v>
      </c>
      <c r="AO161" s="358">
        <v>146</v>
      </c>
      <c r="AP161" s="358">
        <v>140</v>
      </c>
      <c r="AQ161" s="358">
        <v>134</v>
      </c>
      <c r="AR161" s="358">
        <v>130</v>
      </c>
      <c r="AS161" s="358">
        <v>118</v>
      </c>
      <c r="AT161" s="358">
        <v>110</v>
      </c>
      <c r="AU161" s="358">
        <v>100</v>
      </c>
      <c r="AV161" s="358">
        <v>91</v>
      </c>
      <c r="AW161" s="358">
        <v>83</v>
      </c>
      <c r="AX161" s="358">
        <v>215</v>
      </c>
      <c r="AY161" s="358">
        <v>219</v>
      </c>
      <c r="AZ161" s="358">
        <v>220</v>
      </c>
      <c r="BA161" s="358">
        <v>221</v>
      </c>
      <c r="BB161" s="358">
        <v>222</v>
      </c>
      <c r="BC161" s="358">
        <v>225</v>
      </c>
      <c r="BD161" s="358">
        <v>229</v>
      </c>
      <c r="BE161" s="358">
        <v>231</v>
      </c>
      <c r="BF161" s="358">
        <v>232</v>
      </c>
      <c r="BG161" s="358">
        <v>235</v>
      </c>
      <c r="BH161" s="358">
        <v>236</v>
      </c>
      <c r="BI161" s="358">
        <v>237</v>
      </c>
      <c r="BJ161" s="358">
        <v>239</v>
      </c>
      <c r="BK161" s="358">
        <v>240</v>
      </c>
      <c r="BL161" s="358">
        <v>241</v>
      </c>
      <c r="BM161" s="358">
        <v>243</v>
      </c>
      <c r="BN161" s="358">
        <v>244</v>
      </c>
      <c r="BO161" s="358">
        <v>247</v>
      </c>
      <c r="BP161" s="358">
        <v>252</v>
      </c>
      <c r="BQ161" s="358">
        <v>256</v>
      </c>
      <c r="BR161" s="358">
        <v>266</v>
      </c>
      <c r="BS161" s="358">
        <v>273</v>
      </c>
      <c r="BT161" s="358">
        <v>277</v>
      </c>
      <c r="BU161" s="358">
        <v>280</v>
      </c>
      <c r="BV161" s="358">
        <v>217</v>
      </c>
      <c r="BW161" s="358">
        <v>218</v>
      </c>
      <c r="BX161" s="358">
        <v>221</v>
      </c>
      <c r="BY161" s="358">
        <v>225</v>
      </c>
      <c r="BZ161" s="358">
        <v>230</v>
      </c>
      <c r="CA161" s="358">
        <v>234</v>
      </c>
      <c r="CB161" s="358">
        <v>241</v>
      </c>
      <c r="CC161" s="358">
        <v>246</v>
      </c>
      <c r="CD161" s="358">
        <v>249</v>
      </c>
      <c r="CE161" s="358">
        <v>253</v>
      </c>
      <c r="CF161" s="358">
        <v>255</v>
      </c>
      <c r="CG161" s="358">
        <v>262</v>
      </c>
      <c r="CH161" s="358">
        <v>264</v>
      </c>
      <c r="CI161" s="358">
        <v>268</v>
      </c>
      <c r="CJ161" s="358">
        <v>271</v>
      </c>
      <c r="CK161" s="358">
        <v>278</v>
      </c>
      <c r="CL161" s="358">
        <v>284</v>
      </c>
      <c r="CM161" s="358">
        <v>288</v>
      </c>
      <c r="CN161" s="358">
        <v>293</v>
      </c>
      <c r="CO161" s="358">
        <v>300</v>
      </c>
      <c r="CP161" s="358">
        <v>311</v>
      </c>
      <c r="CQ161" s="358">
        <v>324</v>
      </c>
      <c r="CR161" s="358">
        <v>329</v>
      </c>
      <c r="CS161" s="358">
        <v>218</v>
      </c>
      <c r="CT161" s="358">
        <v>223</v>
      </c>
      <c r="CU161" s="358">
        <v>229</v>
      </c>
      <c r="CV161" s="358">
        <v>235</v>
      </c>
      <c r="CW161" s="358">
        <v>241</v>
      </c>
      <c r="CX161" s="358">
        <v>246</v>
      </c>
      <c r="CY161" s="358">
        <v>253</v>
      </c>
      <c r="CZ161" s="358">
        <v>256</v>
      </c>
      <c r="DA161" s="358">
        <v>260</v>
      </c>
      <c r="DB161" s="358">
        <v>265</v>
      </c>
      <c r="DC161" s="358">
        <v>276</v>
      </c>
      <c r="DD161" s="358">
        <v>286</v>
      </c>
      <c r="DE161" s="358">
        <v>290</v>
      </c>
      <c r="DF161" s="358">
        <v>296</v>
      </c>
      <c r="DG161" s="358">
        <v>305</v>
      </c>
      <c r="DH161" s="358">
        <v>310</v>
      </c>
      <c r="DI161" s="358">
        <v>317</v>
      </c>
      <c r="DJ161" s="358">
        <v>326</v>
      </c>
      <c r="DK161" s="358">
        <v>333</v>
      </c>
      <c r="DL161" s="358">
        <v>341</v>
      </c>
      <c r="DM161" s="358">
        <v>353</v>
      </c>
      <c r="DN161" s="358">
        <v>356</v>
      </c>
      <c r="DO161" s="358">
        <v>367</v>
      </c>
      <c r="DP161" s="358">
        <v>376</v>
      </c>
      <c r="DQ161" s="358">
        <v>211</v>
      </c>
      <c r="DR161" s="358">
        <v>216</v>
      </c>
      <c r="DS161" s="358">
        <v>220</v>
      </c>
      <c r="DT161" s="358">
        <v>222</v>
      </c>
      <c r="DU161" s="358">
        <v>225</v>
      </c>
      <c r="DV161" s="358">
        <v>226</v>
      </c>
      <c r="DW161" s="358">
        <v>232</v>
      </c>
      <c r="DX161" s="358">
        <v>235</v>
      </c>
      <c r="DY161" s="358">
        <v>241</v>
      </c>
      <c r="DZ161" s="358">
        <v>246</v>
      </c>
      <c r="EA161" s="358">
        <v>250</v>
      </c>
      <c r="EB161" s="358">
        <v>254</v>
      </c>
      <c r="EC161" s="358">
        <v>259</v>
      </c>
      <c r="ED161" s="358">
        <v>265</v>
      </c>
      <c r="EE161" s="358">
        <v>271</v>
      </c>
      <c r="EF161" s="358">
        <v>274</v>
      </c>
      <c r="EG161" s="358">
        <v>278</v>
      </c>
      <c r="EH161" s="358">
        <v>283</v>
      </c>
      <c r="EI161" s="358">
        <v>288</v>
      </c>
      <c r="EJ161" s="358">
        <v>292</v>
      </c>
      <c r="EK161" s="358">
        <v>297</v>
      </c>
      <c r="EL161" s="358">
        <v>301</v>
      </c>
      <c r="EM161" s="358">
        <v>100</v>
      </c>
      <c r="EN161" s="358">
        <v>112</v>
      </c>
      <c r="EO161" s="358">
        <v>123</v>
      </c>
      <c r="EP161" s="358">
        <v>133</v>
      </c>
      <c r="EQ161" s="358">
        <v>140</v>
      </c>
      <c r="ES161" s="358">
        <v>152</v>
      </c>
      <c r="ET161" s="358">
        <v>157</v>
      </c>
      <c r="EU161" s="358">
        <v>166</v>
      </c>
      <c r="EV161" s="358">
        <v>172</v>
      </c>
      <c r="EW161" s="358">
        <v>70</v>
      </c>
      <c r="EX161" s="358">
        <v>59</v>
      </c>
      <c r="EY161" s="358">
        <v>48</v>
      </c>
      <c r="EZ161" s="358">
        <v>32</v>
      </c>
      <c r="FA161" s="358">
        <v>24</v>
      </c>
      <c r="FB161" s="358">
        <v>14</v>
      </c>
      <c r="FD161" s="358">
        <v>12</v>
      </c>
      <c r="FE161" s="358">
        <v>19</v>
      </c>
      <c r="FF161" s="358">
        <v>24</v>
      </c>
      <c r="FG161" s="358">
        <v>36</v>
      </c>
      <c r="FH161" s="358">
        <v>45</v>
      </c>
      <c r="FI161" s="358">
        <v>56</v>
      </c>
      <c r="FJ161" s="358">
        <v>62</v>
      </c>
      <c r="FK161" s="358">
        <v>67</v>
      </c>
      <c r="FL161" s="358">
        <v>109</v>
      </c>
      <c r="FM161" s="358">
        <v>119</v>
      </c>
      <c r="FN161" s="358">
        <v>125</v>
      </c>
      <c r="FO161" s="358">
        <v>132</v>
      </c>
      <c r="FP161" s="358">
        <v>145</v>
      </c>
      <c r="FQ161" s="358">
        <v>160</v>
      </c>
      <c r="FR161" s="358">
        <v>168</v>
      </c>
      <c r="FS161" s="358">
        <v>175</v>
      </c>
      <c r="FT161" s="358">
        <v>182</v>
      </c>
      <c r="FU161" s="358">
        <v>189</v>
      </c>
      <c r="FV161" s="358">
        <v>199</v>
      </c>
      <c r="FW161" s="358">
        <v>284</v>
      </c>
      <c r="FX161" s="358">
        <v>331</v>
      </c>
      <c r="FY161" s="358">
        <v>338</v>
      </c>
      <c r="FZ161" s="358">
        <v>366</v>
      </c>
      <c r="GA161" s="358">
        <v>435</v>
      </c>
      <c r="GB161" s="358">
        <v>213</v>
      </c>
      <c r="GC161" s="358">
        <v>323</v>
      </c>
      <c r="GD161" s="358">
        <v>359</v>
      </c>
      <c r="GE161" s="358">
        <v>388</v>
      </c>
      <c r="GF161" s="358">
        <v>380</v>
      </c>
      <c r="GG161" s="358">
        <v>304</v>
      </c>
      <c r="GH161" s="358">
        <v>316</v>
      </c>
      <c r="GI161" s="361">
        <v>342</v>
      </c>
    </row>
    <row r="162" spans="1:191">
      <c r="A162" s="336" t="s">
        <v>337</v>
      </c>
      <c r="B162" s="358">
        <v>224</v>
      </c>
      <c r="C162" s="358">
        <v>228</v>
      </c>
      <c r="D162" s="358">
        <v>230</v>
      </c>
      <c r="E162" s="358">
        <v>231</v>
      </c>
      <c r="F162" s="358">
        <v>234</v>
      </c>
      <c r="G162" s="358">
        <v>237</v>
      </c>
      <c r="H162" s="358">
        <v>240</v>
      </c>
      <c r="I162" s="358">
        <v>242</v>
      </c>
      <c r="J162" s="358">
        <v>245</v>
      </c>
      <c r="K162" s="358">
        <v>249</v>
      </c>
      <c r="L162" s="358">
        <v>251</v>
      </c>
      <c r="M162" s="358">
        <v>254</v>
      </c>
      <c r="N162" s="358">
        <v>256</v>
      </c>
      <c r="O162" s="358">
        <v>261</v>
      </c>
      <c r="P162" s="358">
        <v>267</v>
      </c>
      <c r="Q162" s="358">
        <v>269</v>
      </c>
      <c r="R162" s="358">
        <v>272</v>
      </c>
      <c r="S162" s="358">
        <v>274</v>
      </c>
      <c r="T162" s="358">
        <v>277</v>
      </c>
      <c r="U162" s="358">
        <v>280</v>
      </c>
      <c r="V162" s="358">
        <v>222</v>
      </c>
      <c r="W162" s="358">
        <v>220</v>
      </c>
      <c r="X162" s="358">
        <v>218</v>
      </c>
      <c r="Y162" s="358">
        <v>216</v>
      </c>
      <c r="Z162" s="358">
        <v>214</v>
      </c>
      <c r="AA162" s="358">
        <v>213</v>
      </c>
      <c r="AB162" s="358">
        <v>211</v>
      </c>
      <c r="AC162" s="358">
        <v>208</v>
      </c>
      <c r="AD162" s="358">
        <v>206</v>
      </c>
      <c r="AE162" s="358">
        <v>201</v>
      </c>
      <c r="AF162" s="358">
        <v>196</v>
      </c>
      <c r="AG162" s="358">
        <v>191</v>
      </c>
      <c r="AH162" s="358">
        <v>190</v>
      </c>
      <c r="AI162" s="358">
        <v>189</v>
      </c>
      <c r="AJ162" s="358">
        <v>185</v>
      </c>
      <c r="AK162" s="358">
        <v>179</v>
      </c>
      <c r="AL162" s="358">
        <v>173</v>
      </c>
      <c r="AM162" s="358">
        <v>168</v>
      </c>
      <c r="AN162" s="358">
        <v>162</v>
      </c>
      <c r="AO162" s="358">
        <v>158</v>
      </c>
      <c r="AP162" s="358">
        <v>152</v>
      </c>
      <c r="AQ162" s="358">
        <v>146</v>
      </c>
      <c r="AR162" s="358">
        <v>142</v>
      </c>
      <c r="AS162" s="358">
        <v>130</v>
      </c>
      <c r="AT162" s="358">
        <v>122</v>
      </c>
      <c r="AU162" s="358">
        <v>112</v>
      </c>
      <c r="AV162" s="358">
        <v>103</v>
      </c>
      <c r="AW162" s="358">
        <v>95</v>
      </c>
      <c r="AX162" s="358">
        <v>227</v>
      </c>
      <c r="AY162" s="358">
        <v>231</v>
      </c>
      <c r="AZ162" s="358">
        <v>232</v>
      </c>
      <c r="BA162" s="358">
        <v>233</v>
      </c>
      <c r="BB162" s="358">
        <v>234</v>
      </c>
      <c r="BC162" s="358">
        <v>237</v>
      </c>
      <c r="BD162" s="358">
        <v>241</v>
      </c>
      <c r="BE162" s="358">
        <v>243</v>
      </c>
      <c r="BF162" s="358">
        <v>244</v>
      </c>
      <c r="BG162" s="358">
        <v>247</v>
      </c>
      <c r="BH162" s="358">
        <v>248</v>
      </c>
      <c r="BI162" s="358">
        <v>249</v>
      </c>
      <c r="BJ162" s="358">
        <v>251</v>
      </c>
      <c r="BK162" s="358">
        <v>252</v>
      </c>
      <c r="BL162" s="358">
        <v>253</v>
      </c>
      <c r="BM162" s="358">
        <v>255</v>
      </c>
      <c r="BN162" s="358">
        <v>256</v>
      </c>
      <c r="BO162" s="358">
        <v>259</v>
      </c>
      <c r="BP162" s="358">
        <v>264</v>
      </c>
      <c r="BQ162" s="358">
        <v>268</v>
      </c>
      <c r="BR162" s="358">
        <v>278</v>
      </c>
      <c r="BS162" s="358">
        <v>285</v>
      </c>
      <c r="BT162" s="358">
        <v>289</v>
      </c>
      <c r="BU162" s="358">
        <v>292</v>
      </c>
      <c r="BV162" s="358">
        <v>229</v>
      </c>
      <c r="BW162" s="358">
        <v>230</v>
      </c>
      <c r="BX162" s="358">
        <v>233</v>
      </c>
      <c r="BY162" s="358">
        <v>237</v>
      </c>
      <c r="BZ162" s="358">
        <v>242</v>
      </c>
      <c r="CA162" s="358">
        <v>246</v>
      </c>
      <c r="CB162" s="358">
        <v>253</v>
      </c>
      <c r="CC162" s="358">
        <v>258</v>
      </c>
      <c r="CD162" s="358">
        <v>261</v>
      </c>
      <c r="CE162" s="358">
        <v>265</v>
      </c>
      <c r="CF162" s="358">
        <v>267</v>
      </c>
      <c r="CG162" s="358">
        <v>274</v>
      </c>
      <c r="CH162" s="358">
        <v>276</v>
      </c>
      <c r="CI162" s="358">
        <v>280</v>
      </c>
      <c r="CJ162" s="358">
        <v>283</v>
      </c>
      <c r="CK162" s="358">
        <v>290</v>
      </c>
      <c r="CL162" s="358">
        <v>296</v>
      </c>
      <c r="CM162" s="358">
        <v>300</v>
      </c>
      <c r="CN162" s="358">
        <v>305</v>
      </c>
      <c r="CO162" s="358">
        <v>312</v>
      </c>
      <c r="CP162" s="358">
        <v>323</v>
      </c>
      <c r="CQ162" s="358">
        <v>336</v>
      </c>
      <c r="CR162" s="358">
        <v>341</v>
      </c>
      <c r="CS162" s="358">
        <v>230</v>
      </c>
      <c r="CT162" s="358">
        <v>235</v>
      </c>
      <c r="CU162" s="358">
        <v>241</v>
      </c>
      <c r="CV162" s="358">
        <v>247</v>
      </c>
      <c r="CW162" s="358">
        <v>253</v>
      </c>
      <c r="CX162" s="358">
        <v>258</v>
      </c>
      <c r="CY162" s="358">
        <v>265</v>
      </c>
      <c r="CZ162" s="358">
        <v>268</v>
      </c>
      <c r="DA162" s="358">
        <v>272</v>
      </c>
      <c r="DB162" s="358">
        <v>277</v>
      </c>
      <c r="DC162" s="358">
        <v>288</v>
      </c>
      <c r="DD162" s="358">
        <v>298</v>
      </c>
      <c r="DE162" s="358">
        <v>302</v>
      </c>
      <c r="DF162" s="358">
        <v>308</v>
      </c>
      <c r="DG162" s="358">
        <v>317</v>
      </c>
      <c r="DH162" s="358">
        <v>322</v>
      </c>
      <c r="DI162" s="358">
        <v>329</v>
      </c>
      <c r="DJ162" s="358">
        <v>338</v>
      </c>
      <c r="DK162" s="358">
        <v>345</v>
      </c>
      <c r="DL162" s="358">
        <v>353</v>
      </c>
      <c r="DM162" s="358">
        <v>365</v>
      </c>
      <c r="DN162" s="358">
        <v>368</v>
      </c>
      <c r="DO162" s="358">
        <v>379</v>
      </c>
      <c r="DP162" s="358">
        <v>388</v>
      </c>
      <c r="DQ162" s="358">
        <v>223</v>
      </c>
      <c r="DR162" s="358">
        <v>228</v>
      </c>
      <c r="DS162" s="358">
        <v>232</v>
      </c>
      <c r="DT162" s="358">
        <v>234</v>
      </c>
      <c r="DU162" s="358">
        <v>237</v>
      </c>
      <c r="DV162" s="358">
        <v>238</v>
      </c>
      <c r="DW162" s="358">
        <v>244</v>
      </c>
      <c r="DX162" s="358">
        <v>247</v>
      </c>
      <c r="DY162" s="358">
        <v>253</v>
      </c>
      <c r="DZ162" s="358">
        <v>258</v>
      </c>
      <c r="EA162" s="358">
        <v>262</v>
      </c>
      <c r="EB162" s="358">
        <v>266</v>
      </c>
      <c r="EC162" s="358">
        <v>271</v>
      </c>
      <c r="ED162" s="358">
        <v>277</v>
      </c>
      <c r="EE162" s="358">
        <v>283</v>
      </c>
      <c r="EF162" s="358">
        <v>286</v>
      </c>
      <c r="EG162" s="358">
        <v>290</v>
      </c>
      <c r="EH162" s="358">
        <v>295</v>
      </c>
      <c r="EI162" s="358">
        <v>300</v>
      </c>
      <c r="EJ162" s="358">
        <v>304</v>
      </c>
      <c r="EK162" s="358">
        <v>309</v>
      </c>
      <c r="EL162" s="358">
        <v>313</v>
      </c>
      <c r="EM162" s="358">
        <v>112</v>
      </c>
      <c r="EN162" s="358">
        <v>124</v>
      </c>
      <c r="EO162" s="358">
        <v>135</v>
      </c>
      <c r="EP162" s="358">
        <v>145</v>
      </c>
      <c r="EQ162" s="358">
        <v>152</v>
      </c>
      <c r="ES162" s="358">
        <v>164</v>
      </c>
      <c r="ET162" s="358">
        <v>169</v>
      </c>
      <c r="EU162" s="358">
        <v>178</v>
      </c>
      <c r="EV162" s="358">
        <v>184</v>
      </c>
      <c r="EW162" s="358">
        <v>82</v>
      </c>
      <c r="EX162" s="358">
        <v>71</v>
      </c>
      <c r="EY162" s="358">
        <v>60</v>
      </c>
      <c r="EZ162" s="358">
        <v>44</v>
      </c>
      <c r="FA162" s="358">
        <v>36</v>
      </c>
      <c r="FB162" s="358">
        <v>26</v>
      </c>
      <c r="FC162" s="358">
        <v>12</v>
      </c>
      <c r="FE162" s="358">
        <v>7</v>
      </c>
      <c r="FF162" s="358">
        <v>12</v>
      </c>
      <c r="FG162" s="358">
        <v>24</v>
      </c>
      <c r="FH162" s="358">
        <v>33</v>
      </c>
      <c r="FI162" s="358">
        <v>44</v>
      </c>
      <c r="FJ162" s="358">
        <v>50</v>
      </c>
      <c r="FK162" s="358">
        <v>55</v>
      </c>
      <c r="FL162" s="358">
        <v>121</v>
      </c>
      <c r="FM162" s="358">
        <v>131</v>
      </c>
      <c r="FN162" s="358">
        <v>137</v>
      </c>
      <c r="FO162" s="358">
        <v>144</v>
      </c>
      <c r="FP162" s="358">
        <v>157</v>
      </c>
      <c r="FQ162" s="358">
        <v>172</v>
      </c>
      <c r="FR162" s="358">
        <v>180</v>
      </c>
      <c r="FS162" s="358">
        <v>187</v>
      </c>
      <c r="FT162" s="358">
        <v>194</v>
      </c>
      <c r="FU162" s="358">
        <v>201</v>
      </c>
      <c r="FV162" s="358">
        <v>211</v>
      </c>
      <c r="FW162" s="358">
        <v>296</v>
      </c>
      <c r="FX162" s="358">
        <v>343</v>
      </c>
      <c r="FY162" s="358">
        <v>350</v>
      </c>
      <c r="FZ162" s="358">
        <v>378</v>
      </c>
      <c r="GA162" s="358">
        <v>447</v>
      </c>
      <c r="GB162" s="358">
        <v>225</v>
      </c>
      <c r="GC162" s="358">
        <v>335</v>
      </c>
      <c r="GD162" s="358">
        <v>371</v>
      </c>
      <c r="GE162" s="358">
        <v>400</v>
      </c>
      <c r="GF162" s="358">
        <v>392</v>
      </c>
      <c r="GG162" s="358">
        <v>316</v>
      </c>
      <c r="GH162" s="358">
        <v>328</v>
      </c>
      <c r="GI162" s="361">
        <v>354</v>
      </c>
    </row>
    <row r="163" spans="1:191">
      <c r="A163" s="336" t="s">
        <v>336</v>
      </c>
      <c r="B163" s="358">
        <v>231</v>
      </c>
      <c r="C163" s="358">
        <v>235</v>
      </c>
      <c r="D163" s="358">
        <v>237</v>
      </c>
      <c r="E163" s="358">
        <v>238</v>
      </c>
      <c r="F163" s="358">
        <v>241</v>
      </c>
      <c r="G163" s="358">
        <v>244</v>
      </c>
      <c r="H163" s="358">
        <v>247</v>
      </c>
      <c r="I163" s="358">
        <v>249</v>
      </c>
      <c r="J163" s="358">
        <v>252</v>
      </c>
      <c r="K163" s="358">
        <v>256</v>
      </c>
      <c r="L163" s="358">
        <v>258</v>
      </c>
      <c r="M163" s="358">
        <v>261</v>
      </c>
      <c r="N163" s="358">
        <v>263</v>
      </c>
      <c r="O163" s="358">
        <v>268</v>
      </c>
      <c r="P163" s="358">
        <v>274</v>
      </c>
      <c r="Q163" s="358">
        <v>276</v>
      </c>
      <c r="R163" s="358">
        <v>279</v>
      </c>
      <c r="S163" s="358">
        <v>281</v>
      </c>
      <c r="T163" s="358">
        <v>284</v>
      </c>
      <c r="U163" s="358">
        <v>287</v>
      </c>
      <c r="V163" s="358">
        <v>229</v>
      </c>
      <c r="W163" s="358">
        <v>227</v>
      </c>
      <c r="X163" s="358">
        <v>225</v>
      </c>
      <c r="Y163" s="358">
        <v>223</v>
      </c>
      <c r="Z163" s="358">
        <v>221</v>
      </c>
      <c r="AA163" s="358">
        <v>220</v>
      </c>
      <c r="AB163" s="358">
        <v>218</v>
      </c>
      <c r="AC163" s="358">
        <v>215</v>
      </c>
      <c r="AD163" s="358">
        <v>213</v>
      </c>
      <c r="AE163" s="358">
        <v>208</v>
      </c>
      <c r="AF163" s="358">
        <v>203</v>
      </c>
      <c r="AG163" s="358">
        <v>198</v>
      </c>
      <c r="AH163" s="358">
        <v>197</v>
      </c>
      <c r="AI163" s="358">
        <v>196</v>
      </c>
      <c r="AJ163" s="358">
        <v>192</v>
      </c>
      <c r="AK163" s="358">
        <v>186</v>
      </c>
      <c r="AL163" s="358">
        <v>180</v>
      </c>
      <c r="AM163" s="358">
        <v>175</v>
      </c>
      <c r="AN163" s="358">
        <v>169</v>
      </c>
      <c r="AO163" s="358">
        <v>165</v>
      </c>
      <c r="AP163" s="358">
        <v>159</v>
      </c>
      <c r="AQ163" s="358">
        <v>153</v>
      </c>
      <c r="AR163" s="358">
        <v>149</v>
      </c>
      <c r="AS163" s="358">
        <v>137</v>
      </c>
      <c r="AT163" s="358">
        <v>129</v>
      </c>
      <c r="AU163" s="358">
        <v>119</v>
      </c>
      <c r="AV163" s="358">
        <v>110</v>
      </c>
      <c r="AW163" s="358">
        <v>102</v>
      </c>
      <c r="AX163" s="358">
        <v>234</v>
      </c>
      <c r="AY163" s="358">
        <v>238</v>
      </c>
      <c r="AZ163" s="358">
        <v>239</v>
      </c>
      <c r="BA163" s="358">
        <v>240</v>
      </c>
      <c r="BB163" s="358">
        <v>241</v>
      </c>
      <c r="BC163" s="358">
        <v>244</v>
      </c>
      <c r="BD163" s="358">
        <v>248</v>
      </c>
      <c r="BE163" s="358">
        <v>250</v>
      </c>
      <c r="BF163" s="358">
        <v>251</v>
      </c>
      <c r="BG163" s="358">
        <v>254</v>
      </c>
      <c r="BH163" s="358">
        <v>255</v>
      </c>
      <c r="BI163" s="358">
        <v>256</v>
      </c>
      <c r="BJ163" s="358">
        <v>258</v>
      </c>
      <c r="BK163" s="358">
        <v>259</v>
      </c>
      <c r="BL163" s="358">
        <v>260</v>
      </c>
      <c r="BM163" s="358">
        <v>262</v>
      </c>
      <c r="BN163" s="358">
        <v>263</v>
      </c>
      <c r="BO163" s="358">
        <v>266</v>
      </c>
      <c r="BP163" s="358">
        <v>271</v>
      </c>
      <c r="BQ163" s="358">
        <v>275</v>
      </c>
      <c r="BR163" s="358">
        <v>285</v>
      </c>
      <c r="BS163" s="358">
        <v>292</v>
      </c>
      <c r="BT163" s="358">
        <v>296</v>
      </c>
      <c r="BU163" s="358">
        <v>299</v>
      </c>
      <c r="BV163" s="358">
        <v>236</v>
      </c>
      <c r="BW163" s="358">
        <v>237</v>
      </c>
      <c r="BX163" s="358">
        <v>240</v>
      </c>
      <c r="BY163" s="358">
        <v>244</v>
      </c>
      <c r="BZ163" s="358">
        <v>249</v>
      </c>
      <c r="CA163" s="358">
        <v>253</v>
      </c>
      <c r="CB163" s="358">
        <v>260</v>
      </c>
      <c r="CC163" s="358">
        <v>265</v>
      </c>
      <c r="CD163" s="358">
        <v>268</v>
      </c>
      <c r="CE163" s="358">
        <v>272</v>
      </c>
      <c r="CF163" s="358">
        <v>274</v>
      </c>
      <c r="CG163" s="358">
        <v>281</v>
      </c>
      <c r="CH163" s="358">
        <v>283</v>
      </c>
      <c r="CI163" s="358">
        <v>287</v>
      </c>
      <c r="CJ163" s="358">
        <v>290</v>
      </c>
      <c r="CK163" s="358">
        <v>297</v>
      </c>
      <c r="CL163" s="358">
        <v>303</v>
      </c>
      <c r="CM163" s="358">
        <v>307</v>
      </c>
      <c r="CN163" s="358">
        <v>312</v>
      </c>
      <c r="CO163" s="358">
        <v>319</v>
      </c>
      <c r="CP163" s="358">
        <v>330</v>
      </c>
      <c r="CQ163" s="358">
        <v>343</v>
      </c>
      <c r="CR163" s="358">
        <v>348</v>
      </c>
      <c r="CS163" s="358">
        <v>237</v>
      </c>
      <c r="CT163" s="358">
        <v>242</v>
      </c>
      <c r="CU163" s="358">
        <v>248</v>
      </c>
      <c r="CV163" s="358">
        <v>254</v>
      </c>
      <c r="CW163" s="358">
        <v>260</v>
      </c>
      <c r="CX163" s="358">
        <v>265</v>
      </c>
      <c r="CY163" s="358">
        <v>272</v>
      </c>
      <c r="CZ163" s="358">
        <v>275</v>
      </c>
      <c r="DA163" s="358">
        <v>279</v>
      </c>
      <c r="DB163" s="358">
        <v>284</v>
      </c>
      <c r="DC163" s="358">
        <v>295</v>
      </c>
      <c r="DD163" s="358">
        <v>305</v>
      </c>
      <c r="DE163" s="358">
        <v>309</v>
      </c>
      <c r="DF163" s="358">
        <v>315</v>
      </c>
      <c r="DG163" s="358">
        <v>324</v>
      </c>
      <c r="DH163" s="358">
        <v>329</v>
      </c>
      <c r="DI163" s="358">
        <v>336</v>
      </c>
      <c r="DJ163" s="358">
        <v>345</v>
      </c>
      <c r="DK163" s="358">
        <v>352</v>
      </c>
      <c r="DL163" s="358">
        <v>360</v>
      </c>
      <c r="DM163" s="358">
        <v>372</v>
      </c>
      <c r="DN163" s="358">
        <v>375</v>
      </c>
      <c r="DO163" s="358">
        <v>386</v>
      </c>
      <c r="DP163" s="358">
        <v>395</v>
      </c>
      <c r="DQ163" s="358">
        <v>230</v>
      </c>
      <c r="DR163" s="358">
        <v>235</v>
      </c>
      <c r="DS163" s="358">
        <v>239</v>
      </c>
      <c r="DT163" s="358">
        <v>241</v>
      </c>
      <c r="DU163" s="358">
        <v>244</v>
      </c>
      <c r="DV163" s="358">
        <v>245</v>
      </c>
      <c r="DW163" s="358">
        <v>251</v>
      </c>
      <c r="DX163" s="358">
        <v>254</v>
      </c>
      <c r="DY163" s="358">
        <v>260</v>
      </c>
      <c r="DZ163" s="358">
        <v>265</v>
      </c>
      <c r="EA163" s="358">
        <v>269</v>
      </c>
      <c r="EB163" s="358">
        <v>273</v>
      </c>
      <c r="EC163" s="358">
        <v>278</v>
      </c>
      <c r="ED163" s="358">
        <v>284</v>
      </c>
      <c r="EE163" s="358">
        <v>290</v>
      </c>
      <c r="EF163" s="358">
        <v>293</v>
      </c>
      <c r="EG163" s="358">
        <v>297</v>
      </c>
      <c r="EH163" s="358">
        <v>302</v>
      </c>
      <c r="EI163" s="358">
        <v>307</v>
      </c>
      <c r="EJ163" s="358">
        <v>311</v>
      </c>
      <c r="EK163" s="358">
        <v>316</v>
      </c>
      <c r="EL163" s="358">
        <v>320</v>
      </c>
      <c r="EM163" s="358">
        <v>119</v>
      </c>
      <c r="EN163" s="358">
        <v>131</v>
      </c>
      <c r="EO163" s="358">
        <v>142</v>
      </c>
      <c r="EP163" s="358">
        <v>152</v>
      </c>
      <c r="EQ163" s="358">
        <v>159</v>
      </c>
      <c r="ES163" s="358">
        <v>171</v>
      </c>
      <c r="ET163" s="358">
        <v>176</v>
      </c>
      <c r="EU163" s="358">
        <v>185</v>
      </c>
      <c r="EV163" s="358">
        <v>191</v>
      </c>
      <c r="EW163" s="358">
        <v>89</v>
      </c>
      <c r="EX163" s="358">
        <v>78</v>
      </c>
      <c r="EY163" s="358">
        <v>67</v>
      </c>
      <c r="EZ163" s="358">
        <v>51</v>
      </c>
      <c r="FA163" s="358">
        <v>43</v>
      </c>
      <c r="FB163" s="358">
        <v>33</v>
      </c>
      <c r="FC163" s="358">
        <v>19</v>
      </c>
      <c r="FD163" s="358">
        <v>7</v>
      </c>
      <c r="FF163" s="358">
        <v>5</v>
      </c>
      <c r="FG163" s="358">
        <v>17</v>
      </c>
      <c r="FH163" s="358">
        <v>26</v>
      </c>
      <c r="FI163" s="358">
        <v>37</v>
      </c>
      <c r="FJ163" s="358">
        <v>43</v>
      </c>
      <c r="FK163" s="358">
        <v>48</v>
      </c>
      <c r="FL163" s="358">
        <v>128</v>
      </c>
      <c r="FM163" s="358">
        <v>138</v>
      </c>
      <c r="FN163" s="358">
        <v>144</v>
      </c>
      <c r="FO163" s="358">
        <v>151</v>
      </c>
      <c r="FP163" s="358">
        <v>164</v>
      </c>
      <c r="FQ163" s="358">
        <v>179</v>
      </c>
      <c r="FR163" s="358">
        <v>187</v>
      </c>
      <c r="FS163" s="358">
        <v>194</v>
      </c>
      <c r="FT163" s="358">
        <v>201</v>
      </c>
      <c r="FU163" s="358">
        <v>208</v>
      </c>
      <c r="FV163" s="358">
        <v>218</v>
      </c>
      <c r="FW163" s="358">
        <v>303</v>
      </c>
      <c r="FX163" s="358">
        <v>350</v>
      </c>
      <c r="FY163" s="358">
        <v>357</v>
      </c>
      <c r="FZ163" s="358">
        <v>385</v>
      </c>
      <c r="GA163" s="358">
        <v>454</v>
      </c>
      <c r="GB163" s="358">
        <v>232</v>
      </c>
      <c r="GC163" s="358">
        <v>342</v>
      </c>
      <c r="GD163" s="358">
        <v>378</v>
      </c>
      <c r="GE163" s="358">
        <v>407</v>
      </c>
      <c r="GF163" s="358">
        <v>399</v>
      </c>
      <c r="GG163" s="358">
        <v>323</v>
      </c>
      <c r="GH163" s="358">
        <v>335</v>
      </c>
      <c r="GI163" s="361">
        <v>361</v>
      </c>
    </row>
    <row r="164" spans="1:191">
      <c r="A164" s="336" t="s">
        <v>335</v>
      </c>
      <c r="B164" s="358">
        <v>236</v>
      </c>
      <c r="C164" s="358">
        <v>240</v>
      </c>
      <c r="D164" s="358">
        <v>242</v>
      </c>
      <c r="E164" s="358">
        <v>243</v>
      </c>
      <c r="F164" s="358">
        <v>246</v>
      </c>
      <c r="G164" s="358">
        <v>249</v>
      </c>
      <c r="H164" s="358">
        <v>252</v>
      </c>
      <c r="I164" s="358">
        <v>254</v>
      </c>
      <c r="J164" s="358">
        <v>257</v>
      </c>
      <c r="K164" s="358">
        <v>261</v>
      </c>
      <c r="L164" s="358">
        <v>263</v>
      </c>
      <c r="M164" s="358">
        <v>266</v>
      </c>
      <c r="N164" s="358">
        <v>268</v>
      </c>
      <c r="O164" s="358">
        <v>273</v>
      </c>
      <c r="P164" s="358">
        <v>279</v>
      </c>
      <c r="Q164" s="358">
        <v>281</v>
      </c>
      <c r="R164" s="358">
        <v>284</v>
      </c>
      <c r="S164" s="358">
        <v>286</v>
      </c>
      <c r="T164" s="358">
        <v>289</v>
      </c>
      <c r="U164" s="358">
        <v>292</v>
      </c>
      <c r="V164" s="358">
        <v>234</v>
      </c>
      <c r="W164" s="358">
        <v>232</v>
      </c>
      <c r="X164" s="358">
        <v>230</v>
      </c>
      <c r="Y164" s="358">
        <v>228</v>
      </c>
      <c r="Z164" s="358">
        <v>226</v>
      </c>
      <c r="AA164" s="358">
        <v>225</v>
      </c>
      <c r="AB164" s="358">
        <v>223</v>
      </c>
      <c r="AC164" s="358">
        <v>220</v>
      </c>
      <c r="AD164" s="358">
        <v>218</v>
      </c>
      <c r="AE164" s="358">
        <v>213</v>
      </c>
      <c r="AF164" s="358">
        <v>208</v>
      </c>
      <c r="AG164" s="358">
        <v>203</v>
      </c>
      <c r="AH164" s="358">
        <v>202</v>
      </c>
      <c r="AI164" s="358">
        <v>201</v>
      </c>
      <c r="AJ164" s="358">
        <v>197</v>
      </c>
      <c r="AK164" s="358">
        <v>191</v>
      </c>
      <c r="AL164" s="358">
        <v>185</v>
      </c>
      <c r="AM164" s="358">
        <v>180</v>
      </c>
      <c r="AN164" s="358">
        <v>174</v>
      </c>
      <c r="AO164" s="358">
        <v>170</v>
      </c>
      <c r="AP164" s="358">
        <v>164</v>
      </c>
      <c r="AQ164" s="358">
        <v>158</v>
      </c>
      <c r="AR164" s="358">
        <v>154</v>
      </c>
      <c r="AS164" s="358">
        <v>142</v>
      </c>
      <c r="AT164" s="358">
        <v>134</v>
      </c>
      <c r="AU164" s="358">
        <v>124</v>
      </c>
      <c r="AV164" s="358">
        <v>115</v>
      </c>
      <c r="AW164" s="358">
        <v>107</v>
      </c>
      <c r="AX164" s="358">
        <v>239</v>
      </c>
      <c r="AY164" s="358">
        <v>243</v>
      </c>
      <c r="AZ164" s="358">
        <v>244</v>
      </c>
      <c r="BA164" s="358">
        <v>245</v>
      </c>
      <c r="BB164" s="358">
        <v>246</v>
      </c>
      <c r="BC164" s="358">
        <v>249</v>
      </c>
      <c r="BD164" s="358">
        <v>253</v>
      </c>
      <c r="BE164" s="358">
        <v>255</v>
      </c>
      <c r="BF164" s="358">
        <v>256</v>
      </c>
      <c r="BG164" s="358">
        <v>259</v>
      </c>
      <c r="BH164" s="358">
        <v>260</v>
      </c>
      <c r="BI164" s="358">
        <v>261</v>
      </c>
      <c r="BJ164" s="358">
        <v>263</v>
      </c>
      <c r="BK164" s="358">
        <v>264</v>
      </c>
      <c r="BL164" s="358">
        <v>265</v>
      </c>
      <c r="BM164" s="358">
        <v>267</v>
      </c>
      <c r="BN164" s="358">
        <v>268</v>
      </c>
      <c r="BO164" s="358">
        <v>271</v>
      </c>
      <c r="BP164" s="358">
        <v>276</v>
      </c>
      <c r="BQ164" s="358">
        <v>280</v>
      </c>
      <c r="BR164" s="358">
        <v>290</v>
      </c>
      <c r="BS164" s="358">
        <v>297</v>
      </c>
      <c r="BT164" s="358">
        <v>301</v>
      </c>
      <c r="BU164" s="358">
        <v>304</v>
      </c>
      <c r="BV164" s="358">
        <v>241</v>
      </c>
      <c r="BW164" s="358">
        <v>242</v>
      </c>
      <c r="BX164" s="358">
        <v>245</v>
      </c>
      <c r="BY164" s="358">
        <v>249</v>
      </c>
      <c r="BZ164" s="358">
        <v>254</v>
      </c>
      <c r="CA164" s="358">
        <v>258</v>
      </c>
      <c r="CB164" s="358">
        <v>265</v>
      </c>
      <c r="CC164" s="358">
        <v>270</v>
      </c>
      <c r="CD164" s="358">
        <v>273</v>
      </c>
      <c r="CE164" s="358">
        <v>277</v>
      </c>
      <c r="CF164" s="358">
        <v>279</v>
      </c>
      <c r="CG164" s="358">
        <v>286</v>
      </c>
      <c r="CH164" s="358">
        <v>288</v>
      </c>
      <c r="CI164" s="358">
        <v>292</v>
      </c>
      <c r="CJ164" s="358">
        <v>295</v>
      </c>
      <c r="CK164" s="358">
        <v>302</v>
      </c>
      <c r="CL164" s="358">
        <v>308</v>
      </c>
      <c r="CM164" s="358">
        <v>312</v>
      </c>
      <c r="CN164" s="358">
        <v>317</v>
      </c>
      <c r="CO164" s="358">
        <v>324</v>
      </c>
      <c r="CP164" s="358">
        <v>335</v>
      </c>
      <c r="CQ164" s="358">
        <v>348</v>
      </c>
      <c r="CR164" s="358">
        <v>353</v>
      </c>
      <c r="CS164" s="358">
        <v>242</v>
      </c>
      <c r="CT164" s="358">
        <v>247</v>
      </c>
      <c r="CU164" s="358">
        <v>253</v>
      </c>
      <c r="CV164" s="358">
        <v>259</v>
      </c>
      <c r="CW164" s="358">
        <v>265</v>
      </c>
      <c r="CX164" s="358">
        <v>270</v>
      </c>
      <c r="CY164" s="358">
        <v>277</v>
      </c>
      <c r="CZ164" s="358">
        <v>280</v>
      </c>
      <c r="DA164" s="358">
        <v>284</v>
      </c>
      <c r="DB164" s="358">
        <v>289</v>
      </c>
      <c r="DC164" s="358">
        <v>300</v>
      </c>
      <c r="DD164" s="358">
        <v>310</v>
      </c>
      <c r="DE164" s="358">
        <v>314</v>
      </c>
      <c r="DF164" s="358">
        <v>320</v>
      </c>
      <c r="DG164" s="358">
        <v>329</v>
      </c>
      <c r="DH164" s="358">
        <v>334</v>
      </c>
      <c r="DI164" s="358">
        <v>341</v>
      </c>
      <c r="DJ164" s="358">
        <v>350</v>
      </c>
      <c r="DK164" s="358">
        <v>357</v>
      </c>
      <c r="DL164" s="358">
        <v>365</v>
      </c>
      <c r="DM164" s="358">
        <v>377</v>
      </c>
      <c r="DN164" s="358">
        <v>380</v>
      </c>
      <c r="DO164" s="358">
        <v>391</v>
      </c>
      <c r="DP164" s="358">
        <v>400</v>
      </c>
      <c r="DQ164" s="358">
        <v>235</v>
      </c>
      <c r="DR164" s="358">
        <v>240</v>
      </c>
      <c r="DS164" s="358">
        <v>244</v>
      </c>
      <c r="DT164" s="358">
        <v>246</v>
      </c>
      <c r="DU164" s="358">
        <v>249</v>
      </c>
      <c r="DV164" s="358">
        <v>250</v>
      </c>
      <c r="DW164" s="358">
        <v>256</v>
      </c>
      <c r="DX164" s="358">
        <v>259</v>
      </c>
      <c r="DY164" s="358">
        <v>265</v>
      </c>
      <c r="DZ164" s="358">
        <v>270</v>
      </c>
      <c r="EA164" s="358">
        <v>274</v>
      </c>
      <c r="EB164" s="358">
        <v>278</v>
      </c>
      <c r="EC164" s="358">
        <v>283</v>
      </c>
      <c r="ED164" s="358">
        <v>289</v>
      </c>
      <c r="EE164" s="358">
        <v>295</v>
      </c>
      <c r="EF164" s="358">
        <v>298</v>
      </c>
      <c r="EG164" s="358">
        <v>302</v>
      </c>
      <c r="EH164" s="358">
        <v>307</v>
      </c>
      <c r="EI164" s="358">
        <v>312</v>
      </c>
      <c r="EJ164" s="358">
        <v>316</v>
      </c>
      <c r="EK164" s="358">
        <v>321</v>
      </c>
      <c r="EL164" s="358">
        <v>325</v>
      </c>
      <c r="EM164" s="358">
        <v>124</v>
      </c>
      <c r="EN164" s="358">
        <v>136</v>
      </c>
      <c r="EO164" s="358">
        <v>147</v>
      </c>
      <c r="EP164" s="358">
        <v>157</v>
      </c>
      <c r="EQ164" s="358">
        <v>164</v>
      </c>
      <c r="ES164" s="358">
        <v>176</v>
      </c>
      <c r="ET164" s="358">
        <v>181</v>
      </c>
      <c r="EU164" s="358">
        <v>190</v>
      </c>
      <c r="EV164" s="358">
        <v>196</v>
      </c>
      <c r="EW164" s="358">
        <v>94</v>
      </c>
      <c r="EX164" s="358">
        <v>83</v>
      </c>
      <c r="EY164" s="358">
        <v>72</v>
      </c>
      <c r="EZ164" s="358">
        <v>56</v>
      </c>
      <c r="FA164" s="358">
        <v>48</v>
      </c>
      <c r="FB164" s="358">
        <v>38</v>
      </c>
      <c r="FC164" s="358">
        <v>24</v>
      </c>
      <c r="FD164" s="358">
        <v>12</v>
      </c>
      <c r="FE164" s="358">
        <v>5</v>
      </c>
      <c r="FG164" s="358">
        <v>12</v>
      </c>
      <c r="FH164" s="358">
        <v>21</v>
      </c>
      <c r="FI164" s="358">
        <v>32</v>
      </c>
      <c r="FJ164" s="358">
        <v>38</v>
      </c>
      <c r="FK164" s="358">
        <v>43</v>
      </c>
      <c r="FL164" s="358">
        <v>133</v>
      </c>
      <c r="FM164" s="358">
        <v>143</v>
      </c>
      <c r="FN164" s="358">
        <v>149</v>
      </c>
      <c r="FO164" s="358">
        <v>156</v>
      </c>
      <c r="FP164" s="358">
        <v>169</v>
      </c>
      <c r="FQ164" s="358">
        <v>184</v>
      </c>
      <c r="FR164" s="358">
        <v>192</v>
      </c>
      <c r="FS164" s="358">
        <v>199</v>
      </c>
      <c r="FT164" s="358">
        <v>206</v>
      </c>
      <c r="FU164" s="358">
        <v>213</v>
      </c>
      <c r="FV164" s="358">
        <v>223</v>
      </c>
      <c r="FW164" s="358">
        <v>308</v>
      </c>
      <c r="FX164" s="358">
        <v>355</v>
      </c>
      <c r="FY164" s="358">
        <v>362</v>
      </c>
      <c r="FZ164" s="358">
        <v>390</v>
      </c>
      <c r="GA164" s="358">
        <v>459</v>
      </c>
      <c r="GB164" s="358">
        <v>237</v>
      </c>
      <c r="GC164" s="358">
        <v>347</v>
      </c>
      <c r="GD164" s="358">
        <v>383</v>
      </c>
      <c r="GE164" s="358">
        <v>412</v>
      </c>
      <c r="GF164" s="358">
        <v>404</v>
      </c>
      <c r="GG164" s="358">
        <v>328</v>
      </c>
      <c r="GH164" s="358">
        <v>340</v>
      </c>
      <c r="GI164" s="361">
        <v>366</v>
      </c>
    </row>
    <row r="165" spans="1:191">
      <c r="A165" s="336" t="s">
        <v>334</v>
      </c>
      <c r="B165" s="358">
        <v>248</v>
      </c>
      <c r="C165" s="358">
        <v>252</v>
      </c>
      <c r="D165" s="358">
        <v>254</v>
      </c>
      <c r="E165" s="358">
        <v>255</v>
      </c>
      <c r="F165" s="358">
        <v>258</v>
      </c>
      <c r="G165" s="358">
        <v>261</v>
      </c>
      <c r="H165" s="358">
        <v>264</v>
      </c>
      <c r="I165" s="358">
        <v>266</v>
      </c>
      <c r="J165" s="358">
        <v>269</v>
      </c>
      <c r="K165" s="358">
        <v>273</v>
      </c>
      <c r="L165" s="358">
        <v>275</v>
      </c>
      <c r="M165" s="358">
        <v>278</v>
      </c>
      <c r="N165" s="358">
        <v>280</v>
      </c>
      <c r="O165" s="358">
        <v>285</v>
      </c>
      <c r="P165" s="358">
        <v>291</v>
      </c>
      <c r="Q165" s="358">
        <v>293</v>
      </c>
      <c r="R165" s="358">
        <v>296</v>
      </c>
      <c r="S165" s="358">
        <v>298</v>
      </c>
      <c r="T165" s="358">
        <v>301</v>
      </c>
      <c r="U165" s="358">
        <v>304</v>
      </c>
      <c r="V165" s="358">
        <v>246</v>
      </c>
      <c r="W165" s="358">
        <v>244</v>
      </c>
      <c r="X165" s="358">
        <v>242</v>
      </c>
      <c r="Y165" s="358">
        <v>240</v>
      </c>
      <c r="Z165" s="358">
        <v>238</v>
      </c>
      <c r="AA165" s="358">
        <v>237</v>
      </c>
      <c r="AB165" s="358">
        <v>235</v>
      </c>
      <c r="AC165" s="358">
        <v>232</v>
      </c>
      <c r="AD165" s="358">
        <v>230</v>
      </c>
      <c r="AE165" s="358">
        <v>225</v>
      </c>
      <c r="AF165" s="358">
        <v>220</v>
      </c>
      <c r="AG165" s="358">
        <v>215</v>
      </c>
      <c r="AH165" s="358">
        <v>214</v>
      </c>
      <c r="AI165" s="358">
        <v>213</v>
      </c>
      <c r="AJ165" s="358">
        <v>209</v>
      </c>
      <c r="AK165" s="358">
        <v>203</v>
      </c>
      <c r="AL165" s="358">
        <v>197</v>
      </c>
      <c r="AM165" s="358">
        <v>192</v>
      </c>
      <c r="AN165" s="358">
        <v>186</v>
      </c>
      <c r="AO165" s="358">
        <v>182</v>
      </c>
      <c r="AP165" s="358">
        <v>176</v>
      </c>
      <c r="AQ165" s="358">
        <v>170</v>
      </c>
      <c r="AR165" s="358">
        <v>166</v>
      </c>
      <c r="AS165" s="358">
        <v>154</v>
      </c>
      <c r="AT165" s="358">
        <v>146</v>
      </c>
      <c r="AU165" s="358">
        <v>136</v>
      </c>
      <c r="AV165" s="358">
        <v>127</v>
      </c>
      <c r="AW165" s="358">
        <v>119</v>
      </c>
      <c r="AX165" s="358">
        <v>251</v>
      </c>
      <c r="AY165" s="358">
        <v>255</v>
      </c>
      <c r="AZ165" s="358">
        <v>256</v>
      </c>
      <c r="BA165" s="358">
        <v>257</v>
      </c>
      <c r="BB165" s="358">
        <v>258</v>
      </c>
      <c r="BC165" s="358">
        <v>261</v>
      </c>
      <c r="BD165" s="358">
        <v>265</v>
      </c>
      <c r="BE165" s="358">
        <v>267</v>
      </c>
      <c r="BF165" s="358">
        <v>268</v>
      </c>
      <c r="BG165" s="358">
        <v>271</v>
      </c>
      <c r="BH165" s="358">
        <v>272</v>
      </c>
      <c r="BI165" s="358">
        <v>273</v>
      </c>
      <c r="BJ165" s="358">
        <v>275</v>
      </c>
      <c r="BK165" s="358">
        <v>276</v>
      </c>
      <c r="BL165" s="358">
        <v>277</v>
      </c>
      <c r="BM165" s="358">
        <v>279</v>
      </c>
      <c r="BN165" s="358">
        <v>280</v>
      </c>
      <c r="BO165" s="358">
        <v>283</v>
      </c>
      <c r="BP165" s="358">
        <v>288</v>
      </c>
      <c r="BQ165" s="358">
        <v>292</v>
      </c>
      <c r="BR165" s="358">
        <v>302</v>
      </c>
      <c r="BS165" s="358">
        <v>309</v>
      </c>
      <c r="BT165" s="358">
        <v>313</v>
      </c>
      <c r="BU165" s="358">
        <v>316</v>
      </c>
      <c r="BV165" s="358">
        <v>253</v>
      </c>
      <c r="BW165" s="358">
        <v>254</v>
      </c>
      <c r="BX165" s="358">
        <v>257</v>
      </c>
      <c r="BY165" s="358">
        <v>261</v>
      </c>
      <c r="BZ165" s="358">
        <v>266</v>
      </c>
      <c r="CA165" s="358">
        <v>270</v>
      </c>
      <c r="CB165" s="358">
        <v>277</v>
      </c>
      <c r="CC165" s="358">
        <v>282</v>
      </c>
      <c r="CD165" s="358">
        <v>285</v>
      </c>
      <c r="CE165" s="358">
        <v>289</v>
      </c>
      <c r="CF165" s="358">
        <v>291</v>
      </c>
      <c r="CG165" s="358">
        <v>298</v>
      </c>
      <c r="CH165" s="358">
        <v>300</v>
      </c>
      <c r="CI165" s="358">
        <v>304</v>
      </c>
      <c r="CJ165" s="358">
        <v>307</v>
      </c>
      <c r="CK165" s="358">
        <v>314</v>
      </c>
      <c r="CL165" s="358">
        <v>320</v>
      </c>
      <c r="CM165" s="358">
        <v>324</v>
      </c>
      <c r="CN165" s="358">
        <v>329</v>
      </c>
      <c r="CO165" s="358">
        <v>336</v>
      </c>
      <c r="CP165" s="358">
        <v>347</v>
      </c>
      <c r="CQ165" s="358">
        <v>360</v>
      </c>
      <c r="CR165" s="358">
        <v>365</v>
      </c>
      <c r="CS165" s="358">
        <v>254</v>
      </c>
      <c r="CT165" s="358">
        <v>259</v>
      </c>
      <c r="CU165" s="358">
        <v>265</v>
      </c>
      <c r="CV165" s="358">
        <v>271</v>
      </c>
      <c r="CW165" s="358">
        <v>277</v>
      </c>
      <c r="CX165" s="358">
        <v>282</v>
      </c>
      <c r="CY165" s="358">
        <v>289</v>
      </c>
      <c r="CZ165" s="358">
        <v>292</v>
      </c>
      <c r="DA165" s="358">
        <v>296</v>
      </c>
      <c r="DB165" s="358">
        <v>301</v>
      </c>
      <c r="DC165" s="358">
        <v>312</v>
      </c>
      <c r="DD165" s="358">
        <v>322</v>
      </c>
      <c r="DE165" s="358">
        <v>326</v>
      </c>
      <c r="DF165" s="358">
        <v>332</v>
      </c>
      <c r="DG165" s="358">
        <v>341</v>
      </c>
      <c r="DH165" s="358">
        <v>346</v>
      </c>
      <c r="DI165" s="358">
        <v>353</v>
      </c>
      <c r="DJ165" s="358">
        <v>362</v>
      </c>
      <c r="DK165" s="358">
        <v>369</v>
      </c>
      <c r="DL165" s="358">
        <v>377</v>
      </c>
      <c r="DM165" s="358">
        <v>389</v>
      </c>
      <c r="DN165" s="358">
        <v>392</v>
      </c>
      <c r="DO165" s="358">
        <v>403</v>
      </c>
      <c r="DP165" s="358">
        <v>412</v>
      </c>
      <c r="DQ165" s="358">
        <v>247</v>
      </c>
      <c r="DR165" s="358">
        <v>252</v>
      </c>
      <c r="DS165" s="358">
        <v>256</v>
      </c>
      <c r="DT165" s="358">
        <v>258</v>
      </c>
      <c r="DU165" s="358">
        <v>261</v>
      </c>
      <c r="DV165" s="358">
        <v>262</v>
      </c>
      <c r="DW165" s="358">
        <v>268</v>
      </c>
      <c r="DX165" s="358">
        <v>271</v>
      </c>
      <c r="DY165" s="358">
        <v>277</v>
      </c>
      <c r="DZ165" s="358">
        <v>282</v>
      </c>
      <c r="EA165" s="358">
        <v>286</v>
      </c>
      <c r="EB165" s="358">
        <v>290</v>
      </c>
      <c r="EC165" s="358">
        <v>295</v>
      </c>
      <c r="ED165" s="358">
        <v>301</v>
      </c>
      <c r="EE165" s="358">
        <v>307</v>
      </c>
      <c r="EF165" s="358">
        <v>310</v>
      </c>
      <c r="EG165" s="358">
        <v>314</v>
      </c>
      <c r="EH165" s="358">
        <v>319</v>
      </c>
      <c r="EI165" s="358">
        <v>324</v>
      </c>
      <c r="EJ165" s="358">
        <v>328</v>
      </c>
      <c r="EK165" s="358">
        <v>333</v>
      </c>
      <c r="EL165" s="358">
        <v>337</v>
      </c>
      <c r="EM165" s="358">
        <v>136</v>
      </c>
      <c r="EN165" s="358">
        <v>148</v>
      </c>
      <c r="EO165" s="358">
        <v>159</v>
      </c>
      <c r="EP165" s="358">
        <v>169</v>
      </c>
      <c r="EQ165" s="358">
        <v>176</v>
      </c>
      <c r="ES165" s="358">
        <v>188</v>
      </c>
      <c r="ET165" s="358">
        <v>193</v>
      </c>
      <c r="EU165" s="358">
        <v>202</v>
      </c>
      <c r="EV165" s="358">
        <v>208</v>
      </c>
      <c r="EW165" s="358">
        <v>106</v>
      </c>
      <c r="EX165" s="358">
        <v>95</v>
      </c>
      <c r="EY165" s="358">
        <v>84</v>
      </c>
      <c r="EZ165" s="358">
        <v>68</v>
      </c>
      <c r="FA165" s="358">
        <v>60</v>
      </c>
      <c r="FB165" s="358">
        <v>50</v>
      </c>
      <c r="FC165" s="358">
        <v>36</v>
      </c>
      <c r="FD165" s="358">
        <v>24</v>
      </c>
      <c r="FE165" s="358">
        <v>17</v>
      </c>
      <c r="FF165" s="358">
        <v>12</v>
      </c>
      <c r="FH165" s="358">
        <v>9</v>
      </c>
      <c r="FI165" s="358">
        <v>20</v>
      </c>
      <c r="FJ165" s="358">
        <v>26</v>
      </c>
      <c r="FK165" s="358">
        <v>31</v>
      </c>
      <c r="FL165" s="358">
        <v>145</v>
      </c>
      <c r="FM165" s="358">
        <v>155</v>
      </c>
      <c r="FN165" s="358">
        <v>161</v>
      </c>
      <c r="FO165" s="358">
        <v>168</v>
      </c>
      <c r="FP165" s="358">
        <v>181</v>
      </c>
      <c r="FQ165" s="358">
        <v>196</v>
      </c>
      <c r="FR165" s="358">
        <v>204</v>
      </c>
      <c r="FS165" s="358">
        <v>211</v>
      </c>
      <c r="FT165" s="358">
        <v>218</v>
      </c>
      <c r="FU165" s="358">
        <v>225</v>
      </c>
      <c r="FV165" s="358">
        <v>235</v>
      </c>
      <c r="FW165" s="358">
        <v>320</v>
      </c>
      <c r="FX165" s="358">
        <v>367</v>
      </c>
      <c r="FY165" s="358">
        <v>374</v>
      </c>
      <c r="FZ165" s="358">
        <v>402</v>
      </c>
      <c r="GA165" s="358">
        <v>471</v>
      </c>
      <c r="GB165" s="358">
        <v>249</v>
      </c>
      <c r="GC165" s="358">
        <v>359</v>
      </c>
      <c r="GD165" s="358">
        <v>395</v>
      </c>
      <c r="GE165" s="358">
        <v>424</v>
      </c>
      <c r="GF165" s="358">
        <v>416</v>
      </c>
      <c r="GG165" s="358">
        <v>340</v>
      </c>
      <c r="GH165" s="358">
        <v>352</v>
      </c>
      <c r="GI165" s="361">
        <v>378</v>
      </c>
    </row>
    <row r="166" spans="1:191">
      <c r="A166" s="336" t="s">
        <v>333</v>
      </c>
      <c r="B166" s="358">
        <v>257</v>
      </c>
      <c r="C166" s="358">
        <v>261</v>
      </c>
      <c r="D166" s="358">
        <v>263</v>
      </c>
      <c r="E166" s="358">
        <v>264</v>
      </c>
      <c r="F166" s="358">
        <v>267</v>
      </c>
      <c r="G166" s="358">
        <v>270</v>
      </c>
      <c r="H166" s="358">
        <v>273</v>
      </c>
      <c r="I166" s="358">
        <v>275</v>
      </c>
      <c r="J166" s="358">
        <v>278</v>
      </c>
      <c r="K166" s="358">
        <v>282</v>
      </c>
      <c r="L166" s="358">
        <v>284</v>
      </c>
      <c r="M166" s="358">
        <v>287</v>
      </c>
      <c r="N166" s="358">
        <v>289</v>
      </c>
      <c r="O166" s="358">
        <v>294</v>
      </c>
      <c r="P166" s="358">
        <v>300</v>
      </c>
      <c r="Q166" s="358">
        <v>302</v>
      </c>
      <c r="R166" s="358">
        <v>305</v>
      </c>
      <c r="S166" s="358">
        <v>307</v>
      </c>
      <c r="T166" s="358">
        <v>310</v>
      </c>
      <c r="U166" s="358">
        <v>313</v>
      </c>
      <c r="V166" s="358">
        <v>255</v>
      </c>
      <c r="W166" s="358">
        <v>253</v>
      </c>
      <c r="X166" s="358">
        <v>251</v>
      </c>
      <c r="Y166" s="358">
        <v>249</v>
      </c>
      <c r="Z166" s="358">
        <v>247</v>
      </c>
      <c r="AA166" s="358">
        <v>246</v>
      </c>
      <c r="AB166" s="358">
        <v>244</v>
      </c>
      <c r="AC166" s="358">
        <v>241</v>
      </c>
      <c r="AD166" s="358">
        <v>239</v>
      </c>
      <c r="AE166" s="358">
        <v>234</v>
      </c>
      <c r="AF166" s="358">
        <v>229</v>
      </c>
      <c r="AG166" s="358">
        <v>224</v>
      </c>
      <c r="AH166" s="358">
        <v>223</v>
      </c>
      <c r="AI166" s="358">
        <v>222</v>
      </c>
      <c r="AJ166" s="358">
        <v>218</v>
      </c>
      <c r="AK166" s="358">
        <v>212</v>
      </c>
      <c r="AL166" s="358">
        <v>206</v>
      </c>
      <c r="AM166" s="358">
        <v>201</v>
      </c>
      <c r="AN166" s="358">
        <v>195</v>
      </c>
      <c r="AO166" s="358">
        <v>191</v>
      </c>
      <c r="AP166" s="358">
        <v>185</v>
      </c>
      <c r="AQ166" s="358">
        <v>179</v>
      </c>
      <c r="AR166" s="358">
        <v>175</v>
      </c>
      <c r="AS166" s="358">
        <v>163</v>
      </c>
      <c r="AT166" s="358">
        <v>155</v>
      </c>
      <c r="AU166" s="358">
        <v>145</v>
      </c>
      <c r="AV166" s="358">
        <v>136</v>
      </c>
      <c r="AW166" s="358">
        <v>128</v>
      </c>
      <c r="AX166" s="358">
        <v>260</v>
      </c>
      <c r="AY166" s="358">
        <v>264</v>
      </c>
      <c r="AZ166" s="358">
        <v>265</v>
      </c>
      <c r="BA166" s="358">
        <v>266</v>
      </c>
      <c r="BB166" s="358">
        <v>267</v>
      </c>
      <c r="BC166" s="358">
        <v>270</v>
      </c>
      <c r="BD166" s="358">
        <v>274</v>
      </c>
      <c r="BE166" s="358">
        <v>276</v>
      </c>
      <c r="BF166" s="358">
        <v>277</v>
      </c>
      <c r="BG166" s="358">
        <v>280</v>
      </c>
      <c r="BH166" s="358">
        <v>281</v>
      </c>
      <c r="BI166" s="358">
        <v>282</v>
      </c>
      <c r="BJ166" s="358">
        <v>284</v>
      </c>
      <c r="BK166" s="358">
        <v>285</v>
      </c>
      <c r="BL166" s="358">
        <v>286</v>
      </c>
      <c r="BM166" s="358">
        <v>288</v>
      </c>
      <c r="BN166" s="358">
        <v>289</v>
      </c>
      <c r="BO166" s="358">
        <v>292</v>
      </c>
      <c r="BP166" s="358">
        <v>297</v>
      </c>
      <c r="BQ166" s="358">
        <v>301</v>
      </c>
      <c r="BR166" s="358">
        <v>311</v>
      </c>
      <c r="BS166" s="358">
        <v>318</v>
      </c>
      <c r="BT166" s="358">
        <v>322</v>
      </c>
      <c r="BU166" s="358">
        <v>325</v>
      </c>
      <c r="BV166" s="358">
        <v>262</v>
      </c>
      <c r="BW166" s="358">
        <v>263</v>
      </c>
      <c r="BX166" s="358">
        <v>266</v>
      </c>
      <c r="BY166" s="358">
        <v>270</v>
      </c>
      <c r="BZ166" s="358">
        <v>275</v>
      </c>
      <c r="CA166" s="358">
        <v>279</v>
      </c>
      <c r="CB166" s="358">
        <v>286</v>
      </c>
      <c r="CC166" s="358">
        <v>291</v>
      </c>
      <c r="CD166" s="358">
        <v>294</v>
      </c>
      <c r="CE166" s="358">
        <v>298</v>
      </c>
      <c r="CF166" s="358">
        <v>300</v>
      </c>
      <c r="CG166" s="358">
        <v>307</v>
      </c>
      <c r="CH166" s="358">
        <v>309</v>
      </c>
      <c r="CI166" s="358">
        <v>313</v>
      </c>
      <c r="CJ166" s="358">
        <v>316</v>
      </c>
      <c r="CK166" s="358">
        <v>323</v>
      </c>
      <c r="CL166" s="358">
        <v>329</v>
      </c>
      <c r="CM166" s="358">
        <v>333</v>
      </c>
      <c r="CN166" s="358">
        <v>338</v>
      </c>
      <c r="CO166" s="358">
        <v>345</v>
      </c>
      <c r="CP166" s="358">
        <v>356</v>
      </c>
      <c r="CQ166" s="358">
        <v>369</v>
      </c>
      <c r="CR166" s="358">
        <v>374</v>
      </c>
      <c r="CS166" s="358">
        <v>263</v>
      </c>
      <c r="CT166" s="358">
        <v>268</v>
      </c>
      <c r="CU166" s="358">
        <v>274</v>
      </c>
      <c r="CV166" s="358">
        <v>280</v>
      </c>
      <c r="CW166" s="358">
        <v>286</v>
      </c>
      <c r="CX166" s="358">
        <v>291</v>
      </c>
      <c r="CY166" s="358">
        <v>298</v>
      </c>
      <c r="CZ166" s="358">
        <v>301</v>
      </c>
      <c r="DA166" s="358">
        <v>305</v>
      </c>
      <c r="DB166" s="358">
        <v>310</v>
      </c>
      <c r="DC166" s="358">
        <v>321</v>
      </c>
      <c r="DD166" s="358">
        <v>331</v>
      </c>
      <c r="DE166" s="358">
        <v>335</v>
      </c>
      <c r="DF166" s="358">
        <v>341</v>
      </c>
      <c r="DG166" s="358">
        <v>350</v>
      </c>
      <c r="DH166" s="358">
        <v>355</v>
      </c>
      <c r="DI166" s="358">
        <v>362</v>
      </c>
      <c r="DJ166" s="358">
        <v>371</v>
      </c>
      <c r="DK166" s="358">
        <v>378</v>
      </c>
      <c r="DL166" s="358">
        <v>386</v>
      </c>
      <c r="DM166" s="358">
        <v>398</v>
      </c>
      <c r="DN166" s="358">
        <v>401</v>
      </c>
      <c r="DO166" s="358">
        <v>412</v>
      </c>
      <c r="DP166" s="358">
        <v>421</v>
      </c>
      <c r="DQ166" s="358">
        <v>256</v>
      </c>
      <c r="DR166" s="358">
        <v>261</v>
      </c>
      <c r="DS166" s="358">
        <v>265</v>
      </c>
      <c r="DT166" s="358">
        <v>267</v>
      </c>
      <c r="DU166" s="358">
        <v>270</v>
      </c>
      <c r="DV166" s="358">
        <v>271</v>
      </c>
      <c r="DW166" s="358">
        <v>277</v>
      </c>
      <c r="DX166" s="358">
        <v>280</v>
      </c>
      <c r="DY166" s="358">
        <v>286</v>
      </c>
      <c r="DZ166" s="358">
        <v>291</v>
      </c>
      <c r="EA166" s="358">
        <v>295</v>
      </c>
      <c r="EB166" s="358">
        <v>299</v>
      </c>
      <c r="EC166" s="358">
        <v>304</v>
      </c>
      <c r="ED166" s="358">
        <v>310</v>
      </c>
      <c r="EE166" s="358">
        <v>316</v>
      </c>
      <c r="EF166" s="358">
        <v>319</v>
      </c>
      <c r="EG166" s="358">
        <v>323</v>
      </c>
      <c r="EH166" s="358">
        <v>328</v>
      </c>
      <c r="EI166" s="358">
        <v>333</v>
      </c>
      <c r="EJ166" s="358">
        <v>337</v>
      </c>
      <c r="EK166" s="358">
        <v>342</v>
      </c>
      <c r="EL166" s="358">
        <v>346</v>
      </c>
      <c r="EM166" s="358">
        <v>145</v>
      </c>
      <c r="EN166" s="358">
        <v>157</v>
      </c>
      <c r="EO166" s="358">
        <v>168</v>
      </c>
      <c r="EP166" s="358">
        <v>178</v>
      </c>
      <c r="EQ166" s="358">
        <v>185</v>
      </c>
      <c r="ES166" s="358">
        <v>197</v>
      </c>
      <c r="ET166" s="358">
        <v>202</v>
      </c>
      <c r="EU166" s="358">
        <v>211</v>
      </c>
      <c r="EV166" s="358">
        <v>217</v>
      </c>
      <c r="EW166" s="358">
        <v>115</v>
      </c>
      <c r="EX166" s="358">
        <v>104</v>
      </c>
      <c r="EY166" s="358">
        <v>93</v>
      </c>
      <c r="EZ166" s="358">
        <v>77</v>
      </c>
      <c r="FA166" s="358">
        <v>69</v>
      </c>
      <c r="FB166" s="358">
        <v>59</v>
      </c>
      <c r="FC166" s="358">
        <v>45</v>
      </c>
      <c r="FD166" s="358">
        <v>33</v>
      </c>
      <c r="FE166" s="358">
        <v>26</v>
      </c>
      <c r="FF166" s="358">
        <v>21</v>
      </c>
      <c r="FG166" s="358">
        <v>9</v>
      </c>
      <c r="FI166" s="358">
        <v>11</v>
      </c>
      <c r="FJ166" s="358">
        <v>17</v>
      </c>
      <c r="FK166" s="358">
        <v>22</v>
      </c>
      <c r="FL166" s="358">
        <v>154</v>
      </c>
      <c r="FM166" s="358">
        <v>164</v>
      </c>
      <c r="FN166" s="358">
        <v>170</v>
      </c>
      <c r="FO166" s="358">
        <v>177</v>
      </c>
      <c r="FP166" s="358">
        <v>190</v>
      </c>
      <c r="FQ166" s="358">
        <v>205</v>
      </c>
      <c r="FR166" s="358">
        <v>213</v>
      </c>
      <c r="FS166" s="358">
        <v>220</v>
      </c>
      <c r="FT166" s="358">
        <v>227</v>
      </c>
      <c r="FU166" s="358">
        <v>234</v>
      </c>
      <c r="FV166" s="358">
        <v>244</v>
      </c>
      <c r="FW166" s="358">
        <v>329</v>
      </c>
      <c r="FX166" s="358">
        <v>376</v>
      </c>
      <c r="FY166" s="358">
        <v>383</v>
      </c>
      <c r="FZ166" s="358">
        <v>411</v>
      </c>
      <c r="GA166" s="358">
        <v>480</v>
      </c>
      <c r="GB166" s="358">
        <v>258</v>
      </c>
      <c r="GC166" s="358">
        <v>368</v>
      </c>
      <c r="GD166" s="358">
        <v>404</v>
      </c>
      <c r="GE166" s="358">
        <v>433</v>
      </c>
      <c r="GF166" s="358">
        <v>425</v>
      </c>
      <c r="GG166" s="358">
        <v>349</v>
      </c>
      <c r="GH166" s="358">
        <v>361</v>
      </c>
      <c r="GI166" s="361">
        <v>387</v>
      </c>
    </row>
    <row r="167" spans="1:191">
      <c r="A167" s="336" t="s">
        <v>332</v>
      </c>
      <c r="B167" s="358">
        <v>268</v>
      </c>
      <c r="C167" s="358">
        <v>272</v>
      </c>
      <c r="D167" s="358">
        <v>274</v>
      </c>
      <c r="E167" s="358">
        <v>275</v>
      </c>
      <c r="F167" s="358">
        <v>278</v>
      </c>
      <c r="G167" s="358">
        <v>281</v>
      </c>
      <c r="H167" s="358">
        <v>284</v>
      </c>
      <c r="I167" s="358">
        <v>286</v>
      </c>
      <c r="J167" s="358">
        <v>289</v>
      </c>
      <c r="K167" s="358">
        <v>293</v>
      </c>
      <c r="L167" s="358">
        <v>295</v>
      </c>
      <c r="M167" s="358">
        <v>298</v>
      </c>
      <c r="N167" s="358">
        <v>300</v>
      </c>
      <c r="O167" s="358">
        <v>305</v>
      </c>
      <c r="P167" s="358">
        <v>311</v>
      </c>
      <c r="Q167" s="358">
        <v>313</v>
      </c>
      <c r="R167" s="358">
        <v>316</v>
      </c>
      <c r="S167" s="358">
        <v>318</v>
      </c>
      <c r="T167" s="358">
        <v>321</v>
      </c>
      <c r="U167" s="358">
        <v>324</v>
      </c>
      <c r="V167" s="358">
        <v>266</v>
      </c>
      <c r="W167" s="358">
        <v>264</v>
      </c>
      <c r="X167" s="358">
        <v>262</v>
      </c>
      <c r="Y167" s="358">
        <v>260</v>
      </c>
      <c r="Z167" s="358">
        <v>258</v>
      </c>
      <c r="AA167" s="358">
        <v>257</v>
      </c>
      <c r="AB167" s="358">
        <v>255</v>
      </c>
      <c r="AC167" s="358">
        <v>252</v>
      </c>
      <c r="AD167" s="358">
        <v>250</v>
      </c>
      <c r="AE167" s="358">
        <v>245</v>
      </c>
      <c r="AF167" s="358">
        <v>240</v>
      </c>
      <c r="AG167" s="358">
        <v>235</v>
      </c>
      <c r="AH167" s="358">
        <v>234</v>
      </c>
      <c r="AI167" s="358">
        <v>233</v>
      </c>
      <c r="AJ167" s="358">
        <v>229</v>
      </c>
      <c r="AK167" s="358">
        <v>223</v>
      </c>
      <c r="AL167" s="358">
        <v>217</v>
      </c>
      <c r="AM167" s="358">
        <v>212</v>
      </c>
      <c r="AN167" s="358">
        <v>206</v>
      </c>
      <c r="AO167" s="358">
        <v>202</v>
      </c>
      <c r="AP167" s="358">
        <v>196</v>
      </c>
      <c r="AQ167" s="358">
        <v>190</v>
      </c>
      <c r="AR167" s="358">
        <v>186</v>
      </c>
      <c r="AS167" s="358">
        <v>174</v>
      </c>
      <c r="AT167" s="358">
        <v>166</v>
      </c>
      <c r="AU167" s="358">
        <v>156</v>
      </c>
      <c r="AV167" s="358">
        <v>147</v>
      </c>
      <c r="AW167" s="358">
        <v>139</v>
      </c>
      <c r="AX167" s="358">
        <v>271</v>
      </c>
      <c r="AY167" s="358">
        <v>275</v>
      </c>
      <c r="AZ167" s="358">
        <v>276</v>
      </c>
      <c r="BA167" s="358">
        <v>277</v>
      </c>
      <c r="BB167" s="358">
        <v>278</v>
      </c>
      <c r="BC167" s="358">
        <v>281</v>
      </c>
      <c r="BD167" s="358">
        <v>285</v>
      </c>
      <c r="BE167" s="358">
        <v>287</v>
      </c>
      <c r="BF167" s="358">
        <v>288</v>
      </c>
      <c r="BG167" s="358">
        <v>291</v>
      </c>
      <c r="BH167" s="358">
        <v>292</v>
      </c>
      <c r="BI167" s="358">
        <v>293</v>
      </c>
      <c r="BJ167" s="358">
        <v>295</v>
      </c>
      <c r="BK167" s="358">
        <v>296</v>
      </c>
      <c r="BL167" s="358">
        <v>297</v>
      </c>
      <c r="BM167" s="358">
        <v>299</v>
      </c>
      <c r="BN167" s="358">
        <v>300</v>
      </c>
      <c r="BO167" s="358">
        <v>303</v>
      </c>
      <c r="BP167" s="358">
        <v>308</v>
      </c>
      <c r="BQ167" s="358">
        <v>312</v>
      </c>
      <c r="BR167" s="358">
        <v>322</v>
      </c>
      <c r="BS167" s="358">
        <v>329</v>
      </c>
      <c r="BT167" s="358">
        <v>333</v>
      </c>
      <c r="BU167" s="358">
        <v>336</v>
      </c>
      <c r="BV167" s="358">
        <v>273</v>
      </c>
      <c r="BW167" s="358">
        <v>274</v>
      </c>
      <c r="BX167" s="358">
        <v>277</v>
      </c>
      <c r="BY167" s="358">
        <v>281</v>
      </c>
      <c r="BZ167" s="358">
        <v>286</v>
      </c>
      <c r="CA167" s="358">
        <v>290</v>
      </c>
      <c r="CB167" s="358">
        <v>297</v>
      </c>
      <c r="CC167" s="358">
        <v>302</v>
      </c>
      <c r="CD167" s="358">
        <v>305</v>
      </c>
      <c r="CE167" s="358">
        <v>309</v>
      </c>
      <c r="CF167" s="358">
        <v>311</v>
      </c>
      <c r="CG167" s="358">
        <v>318</v>
      </c>
      <c r="CH167" s="358">
        <v>320</v>
      </c>
      <c r="CI167" s="358">
        <v>324</v>
      </c>
      <c r="CJ167" s="358">
        <v>327</v>
      </c>
      <c r="CK167" s="358">
        <v>334</v>
      </c>
      <c r="CL167" s="358">
        <v>340</v>
      </c>
      <c r="CM167" s="358">
        <v>344</v>
      </c>
      <c r="CN167" s="358">
        <v>349</v>
      </c>
      <c r="CO167" s="358">
        <v>356</v>
      </c>
      <c r="CP167" s="358">
        <v>367</v>
      </c>
      <c r="CQ167" s="358">
        <v>380</v>
      </c>
      <c r="CR167" s="358">
        <v>385</v>
      </c>
      <c r="CS167" s="358">
        <v>274</v>
      </c>
      <c r="CT167" s="358">
        <v>279</v>
      </c>
      <c r="CU167" s="358">
        <v>285</v>
      </c>
      <c r="CV167" s="358">
        <v>291</v>
      </c>
      <c r="CW167" s="358">
        <v>297</v>
      </c>
      <c r="CX167" s="358">
        <v>302</v>
      </c>
      <c r="CY167" s="358">
        <v>309</v>
      </c>
      <c r="CZ167" s="358">
        <v>312</v>
      </c>
      <c r="DA167" s="358">
        <v>316</v>
      </c>
      <c r="DB167" s="358">
        <v>321</v>
      </c>
      <c r="DC167" s="358">
        <v>332</v>
      </c>
      <c r="DD167" s="358">
        <v>342</v>
      </c>
      <c r="DE167" s="358">
        <v>346</v>
      </c>
      <c r="DF167" s="358">
        <v>352</v>
      </c>
      <c r="DG167" s="358">
        <v>361</v>
      </c>
      <c r="DH167" s="358">
        <v>366</v>
      </c>
      <c r="DI167" s="358">
        <v>373</v>
      </c>
      <c r="DJ167" s="358">
        <v>382</v>
      </c>
      <c r="DK167" s="358">
        <v>389</v>
      </c>
      <c r="DL167" s="358">
        <v>397</v>
      </c>
      <c r="DM167" s="358">
        <v>409</v>
      </c>
      <c r="DN167" s="358">
        <v>412</v>
      </c>
      <c r="DO167" s="358">
        <v>423</v>
      </c>
      <c r="DP167" s="358">
        <v>432</v>
      </c>
      <c r="DQ167" s="358">
        <v>267</v>
      </c>
      <c r="DR167" s="358">
        <v>272</v>
      </c>
      <c r="DS167" s="358">
        <v>276</v>
      </c>
      <c r="DT167" s="358">
        <v>278</v>
      </c>
      <c r="DU167" s="358">
        <v>281</v>
      </c>
      <c r="DV167" s="358">
        <v>282</v>
      </c>
      <c r="DW167" s="358">
        <v>288</v>
      </c>
      <c r="DX167" s="358">
        <v>291</v>
      </c>
      <c r="DY167" s="358">
        <v>297</v>
      </c>
      <c r="DZ167" s="358">
        <v>302</v>
      </c>
      <c r="EA167" s="358">
        <v>306</v>
      </c>
      <c r="EB167" s="358">
        <v>310</v>
      </c>
      <c r="EC167" s="358">
        <v>315</v>
      </c>
      <c r="ED167" s="358">
        <v>321</v>
      </c>
      <c r="EE167" s="358">
        <v>327</v>
      </c>
      <c r="EF167" s="358">
        <v>330</v>
      </c>
      <c r="EG167" s="358">
        <v>334</v>
      </c>
      <c r="EH167" s="358">
        <v>339</v>
      </c>
      <c r="EI167" s="358">
        <v>344</v>
      </c>
      <c r="EJ167" s="358">
        <v>348</v>
      </c>
      <c r="EK167" s="358">
        <v>353</v>
      </c>
      <c r="EL167" s="358">
        <v>357</v>
      </c>
      <c r="EM167" s="358">
        <v>156</v>
      </c>
      <c r="EN167" s="358">
        <v>168</v>
      </c>
      <c r="EO167" s="358">
        <v>179</v>
      </c>
      <c r="EP167" s="358">
        <v>189</v>
      </c>
      <c r="EQ167" s="358">
        <v>196</v>
      </c>
      <c r="ES167" s="358">
        <v>208</v>
      </c>
      <c r="ET167" s="358">
        <v>213</v>
      </c>
      <c r="EU167" s="358">
        <v>222</v>
      </c>
      <c r="EV167" s="358">
        <v>228</v>
      </c>
      <c r="EW167" s="358">
        <v>126</v>
      </c>
      <c r="EX167" s="358">
        <v>115</v>
      </c>
      <c r="EY167" s="358">
        <v>104</v>
      </c>
      <c r="EZ167" s="358">
        <v>88</v>
      </c>
      <c r="FA167" s="358">
        <v>80</v>
      </c>
      <c r="FB167" s="358">
        <v>70</v>
      </c>
      <c r="FC167" s="358">
        <v>56</v>
      </c>
      <c r="FD167" s="358">
        <v>44</v>
      </c>
      <c r="FE167" s="358">
        <v>37</v>
      </c>
      <c r="FF167" s="358">
        <v>32</v>
      </c>
      <c r="FG167" s="358">
        <v>20</v>
      </c>
      <c r="FH167" s="358">
        <v>11</v>
      </c>
      <c r="FJ167" s="358">
        <v>6</v>
      </c>
      <c r="FK167" s="358">
        <v>11</v>
      </c>
      <c r="FL167" s="358">
        <v>165</v>
      </c>
      <c r="FM167" s="358">
        <v>175</v>
      </c>
      <c r="FN167" s="358">
        <v>181</v>
      </c>
      <c r="FO167" s="358">
        <v>188</v>
      </c>
      <c r="FP167" s="358">
        <v>201</v>
      </c>
      <c r="FQ167" s="358">
        <v>216</v>
      </c>
      <c r="FR167" s="358">
        <v>224</v>
      </c>
      <c r="FS167" s="358">
        <v>231</v>
      </c>
      <c r="FT167" s="358">
        <v>238</v>
      </c>
      <c r="FU167" s="358">
        <v>245</v>
      </c>
      <c r="FV167" s="358">
        <v>255</v>
      </c>
      <c r="FW167" s="358">
        <v>340</v>
      </c>
      <c r="FX167" s="358">
        <v>387</v>
      </c>
      <c r="FY167" s="358">
        <v>394</v>
      </c>
      <c r="FZ167" s="358">
        <v>422</v>
      </c>
      <c r="GA167" s="358">
        <v>491</v>
      </c>
      <c r="GB167" s="358">
        <v>269</v>
      </c>
      <c r="GC167" s="358">
        <v>379</v>
      </c>
      <c r="GD167" s="358">
        <v>415</v>
      </c>
      <c r="GE167" s="358">
        <v>444</v>
      </c>
      <c r="GF167" s="358">
        <v>436</v>
      </c>
      <c r="GG167" s="358">
        <v>360</v>
      </c>
      <c r="GH167" s="358">
        <v>372</v>
      </c>
      <c r="GI167" s="361">
        <v>398</v>
      </c>
    </row>
    <row r="168" spans="1:191">
      <c r="A168" s="336" t="s">
        <v>331</v>
      </c>
      <c r="B168" s="358">
        <v>274</v>
      </c>
      <c r="C168" s="358">
        <v>278</v>
      </c>
      <c r="D168" s="358">
        <v>280</v>
      </c>
      <c r="E168" s="358">
        <v>281</v>
      </c>
      <c r="F168" s="358">
        <v>284</v>
      </c>
      <c r="G168" s="358">
        <v>287</v>
      </c>
      <c r="H168" s="358">
        <v>290</v>
      </c>
      <c r="I168" s="358">
        <v>292</v>
      </c>
      <c r="J168" s="358">
        <v>295</v>
      </c>
      <c r="K168" s="358">
        <v>299</v>
      </c>
      <c r="L168" s="358">
        <v>301</v>
      </c>
      <c r="M168" s="358">
        <v>304</v>
      </c>
      <c r="N168" s="358">
        <v>306</v>
      </c>
      <c r="O168" s="358">
        <v>311</v>
      </c>
      <c r="P168" s="358">
        <v>317</v>
      </c>
      <c r="Q168" s="358">
        <v>319</v>
      </c>
      <c r="R168" s="358">
        <v>322</v>
      </c>
      <c r="S168" s="358">
        <v>324</v>
      </c>
      <c r="T168" s="358">
        <v>327</v>
      </c>
      <c r="U168" s="358">
        <v>330</v>
      </c>
      <c r="V168" s="358">
        <v>272</v>
      </c>
      <c r="W168" s="358">
        <v>270</v>
      </c>
      <c r="X168" s="358">
        <v>268</v>
      </c>
      <c r="Y168" s="358">
        <v>266</v>
      </c>
      <c r="Z168" s="358">
        <v>264</v>
      </c>
      <c r="AA168" s="358">
        <v>263</v>
      </c>
      <c r="AB168" s="358">
        <v>261</v>
      </c>
      <c r="AC168" s="358">
        <v>258</v>
      </c>
      <c r="AD168" s="358">
        <v>256</v>
      </c>
      <c r="AE168" s="358">
        <v>251</v>
      </c>
      <c r="AF168" s="358">
        <v>246</v>
      </c>
      <c r="AG168" s="358">
        <v>241</v>
      </c>
      <c r="AH168" s="358">
        <v>240</v>
      </c>
      <c r="AI168" s="358">
        <v>239</v>
      </c>
      <c r="AJ168" s="358">
        <v>235</v>
      </c>
      <c r="AK168" s="358">
        <v>229</v>
      </c>
      <c r="AL168" s="358">
        <v>223</v>
      </c>
      <c r="AM168" s="358">
        <v>218</v>
      </c>
      <c r="AN168" s="358">
        <v>212</v>
      </c>
      <c r="AO168" s="358">
        <v>208</v>
      </c>
      <c r="AP168" s="358">
        <v>202</v>
      </c>
      <c r="AQ168" s="358">
        <v>196</v>
      </c>
      <c r="AR168" s="358">
        <v>192</v>
      </c>
      <c r="AS168" s="358">
        <v>180</v>
      </c>
      <c r="AT168" s="358">
        <v>172</v>
      </c>
      <c r="AU168" s="358">
        <v>162</v>
      </c>
      <c r="AV168" s="358">
        <v>153</v>
      </c>
      <c r="AW168" s="358">
        <v>145</v>
      </c>
      <c r="AX168" s="358">
        <v>277</v>
      </c>
      <c r="AY168" s="358">
        <v>281</v>
      </c>
      <c r="AZ168" s="358">
        <v>282</v>
      </c>
      <c r="BA168" s="358">
        <v>283</v>
      </c>
      <c r="BB168" s="358">
        <v>284</v>
      </c>
      <c r="BC168" s="358">
        <v>287</v>
      </c>
      <c r="BD168" s="358">
        <v>291</v>
      </c>
      <c r="BE168" s="358">
        <v>293</v>
      </c>
      <c r="BF168" s="358">
        <v>294</v>
      </c>
      <c r="BG168" s="358">
        <v>297</v>
      </c>
      <c r="BH168" s="358">
        <v>298</v>
      </c>
      <c r="BI168" s="358">
        <v>299</v>
      </c>
      <c r="BJ168" s="358">
        <v>301</v>
      </c>
      <c r="BK168" s="358">
        <v>302</v>
      </c>
      <c r="BL168" s="358">
        <v>303</v>
      </c>
      <c r="BM168" s="358">
        <v>305</v>
      </c>
      <c r="BN168" s="358">
        <v>306</v>
      </c>
      <c r="BO168" s="358">
        <v>309</v>
      </c>
      <c r="BP168" s="358">
        <v>314</v>
      </c>
      <c r="BQ168" s="358">
        <v>318</v>
      </c>
      <c r="BR168" s="358">
        <v>328</v>
      </c>
      <c r="BS168" s="358">
        <v>335</v>
      </c>
      <c r="BT168" s="358">
        <v>339</v>
      </c>
      <c r="BU168" s="358">
        <v>342</v>
      </c>
      <c r="BV168" s="358">
        <v>279</v>
      </c>
      <c r="BW168" s="358">
        <v>280</v>
      </c>
      <c r="BX168" s="358">
        <v>283</v>
      </c>
      <c r="BY168" s="358">
        <v>287</v>
      </c>
      <c r="BZ168" s="358">
        <v>292</v>
      </c>
      <c r="CA168" s="358">
        <v>296</v>
      </c>
      <c r="CB168" s="358">
        <v>303</v>
      </c>
      <c r="CC168" s="358">
        <v>308</v>
      </c>
      <c r="CD168" s="358">
        <v>311</v>
      </c>
      <c r="CE168" s="358">
        <v>315</v>
      </c>
      <c r="CF168" s="358">
        <v>317</v>
      </c>
      <c r="CG168" s="358">
        <v>324</v>
      </c>
      <c r="CH168" s="358">
        <v>326</v>
      </c>
      <c r="CI168" s="358">
        <v>330</v>
      </c>
      <c r="CJ168" s="358">
        <v>333</v>
      </c>
      <c r="CK168" s="358">
        <v>340</v>
      </c>
      <c r="CL168" s="358">
        <v>346</v>
      </c>
      <c r="CM168" s="358">
        <v>350</v>
      </c>
      <c r="CN168" s="358">
        <v>355</v>
      </c>
      <c r="CO168" s="358">
        <v>362</v>
      </c>
      <c r="CP168" s="358">
        <v>373</v>
      </c>
      <c r="CQ168" s="358">
        <v>386</v>
      </c>
      <c r="CR168" s="358">
        <v>391</v>
      </c>
      <c r="CS168" s="358">
        <v>280</v>
      </c>
      <c r="CT168" s="358">
        <v>285</v>
      </c>
      <c r="CU168" s="358">
        <v>291</v>
      </c>
      <c r="CV168" s="358">
        <v>297</v>
      </c>
      <c r="CW168" s="358">
        <v>303</v>
      </c>
      <c r="CX168" s="358">
        <v>308</v>
      </c>
      <c r="CY168" s="358">
        <v>315</v>
      </c>
      <c r="CZ168" s="358">
        <v>318</v>
      </c>
      <c r="DA168" s="358">
        <v>322</v>
      </c>
      <c r="DB168" s="358">
        <v>327</v>
      </c>
      <c r="DC168" s="358">
        <v>338</v>
      </c>
      <c r="DD168" s="358">
        <v>348</v>
      </c>
      <c r="DE168" s="358">
        <v>352</v>
      </c>
      <c r="DF168" s="358">
        <v>358</v>
      </c>
      <c r="DG168" s="358">
        <v>367</v>
      </c>
      <c r="DH168" s="358">
        <v>372</v>
      </c>
      <c r="DI168" s="358">
        <v>379</v>
      </c>
      <c r="DJ168" s="358">
        <v>388</v>
      </c>
      <c r="DK168" s="358">
        <v>395</v>
      </c>
      <c r="DL168" s="358">
        <v>403</v>
      </c>
      <c r="DM168" s="358">
        <v>415</v>
      </c>
      <c r="DN168" s="358">
        <v>418</v>
      </c>
      <c r="DO168" s="358">
        <v>429</v>
      </c>
      <c r="DP168" s="358">
        <v>438</v>
      </c>
      <c r="DQ168" s="358">
        <v>273</v>
      </c>
      <c r="DR168" s="358">
        <v>278</v>
      </c>
      <c r="DS168" s="358">
        <v>282</v>
      </c>
      <c r="DT168" s="358">
        <v>284</v>
      </c>
      <c r="DU168" s="358">
        <v>287</v>
      </c>
      <c r="DV168" s="358">
        <v>288</v>
      </c>
      <c r="DW168" s="358">
        <v>294</v>
      </c>
      <c r="DX168" s="358">
        <v>297</v>
      </c>
      <c r="DY168" s="358">
        <v>303</v>
      </c>
      <c r="DZ168" s="358">
        <v>308</v>
      </c>
      <c r="EA168" s="358">
        <v>312</v>
      </c>
      <c r="EB168" s="358">
        <v>316</v>
      </c>
      <c r="EC168" s="358">
        <v>321</v>
      </c>
      <c r="ED168" s="358">
        <v>327</v>
      </c>
      <c r="EE168" s="358">
        <v>333</v>
      </c>
      <c r="EF168" s="358">
        <v>336</v>
      </c>
      <c r="EG168" s="358">
        <v>340</v>
      </c>
      <c r="EH168" s="358">
        <v>345</v>
      </c>
      <c r="EI168" s="358">
        <v>350</v>
      </c>
      <c r="EJ168" s="358">
        <v>354</v>
      </c>
      <c r="EK168" s="358">
        <v>359</v>
      </c>
      <c r="EL168" s="358">
        <v>363</v>
      </c>
      <c r="EM168" s="358">
        <v>162</v>
      </c>
      <c r="EN168" s="358">
        <v>174</v>
      </c>
      <c r="EO168" s="358">
        <v>185</v>
      </c>
      <c r="EP168" s="358">
        <v>195</v>
      </c>
      <c r="EQ168" s="358">
        <v>202</v>
      </c>
      <c r="ES168" s="358">
        <v>214</v>
      </c>
      <c r="ET168" s="358">
        <v>219</v>
      </c>
      <c r="EU168" s="358">
        <v>228</v>
      </c>
      <c r="EV168" s="358">
        <v>234</v>
      </c>
      <c r="EW168" s="358">
        <v>132</v>
      </c>
      <c r="EX168" s="358">
        <v>121</v>
      </c>
      <c r="EY168" s="358">
        <v>110</v>
      </c>
      <c r="EZ168" s="358">
        <v>94</v>
      </c>
      <c r="FA168" s="358">
        <v>86</v>
      </c>
      <c r="FB168" s="358">
        <v>76</v>
      </c>
      <c r="FC168" s="358">
        <v>62</v>
      </c>
      <c r="FD168" s="358">
        <v>50</v>
      </c>
      <c r="FE168" s="358">
        <v>43</v>
      </c>
      <c r="FF168" s="358">
        <v>38</v>
      </c>
      <c r="FG168" s="358">
        <v>26</v>
      </c>
      <c r="FH168" s="358">
        <v>17</v>
      </c>
      <c r="FI168" s="358">
        <v>6</v>
      </c>
      <c r="FK168" s="358">
        <v>5</v>
      </c>
      <c r="FL168" s="358">
        <v>171</v>
      </c>
      <c r="FM168" s="358">
        <v>181</v>
      </c>
      <c r="FN168" s="358">
        <v>187</v>
      </c>
      <c r="FO168" s="358">
        <v>194</v>
      </c>
      <c r="FP168" s="358">
        <v>207</v>
      </c>
      <c r="FQ168" s="358">
        <v>222</v>
      </c>
      <c r="FR168" s="358">
        <v>230</v>
      </c>
      <c r="FS168" s="358">
        <v>237</v>
      </c>
      <c r="FT168" s="358">
        <v>244</v>
      </c>
      <c r="FU168" s="358">
        <v>251</v>
      </c>
      <c r="FV168" s="358">
        <v>261</v>
      </c>
      <c r="FW168" s="358">
        <v>346</v>
      </c>
      <c r="FX168" s="358">
        <v>393</v>
      </c>
      <c r="FY168" s="358">
        <v>400</v>
      </c>
      <c r="FZ168" s="358">
        <v>428</v>
      </c>
      <c r="GA168" s="358">
        <v>497</v>
      </c>
      <c r="GB168" s="358">
        <v>275</v>
      </c>
      <c r="GC168" s="358">
        <v>385</v>
      </c>
      <c r="GD168" s="358">
        <v>421</v>
      </c>
      <c r="GE168" s="358">
        <v>450</v>
      </c>
      <c r="GF168" s="358">
        <v>442</v>
      </c>
      <c r="GG168" s="358">
        <v>366</v>
      </c>
      <c r="GH168" s="358">
        <v>378</v>
      </c>
      <c r="GI168" s="361">
        <v>404</v>
      </c>
    </row>
    <row r="169" spans="1:191">
      <c r="A169" s="336" t="s">
        <v>330</v>
      </c>
      <c r="B169" s="358">
        <v>279</v>
      </c>
      <c r="C169" s="358">
        <v>283</v>
      </c>
      <c r="D169" s="358">
        <v>285</v>
      </c>
      <c r="E169" s="358">
        <v>286</v>
      </c>
      <c r="F169" s="358">
        <v>289</v>
      </c>
      <c r="G169" s="358">
        <v>292</v>
      </c>
      <c r="H169" s="358">
        <v>295</v>
      </c>
      <c r="I169" s="358">
        <v>297</v>
      </c>
      <c r="J169" s="358">
        <v>300</v>
      </c>
      <c r="K169" s="358">
        <v>304</v>
      </c>
      <c r="L169" s="358">
        <v>306</v>
      </c>
      <c r="M169" s="358">
        <v>309</v>
      </c>
      <c r="N169" s="358">
        <v>311</v>
      </c>
      <c r="O169" s="358">
        <v>316</v>
      </c>
      <c r="P169" s="358">
        <v>322</v>
      </c>
      <c r="Q169" s="358">
        <v>324</v>
      </c>
      <c r="R169" s="358">
        <v>327</v>
      </c>
      <c r="S169" s="358">
        <v>329</v>
      </c>
      <c r="T169" s="358">
        <v>332</v>
      </c>
      <c r="U169" s="358">
        <v>335</v>
      </c>
      <c r="V169" s="358">
        <v>277</v>
      </c>
      <c r="W169" s="358">
        <v>275</v>
      </c>
      <c r="X169" s="358">
        <v>273</v>
      </c>
      <c r="Y169" s="358">
        <v>271</v>
      </c>
      <c r="Z169" s="358">
        <v>269</v>
      </c>
      <c r="AA169" s="358">
        <v>268</v>
      </c>
      <c r="AB169" s="358">
        <v>266</v>
      </c>
      <c r="AC169" s="358">
        <v>263</v>
      </c>
      <c r="AD169" s="358">
        <v>261</v>
      </c>
      <c r="AE169" s="358">
        <v>256</v>
      </c>
      <c r="AF169" s="358">
        <v>251</v>
      </c>
      <c r="AG169" s="358">
        <v>246</v>
      </c>
      <c r="AH169" s="358">
        <v>245</v>
      </c>
      <c r="AI169" s="358">
        <v>244</v>
      </c>
      <c r="AJ169" s="358">
        <v>240</v>
      </c>
      <c r="AK169" s="358">
        <v>234</v>
      </c>
      <c r="AL169" s="358">
        <v>228</v>
      </c>
      <c r="AM169" s="358">
        <v>223</v>
      </c>
      <c r="AN169" s="358">
        <v>217</v>
      </c>
      <c r="AO169" s="358">
        <v>213</v>
      </c>
      <c r="AP169" s="358">
        <v>207</v>
      </c>
      <c r="AQ169" s="358">
        <v>201</v>
      </c>
      <c r="AR169" s="358">
        <v>197</v>
      </c>
      <c r="AS169" s="358">
        <v>185</v>
      </c>
      <c r="AT169" s="358">
        <v>177</v>
      </c>
      <c r="AU169" s="358">
        <v>167</v>
      </c>
      <c r="AV169" s="358">
        <v>158</v>
      </c>
      <c r="AW169" s="358">
        <v>150</v>
      </c>
      <c r="AX169" s="358">
        <v>282</v>
      </c>
      <c r="AY169" s="358">
        <v>286</v>
      </c>
      <c r="AZ169" s="358">
        <v>287</v>
      </c>
      <c r="BA169" s="358">
        <v>288</v>
      </c>
      <c r="BB169" s="358">
        <v>289</v>
      </c>
      <c r="BC169" s="358">
        <v>292</v>
      </c>
      <c r="BD169" s="358">
        <v>296</v>
      </c>
      <c r="BE169" s="358">
        <v>298</v>
      </c>
      <c r="BF169" s="358">
        <v>299</v>
      </c>
      <c r="BG169" s="358">
        <v>302</v>
      </c>
      <c r="BH169" s="358">
        <v>303</v>
      </c>
      <c r="BI169" s="358">
        <v>304</v>
      </c>
      <c r="BJ169" s="358">
        <v>306</v>
      </c>
      <c r="BK169" s="358">
        <v>307</v>
      </c>
      <c r="BL169" s="358">
        <v>308</v>
      </c>
      <c r="BM169" s="358">
        <v>310</v>
      </c>
      <c r="BN169" s="358">
        <v>311</v>
      </c>
      <c r="BO169" s="358">
        <v>314</v>
      </c>
      <c r="BP169" s="358">
        <v>319</v>
      </c>
      <c r="BQ169" s="358">
        <v>323</v>
      </c>
      <c r="BR169" s="358">
        <v>333</v>
      </c>
      <c r="BS169" s="358">
        <v>340</v>
      </c>
      <c r="BT169" s="358">
        <v>344</v>
      </c>
      <c r="BU169" s="358">
        <v>347</v>
      </c>
      <c r="BV169" s="358">
        <v>284</v>
      </c>
      <c r="BW169" s="358">
        <v>285</v>
      </c>
      <c r="BX169" s="358">
        <v>288</v>
      </c>
      <c r="BY169" s="358">
        <v>292</v>
      </c>
      <c r="BZ169" s="358">
        <v>297</v>
      </c>
      <c r="CA169" s="358">
        <v>301</v>
      </c>
      <c r="CB169" s="358">
        <v>308</v>
      </c>
      <c r="CC169" s="358">
        <v>313</v>
      </c>
      <c r="CD169" s="358">
        <v>316</v>
      </c>
      <c r="CE169" s="358">
        <v>320</v>
      </c>
      <c r="CF169" s="358">
        <v>322</v>
      </c>
      <c r="CG169" s="358">
        <v>329</v>
      </c>
      <c r="CH169" s="358">
        <v>331</v>
      </c>
      <c r="CI169" s="358">
        <v>335</v>
      </c>
      <c r="CJ169" s="358">
        <v>338</v>
      </c>
      <c r="CK169" s="358">
        <v>345</v>
      </c>
      <c r="CL169" s="358">
        <v>351</v>
      </c>
      <c r="CM169" s="358">
        <v>355</v>
      </c>
      <c r="CN169" s="358">
        <v>360</v>
      </c>
      <c r="CO169" s="358">
        <v>367</v>
      </c>
      <c r="CP169" s="358">
        <v>378</v>
      </c>
      <c r="CQ169" s="358">
        <v>391</v>
      </c>
      <c r="CR169" s="358">
        <v>396</v>
      </c>
      <c r="CS169" s="358">
        <v>285</v>
      </c>
      <c r="CT169" s="358">
        <v>290</v>
      </c>
      <c r="CU169" s="358">
        <v>296</v>
      </c>
      <c r="CV169" s="358">
        <v>302</v>
      </c>
      <c r="CW169" s="358">
        <v>308</v>
      </c>
      <c r="CX169" s="358">
        <v>313</v>
      </c>
      <c r="CY169" s="358">
        <v>320</v>
      </c>
      <c r="CZ169" s="358">
        <v>323</v>
      </c>
      <c r="DA169" s="358">
        <v>327</v>
      </c>
      <c r="DB169" s="358">
        <v>332</v>
      </c>
      <c r="DC169" s="358">
        <v>343</v>
      </c>
      <c r="DD169" s="358">
        <v>353</v>
      </c>
      <c r="DE169" s="358">
        <v>357</v>
      </c>
      <c r="DF169" s="358">
        <v>363</v>
      </c>
      <c r="DG169" s="358">
        <v>372</v>
      </c>
      <c r="DH169" s="358">
        <v>377</v>
      </c>
      <c r="DI169" s="358">
        <v>384</v>
      </c>
      <c r="DJ169" s="358">
        <v>393</v>
      </c>
      <c r="DK169" s="358">
        <v>400</v>
      </c>
      <c r="DL169" s="358">
        <v>408</v>
      </c>
      <c r="DM169" s="358">
        <v>420</v>
      </c>
      <c r="DN169" s="358">
        <v>423</v>
      </c>
      <c r="DO169" s="358">
        <v>434</v>
      </c>
      <c r="DP169" s="358">
        <v>443</v>
      </c>
      <c r="DQ169" s="358">
        <v>278</v>
      </c>
      <c r="DR169" s="358">
        <v>283</v>
      </c>
      <c r="DS169" s="358">
        <v>287</v>
      </c>
      <c r="DT169" s="358">
        <v>289</v>
      </c>
      <c r="DU169" s="358">
        <v>292</v>
      </c>
      <c r="DV169" s="358">
        <v>293</v>
      </c>
      <c r="DW169" s="358">
        <v>299</v>
      </c>
      <c r="DX169" s="358">
        <v>302</v>
      </c>
      <c r="DY169" s="358">
        <v>308</v>
      </c>
      <c r="DZ169" s="358">
        <v>313</v>
      </c>
      <c r="EA169" s="358">
        <v>317</v>
      </c>
      <c r="EB169" s="358">
        <v>321</v>
      </c>
      <c r="EC169" s="358">
        <v>326</v>
      </c>
      <c r="ED169" s="358">
        <v>332</v>
      </c>
      <c r="EE169" s="358">
        <v>338</v>
      </c>
      <c r="EF169" s="358">
        <v>341</v>
      </c>
      <c r="EG169" s="358">
        <v>345</v>
      </c>
      <c r="EH169" s="358">
        <v>350</v>
      </c>
      <c r="EI169" s="358">
        <v>355</v>
      </c>
      <c r="EJ169" s="358">
        <v>359</v>
      </c>
      <c r="EK169" s="358">
        <v>364</v>
      </c>
      <c r="EL169" s="358">
        <v>368</v>
      </c>
      <c r="EM169" s="358">
        <v>167</v>
      </c>
      <c r="EN169" s="358">
        <v>179</v>
      </c>
      <c r="EO169" s="358">
        <v>190</v>
      </c>
      <c r="EP169" s="358">
        <v>200</v>
      </c>
      <c r="EQ169" s="358">
        <v>207</v>
      </c>
      <c r="ES169" s="358">
        <v>219</v>
      </c>
      <c r="ET169" s="358">
        <v>224</v>
      </c>
      <c r="EU169" s="358">
        <v>233</v>
      </c>
      <c r="EV169" s="358">
        <v>239</v>
      </c>
      <c r="EW169" s="358">
        <v>137</v>
      </c>
      <c r="EX169" s="358">
        <v>126</v>
      </c>
      <c r="EY169" s="358">
        <v>115</v>
      </c>
      <c r="EZ169" s="358">
        <v>99</v>
      </c>
      <c r="FA169" s="358">
        <v>91</v>
      </c>
      <c r="FB169" s="358">
        <v>81</v>
      </c>
      <c r="FC169" s="358">
        <v>67</v>
      </c>
      <c r="FD169" s="358">
        <v>55</v>
      </c>
      <c r="FE169" s="358">
        <v>48</v>
      </c>
      <c r="FF169" s="358">
        <v>43</v>
      </c>
      <c r="FG169" s="358">
        <v>31</v>
      </c>
      <c r="FH169" s="358">
        <v>22</v>
      </c>
      <c r="FI169" s="358">
        <v>11</v>
      </c>
      <c r="FJ169" s="358">
        <v>5</v>
      </c>
      <c r="FL169" s="358">
        <v>176</v>
      </c>
      <c r="FM169" s="358">
        <v>186</v>
      </c>
      <c r="FN169" s="358">
        <v>192</v>
      </c>
      <c r="FO169" s="358">
        <v>199</v>
      </c>
      <c r="FP169" s="358">
        <v>212</v>
      </c>
      <c r="FQ169" s="358">
        <v>227</v>
      </c>
      <c r="FR169" s="358">
        <v>235</v>
      </c>
      <c r="FS169" s="358">
        <v>242</v>
      </c>
      <c r="FT169" s="358">
        <v>249</v>
      </c>
      <c r="FU169" s="358">
        <v>256</v>
      </c>
      <c r="FV169" s="358">
        <v>266</v>
      </c>
      <c r="FW169" s="358">
        <v>351</v>
      </c>
      <c r="FX169" s="358">
        <v>398</v>
      </c>
      <c r="FY169" s="358">
        <v>405</v>
      </c>
      <c r="FZ169" s="358">
        <v>433</v>
      </c>
      <c r="GA169" s="358">
        <v>502</v>
      </c>
      <c r="GB169" s="358">
        <v>280</v>
      </c>
      <c r="GC169" s="358">
        <v>390</v>
      </c>
      <c r="GD169" s="358">
        <v>426</v>
      </c>
      <c r="GE169" s="358">
        <v>455</v>
      </c>
      <c r="GF169" s="358">
        <v>447</v>
      </c>
      <c r="GG169" s="358">
        <v>371</v>
      </c>
      <c r="GH169" s="358">
        <v>383</v>
      </c>
      <c r="GI169" s="361">
        <v>409</v>
      </c>
    </row>
    <row r="170" spans="1:191">
      <c r="A170" s="336" t="s">
        <v>329</v>
      </c>
      <c r="B170" s="358">
        <v>121</v>
      </c>
      <c r="C170" s="358">
        <v>125</v>
      </c>
      <c r="D170" s="358">
        <v>127</v>
      </c>
      <c r="E170" s="358">
        <v>128</v>
      </c>
      <c r="F170" s="358">
        <v>131</v>
      </c>
      <c r="G170" s="358">
        <v>134</v>
      </c>
      <c r="H170" s="358">
        <v>137</v>
      </c>
      <c r="I170" s="358">
        <v>139</v>
      </c>
      <c r="J170" s="358">
        <v>142</v>
      </c>
      <c r="K170" s="358">
        <v>146</v>
      </c>
      <c r="L170" s="358">
        <v>148</v>
      </c>
      <c r="M170" s="358">
        <v>151</v>
      </c>
      <c r="N170" s="358">
        <v>153</v>
      </c>
      <c r="O170" s="358">
        <v>158</v>
      </c>
      <c r="P170" s="358">
        <v>164</v>
      </c>
      <c r="Q170" s="358">
        <v>166</v>
      </c>
      <c r="R170" s="358">
        <v>169</v>
      </c>
      <c r="S170" s="358">
        <v>171</v>
      </c>
      <c r="T170" s="358">
        <v>174</v>
      </c>
      <c r="U170" s="358">
        <v>177</v>
      </c>
      <c r="V170" s="358">
        <v>119</v>
      </c>
      <c r="W170" s="358">
        <v>117</v>
      </c>
      <c r="X170" s="358">
        <v>115</v>
      </c>
      <c r="Y170" s="358">
        <v>113</v>
      </c>
      <c r="Z170" s="358">
        <v>111</v>
      </c>
      <c r="AA170" s="358">
        <v>110</v>
      </c>
      <c r="AB170" s="358">
        <v>108</v>
      </c>
      <c r="AC170" s="358">
        <v>105</v>
      </c>
      <c r="AD170" s="358">
        <v>103</v>
      </c>
      <c r="AE170" s="358">
        <v>98</v>
      </c>
      <c r="AF170" s="358">
        <v>93</v>
      </c>
      <c r="AG170" s="358">
        <v>88</v>
      </c>
      <c r="AH170" s="358">
        <v>87</v>
      </c>
      <c r="AI170" s="358">
        <v>86</v>
      </c>
      <c r="AJ170" s="358">
        <v>82</v>
      </c>
      <c r="AK170" s="358">
        <v>76</v>
      </c>
      <c r="AL170" s="358">
        <v>70</v>
      </c>
      <c r="AM170" s="358">
        <v>65</v>
      </c>
      <c r="AN170" s="358">
        <v>59</v>
      </c>
      <c r="AO170" s="358">
        <v>55</v>
      </c>
      <c r="AP170" s="358">
        <v>49</v>
      </c>
      <c r="AQ170" s="358">
        <v>43</v>
      </c>
      <c r="AR170" s="358">
        <v>39</v>
      </c>
      <c r="AS170" s="358">
        <v>27</v>
      </c>
      <c r="AT170" s="358">
        <v>19</v>
      </c>
      <c r="AU170" s="358">
        <v>9</v>
      </c>
      <c r="AV170" s="358">
        <v>18</v>
      </c>
      <c r="AW170" s="358">
        <v>26</v>
      </c>
      <c r="AX170" s="358">
        <v>124</v>
      </c>
      <c r="AY170" s="358">
        <v>128</v>
      </c>
      <c r="AZ170" s="358">
        <v>129</v>
      </c>
      <c r="BA170" s="358">
        <v>130</v>
      </c>
      <c r="BB170" s="358">
        <v>131</v>
      </c>
      <c r="BC170" s="358">
        <v>134</v>
      </c>
      <c r="BD170" s="358">
        <v>138</v>
      </c>
      <c r="BE170" s="358">
        <v>140</v>
      </c>
      <c r="BF170" s="358">
        <v>141</v>
      </c>
      <c r="BG170" s="358">
        <v>144</v>
      </c>
      <c r="BH170" s="358">
        <v>145</v>
      </c>
      <c r="BI170" s="358">
        <v>146</v>
      </c>
      <c r="BJ170" s="358">
        <v>148</v>
      </c>
      <c r="BK170" s="358">
        <v>149</v>
      </c>
      <c r="BL170" s="358">
        <v>150</v>
      </c>
      <c r="BM170" s="358">
        <v>152</v>
      </c>
      <c r="BN170" s="358">
        <v>153</v>
      </c>
      <c r="BO170" s="358">
        <v>156</v>
      </c>
      <c r="BP170" s="358">
        <v>161</v>
      </c>
      <c r="BQ170" s="358">
        <v>165</v>
      </c>
      <c r="BR170" s="358">
        <v>175</v>
      </c>
      <c r="BS170" s="358">
        <v>182</v>
      </c>
      <c r="BT170" s="358">
        <v>186</v>
      </c>
      <c r="BU170" s="358">
        <v>189</v>
      </c>
      <c r="BV170" s="358">
        <v>126</v>
      </c>
      <c r="BW170" s="358">
        <v>127</v>
      </c>
      <c r="BX170" s="358">
        <v>130</v>
      </c>
      <c r="BY170" s="358">
        <v>134</v>
      </c>
      <c r="BZ170" s="358">
        <v>139</v>
      </c>
      <c r="CA170" s="358">
        <v>143</v>
      </c>
      <c r="CB170" s="358">
        <v>150</v>
      </c>
      <c r="CC170" s="358">
        <v>155</v>
      </c>
      <c r="CD170" s="358">
        <v>158</v>
      </c>
      <c r="CE170" s="358">
        <v>162</v>
      </c>
      <c r="CF170" s="358">
        <v>164</v>
      </c>
      <c r="CG170" s="358">
        <v>171</v>
      </c>
      <c r="CH170" s="358">
        <v>173</v>
      </c>
      <c r="CI170" s="358">
        <v>177</v>
      </c>
      <c r="CJ170" s="358">
        <v>180</v>
      </c>
      <c r="CK170" s="358">
        <v>187</v>
      </c>
      <c r="CL170" s="358">
        <v>193</v>
      </c>
      <c r="CM170" s="358">
        <v>197</v>
      </c>
      <c r="CN170" s="358">
        <v>202</v>
      </c>
      <c r="CO170" s="358">
        <v>209</v>
      </c>
      <c r="CP170" s="358">
        <v>220</v>
      </c>
      <c r="CQ170" s="358">
        <v>233</v>
      </c>
      <c r="CR170" s="358">
        <v>238</v>
      </c>
      <c r="CS170" s="358">
        <v>127</v>
      </c>
      <c r="CT170" s="358">
        <v>132</v>
      </c>
      <c r="CU170" s="358">
        <v>138</v>
      </c>
      <c r="CV170" s="358">
        <v>144</v>
      </c>
      <c r="CW170" s="358">
        <v>150</v>
      </c>
      <c r="CX170" s="358">
        <v>155</v>
      </c>
      <c r="CY170" s="358">
        <v>162</v>
      </c>
      <c r="CZ170" s="358">
        <v>165</v>
      </c>
      <c r="DA170" s="358">
        <v>169</v>
      </c>
      <c r="DB170" s="358">
        <v>174</v>
      </c>
      <c r="DC170" s="358">
        <v>185</v>
      </c>
      <c r="DD170" s="358">
        <v>195</v>
      </c>
      <c r="DE170" s="358">
        <v>199</v>
      </c>
      <c r="DF170" s="358">
        <v>205</v>
      </c>
      <c r="DG170" s="358">
        <v>214</v>
      </c>
      <c r="DH170" s="358">
        <v>219</v>
      </c>
      <c r="DI170" s="358">
        <v>226</v>
      </c>
      <c r="DJ170" s="358">
        <v>235</v>
      </c>
      <c r="DK170" s="358">
        <v>242</v>
      </c>
      <c r="DL170" s="358">
        <v>250</v>
      </c>
      <c r="DM170" s="358">
        <v>262</v>
      </c>
      <c r="DN170" s="358">
        <v>265</v>
      </c>
      <c r="DO170" s="358">
        <v>276</v>
      </c>
      <c r="DP170" s="358">
        <v>285</v>
      </c>
      <c r="DQ170" s="358">
        <v>120</v>
      </c>
      <c r="DR170" s="358">
        <v>125</v>
      </c>
      <c r="DS170" s="358">
        <v>129</v>
      </c>
      <c r="DT170" s="358">
        <v>131</v>
      </c>
      <c r="DU170" s="358">
        <v>134</v>
      </c>
      <c r="DV170" s="358">
        <v>135</v>
      </c>
      <c r="DW170" s="358">
        <v>141</v>
      </c>
      <c r="DX170" s="358">
        <v>144</v>
      </c>
      <c r="DY170" s="358">
        <v>150</v>
      </c>
      <c r="DZ170" s="358">
        <v>155</v>
      </c>
      <c r="EA170" s="358">
        <v>159</v>
      </c>
      <c r="EB170" s="358">
        <v>163</v>
      </c>
      <c r="EC170" s="358">
        <v>168</v>
      </c>
      <c r="ED170" s="358">
        <v>174</v>
      </c>
      <c r="EE170" s="358">
        <v>180</v>
      </c>
      <c r="EF170" s="358">
        <v>183</v>
      </c>
      <c r="EG170" s="358">
        <v>187</v>
      </c>
      <c r="EH170" s="358">
        <v>192</v>
      </c>
      <c r="EI170" s="358">
        <v>197</v>
      </c>
      <c r="EJ170" s="358">
        <v>201</v>
      </c>
      <c r="EK170" s="358">
        <v>206</v>
      </c>
      <c r="EL170" s="358">
        <v>210</v>
      </c>
      <c r="EM170" s="358">
        <v>43</v>
      </c>
      <c r="EN170" s="358">
        <v>55</v>
      </c>
      <c r="EO170" s="358">
        <v>66</v>
      </c>
      <c r="EP170" s="358">
        <v>76</v>
      </c>
      <c r="EQ170" s="358">
        <v>83</v>
      </c>
      <c r="ES170" s="358">
        <v>95</v>
      </c>
      <c r="ET170" s="358">
        <v>100</v>
      </c>
      <c r="EU170" s="358">
        <v>109</v>
      </c>
      <c r="EV170" s="358">
        <v>115</v>
      </c>
      <c r="EW170" s="358">
        <v>39</v>
      </c>
      <c r="EX170" s="358">
        <v>50</v>
      </c>
      <c r="EY170" s="358">
        <v>61</v>
      </c>
      <c r="EZ170" s="358">
        <v>77</v>
      </c>
      <c r="FA170" s="358">
        <v>85</v>
      </c>
      <c r="FB170" s="358">
        <v>95</v>
      </c>
      <c r="FC170" s="358">
        <v>109</v>
      </c>
      <c r="FD170" s="358">
        <v>121</v>
      </c>
      <c r="FE170" s="358">
        <v>128</v>
      </c>
      <c r="FF170" s="358">
        <v>133</v>
      </c>
      <c r="FG170" s="358">
        <v>145</v>
      </c>
      <c r="FH170" s="358">
        <v>154</v>
      </c>
      <c r="FI170" s="358">
        <v>165</v>
      </c>
      <c r="FJ170" s="358">
        <v>171</v>
      </c>
      <c r="FK170" s="358">
        <v>176</v>
      </c>
      <c r="FM170" s="358">
        <v>10</v>
      </c>
      <c r="FN170" s="358">
        <v>16</v>
      </c>
      <c r="FO170" s="358">
        <v>23</v>
      </c>
      <c r="FP170" s="358">
        <v>36</v>
      </c>
      <c r="FQ170" s="358">
        <v>51</v>
      </c>
      <c r="FR170" s="358">
        <v>59</v>
      </c>
      <c r="FS170" s="358">
        <v>66</v>
      </c>
      <c r="FT170" s="358">
        <v>73</v>
      </c>
      <c r="FU170" s="358">
        <v>80</v>
      </c>
      <c r="FV170" s="358">
        <v>90</v>
      </c>
      <c r="FW170" s="358">
        <v>193</v>
      </c>
      <c r="FX170" s="358">
        <v>240</v>
      </c>
      <c r="FY170" s="358">
        <v>247</v>
      </c>
      <c r="FZ170" s="358">
        <v>275</v>
      </c>
      <c r="GA170" s="358">
        <v>344</v>
      </c>
      <c r="GB170" s="358">
        <v>156</v>
      </c>
      <c r="GC170" s="358">
        <v>232</v>
      </c>
      <c r="GD170" s="358">
        <v>268</v>
      </c>
      <c r="GE170" s="358">
        <v>297</v>
      </c>
      <c r="GF170" s="358">
        <v>289</v>
      </c>
      <c r="GG170" s="358">
        <v>213</v>
      </c>
      <c r="GH170" s="358">
        <v>225</v>
      </c>
      <c r="GI170" s="361">
        <v>251</v>
      </c>
    </row>
    <row r="171" spans="1:191">
      <c r="A171" s="336" t="s">
        <v>328</v>
      </c>
      <c r="B171" s="358">
        <v>131</v>
      </c>
      <c r="C171" s="358">
        <v>135</v>
      </c>
      <c r="D171" s="358">
        <v>137</v>
      </c>
      <c r="E171" s="358">
        <v>138</v>
      </c>
      <c r="F171" s="358">
        <v>141</v>
      </c>
      <c r="G171" s="358">
        <v>144</v>
      </c>
      <c r="H171" s="358">
        <v>147</v>
      </c>
      <c r="I171" s="358">
        <v>149</v>
      </c>
      <c r="J171" s="358">
        <v>152</v>
      </c>
      <c r="K171" s="358">
        <v>156</v>
      </c>
      <c r="L171" s="358">
        <v>158</v>
      </c>
      <c r="M171" s="358">
        <v>161</v>
      </c>
      <c r="N171" s="358">
        <v>163</v>
      </c>
      <c r="O171" s="358">
        <v>168</v>
      </c>
      <c r="P171" s="358">
        <v>174</v>
      </c>
      <c r="Q171" s="358">
        <v>176</v>
      </c>
      <c r="R171" s="358">
        <v>179</v>
      </c>
      <c r="S171" s="358">
        <v>181</v>
      </c>
      <c r="T171" s="358">
        <v>184</v>
      </c>
      <c r="U171" s="358">
        <v>187</v>
      </c>
      <c r="V171" s="358">
        <v>129</v>
      </c>
      <c r="W171" s="358">
        <v>127</v>
      </c>
      <c r="X171" s="358">
        <v>125</v>
      </c>
      <c r="Y171" s="358">
        <v>123</v>
      </c>
      <c r="Z171" s="358">
        <v>121</v>
      </c>
      <c r="AA171" s="358">
        <v>120</v>
      </c>
      <c r="AB171" s="358">
        <v>118</v>
      </c>
      <c r="AC171" s="358">
        <v>115</v>
      </c>
      <c r="AD171" s="358">
        <v>113</v>
      </c>
      <c r="AE171" s="358">
        <v>108</v>
      </c>
      <c r="AF171" s="358">
        <v>103</v>
      </c>
      <c r="AG171" s="358">
        <v>98</v>
      </c>
      <c r="AH171" s="358">
        <v>97</v>
      </c>
      <c r="AI171" s="358">
        <v>96</v>
      </c>
      <c r="AJ171" s="358">
        <v>92</v>
      </c>
      <c r="AK171" s="358">
        <v>86</v>
      </c>
      <c r="AL171" s="358">
        <v>80</v>
      </c>
      <c r="AM171" s="358">
        <v>75</v>
      </c>
      <c r="AN171" s="358">
        <v>69</v>
      </c>
      <c r="AO171" s="358">
        <v>65</v>
      </c>
      <c r="AP171" s="358">
        <v>59</v>
      </c>
      <c r="AQ171" s="358">
        <v>53</v>
      </c>
      <c r="AR171" s="358">
        <v>49</v>
      </c>
      <c r="AS171" s="358">
        <v>37</v>
      </c>
      <c r="AT171" s="358">
        <v>29</v>
      </c>
      <c r="AU171" s="358">
        <v>19</v>
      </c>
      <c r="AV171" s="358">
        <v>28</v>
      </c>
      <c r="AW171" s="358">
        <v>36</v>
      </c>
      <c r="AX171" s="358">
        <v>134</v>
      </c>
      <c r="AY171" s="358">
        <v>138</v>
      </c>
      <c r="AZ171" s="358">
        <v>139</v>
      </c>
      <c r="BA171" s="358">
        <v>140</v>
      </c>
      <c r="BB171" s="358">
        <v>141</v>
      </c>
      <c r="BC171" s="358">
        <v>144</v>
      </c>
      <c r="BD171" s="358">
        <v>148</v>
      </c>
      <c r="BE171" s="358">
        <v>150</v>
      </c>
      <c r="BF171" s="358">
        <v>151</v>
      </c>
      <c r="BG171" s="358">
        <v>154</v>
      </c>
      <c r="BH171" s="358">
        <v>155</v>
      </c>
      <c r="BI171" s="358">
        <v>156</v>
      </c>
      <c r="BJ171" s="358">
        <v>158</v>
      </c>
      <c r="BK171" s="358">
        <v>159</v>
      </c>
      <c r="BL171" s="358">
        <v>160</v>
      </c>
      <c r="BM171" s="358">
        <v>162</v>
      </c>
      <c r="BN171" s="358">
        <v>163</v>
      </c>
      <c r="BO171" s="358">
        <v>166</v>
      </c>
      <c r="BP171" s="358">
        <v>171</v>
      </c>
      <c r="BQ171" s="358">
        <v>175</v>
      </c>
      <c r="BR171" s="358">
        <v>185</v>
      </c>
      <c r="BS171" s="358">
        <v>192</v>
      </c>
      <c r="BT171" s="358">
        <v>196</v>
      </c>
      <c r="BU171" s="358">
        <v>199</v>
      </c>
      <c r="BV171" s="358">
        <v>136</v>
      </c>
      <c r="BW171" s="358">
        <v>137</v>
      </c>
      <c r="BX171" s="358">
        <v>140</v>
      </c>
      <c r="BY171" s="358">
        <v>144</v>
      </c>
      <c r="BZ171" s="358">
        <v>149</v>
      </c>
      <c r="CA171" s="358">
        <v>153</v>
      </c>
      <c r="CB171" s="358">
        <v>160</v>
      </c>
      <c r="CC171" s="358">
        <v>165</v>
      </c>
      <c r="CD171" s="358">
        <v>168</v>
      </c>
      <c r="CE171" s="358">
        <v>172</v>
      </c>
      <c r="CF171" s="358">
        <v>174</v>
      </c>
      <c r="CG171" s="358">
        <v>181</v>
      </c>
      <c r="CH171" s="358">
        <v>183</v>
      </c>
      <c r="CI171" s="358">
        <v>187</v>
      </c>
      <c r="CJ171" s="358">
        <v>190</v>
      </c>
      <c r="CK171" s="358">
        <v>197</v>
      </c>
      <c r="CL171" s="358">
        <v>203</v>
      </c>
      <c r="CM171" s="358">
        <v>207</v>
      </c>
      <c r="CN171" s="358">
        <v>212</v>
      </c>
      <c r="CO171" s="358">
        <v>219</v>
      </c>
      <c r="CP171" s="358">
        <v>230</v>
      </c>
      <c r="CQ171" s="358">
        <v>243</v>
      </c>
      <c r="CR171" s="358">
        <v>248</v>
      </c>
      <c r="CS171" s="358">
        <v>137</v>
      </c>
      <c r="CT171" s="358">
        <v>142</v>
      </c>
      <c r="CU171" s="358">
        <v>148</v>
      </c>
      <c r="CV171" s="358">
        <v>154</v>
      </c>
      <c r="CW171" s="358">
        <v>160</v>
      </c>
      <c r="CX171" s="358">
        <v>165</v>
      </c>
      <c r="CY171" s="358">
        <v>172</v>
      </c>
      <c r="CZ171" s="358">
        <v>175</v>
      </c>
      <c r="DA171" s="358">
        <v>179</v>
      </c>
      <c r="DB171" s="358">
        <v>184</v>
      </c>
      <c r="DC171" s="358">
        <v>195</v>
      </c>
      <c r="DD171" s="358">
        <v>205</v>
      </c>
      <c r="DE171" s="358">
        <v>209</v>
      </c>
      <c r="DF171" s="358">
        <v>215</v>
      </c>
      <c r="DG171" s="358">
        <v>224</v>
      </c>
      <c r="DH171" s="358">
        <v>229</v>
      </c>
      <c r="DI171" s="358">
        <v>236</v>
      </c>
      <c r="DJ171" s="358">
        <v>245</v>
      </c>
      <c r="DK171" s="358">
        <v>252</v>
      </c>
      <c r="DL171" s="358">
        <v>260</v>
      </c>
      <c r="DM171" s="358">
        <v>272</v>
      </c>
      <c r="DN171" s="358">
        <v>275</v>
      </c>
      <c r="DO171" s="358">
        <v>286</v>
      </c>
      <c r="DP171" s="358">
        <v>295</v>
      </c>
      <c r="DQ171" s="358">
        <v>130</v>
      </c>
      <c r="DR171" s="358">
        <v>135</v>
      </c>
      <c r="DS171" s="358">
        <v>139</v>
      </c>
      <c r="DT171" s="358">
        <v>141</v>
      </c>
      <c r="DU171" s="358">
        <v>144</v>
      </c>
      <c r="DV171" s="358">
        <v>145</v>
      </c>
      <c r="DW171" s="358">
        <v>151</v>
      </c>
      <c r="DX171" s="358">
        <v>154</v>
      </c>
      <c r="DY171" s="358">
        <v>160</v>
      </c>
      <c r="DZ171" s="358">
        <v>165</v>
      </c>
      <c r="EA171" s="358">
        <v>169</v>
      </c>
      <c r="EB171" s="358">
        <v>173</v>
      </c>
      <c r="EC171" s="358">
        <v>178</v>
      </c>
      <c r="ED171" s="358">
        <v>184</v>
      </c>
      <c r="EE171" s="358">
        <v>190</v>
      </c>
      <c r="EF171" s="358">
        <v>193</v>
      </c>
      <c r="EG171" s="358">
        <v>197</v>
      </c>
      <c r="EH171" s="358">
        <v>202</v>
      </c>
      <c r="EI171" s="358">
        <v>207</v>
      </c>
      <c r="EJ171" s="358">
        <v>211</v>
      </c>
      <c r="EK171" s="358">
        <v>216</v>
      </c>
      <c r="EL171" s="358">
        <v>220</v>
      </c>
      <c r="EM171" s="358">
        <v>53</v>
      </c>
      <c r="EN171" s="358">
        <v>65</v>
      </c>
      <c r="EO171" s="358">
        <v>76</v>
      </c>
      <c r="EP171" s="358">
        <v>86</v>
      </c>
      <c r="EQ171" s="358">
        <v>93</v>
      </c>
      <c r="ES171" s="358">
        <v>105</v>
      </c>
      <c r="ET171" s="358">
        <v>110</v>
      </c>
      <c r="EU171" s="358">
        <v>119</v>
      </c>
      <c r="EV171" s="358">
        <v>125</v>
      </c>
      <c r="EW171" s="358">
        <v>49</v>
      </c>
      <c r="EX171" s="358">
        <v>60</v>
      </c>
      <c r="EY171" s="358">
        <v>71</v>
      </c>
      <c r="EZ171" s="358">
        <v>87</v>
      </c>
      <c r="FA171" s="358">
        <v>95</v>
      </c>
      <c r="FB171" s="358">
        <v>105</v>
      </c>
      <c r="FC171" s="358">
        <v>119</v>
      </c>
      <c r="FD171" s="358">
        <v>131</v>
      </c>
      <c r="FE171" s="358">
        <v>138</v>
      </c>
      <c r="FF171" s="358">
        <v>143</v>
      </c>
      <c r="FG171" s="358">
        <v>155</v>
      </c>
      <c r="FH171" s="358">
        <v>164</v>
      </c>
      <c r="FI171" s="358">
        <v>175</v>
      </c>
      <c r="FJ171" s="358">
        <v>181</v>
      </c>
      <c r="FK171" s="358">
        <v>186</v>
      </c>
      <c r="FL171" s="358">
        <v>10</v>
      </c>
      <c r="FN171" s="358">
        <v>6</v>
      </c>
      <c r="FO171" s="358">
        <v>13</v>
      </c>
      <c r="FP171" s="358">
        <v>26</v>
      </c>
      <c r="FQ171" s="358">
        <v>41</v>
      </c>
      <c r="FR171" s="358">
        <v>49</v>
      </c>
      <c r="FS171" s="358">
        <v>56</v>
      </c>
      <c r="FT171" s="358">
        <v>63</v>
      </c>
      <c r="FU171" s="358">
        <v>70</v>
      </c>
      <c r="FV171" s="358">
        <v>80</v>
      </c>
      <c r="FW171" s="358">
        <v>203</v>
      </c>
      <c r="FX171" s="358">
        <v>250</v>
      </c>
      <c r="FY171" s="358">
        <v>257</v>
      </c>
      <c r="FZ171" s="358">
        <v>285</v>
      </c>
      <c r="GA171" s="358">
        <v>354</v>
      </c>
      <c r="GB171" s="358">
        <v>166</v>
      </c>
      <c r="GC171" s="358">
        <v>242</v>
      </c>
      <c r="GD171" s="358">
        <v>278</v>
      </c>
      <c r="GE171" s="358">
        <v>307</v>
      </c>
      <c r="GF171" s="358">
        <v>299</v>
      </c>
      <c r="GG171" s="358">
        <v>223</v>
      </c>
      <c r="GH171" s="358">
        <v>235</v>
      </c>
      <c r="GI171" s="361">
        <v>261</v>
      </c>
    </row>
    <row r="172" spans="1:191">
      <c r="A172" s="336" t="s">
        <v>327</v>
      </c>
      <c r="B172" s="358">
        <v>137</v>
      </c>
      <c r="C172" s="358">
        <v>141</v>
      </c>
      <c r="D172" s="358">
        <v>143</v>
      </c>
      <c r="E172" s="358">
        <v>144</v>
      </c>
      <c r="F172" s="358">
        <v>147</v>
      </c>
      <c r="G172" s="358">
        <v>150</v>
      </c>
      <c r="H172" s="358">
        <v>153</v>
      </c>
      <c r="I172" s="358">
        <v>155</v>
      </c>
      <c r="J172" s="358">
        <v>158</v>
      </c>
      <c r="K172" s="358">
        <v>162</v>
      </c>
      <c r="L172" s="358">
        <v>164</v>
      </c>
      <c r="M172" s="358">
        <v>167</v>
      </c>
      <c r="N172" s="358">
        <v>169</v>
      </c>
      <c r="O172" s="358">
        <v>174</v>
      </c>
      <c r="P172" s="358">
        <v>180</v>
      </c>
      <c r="Q172" s="358">
        <v>182</v>
      </c>
      <c r="R172" s="358">
        <v>185</v>
      </c>
      <c r="S172" s="358">
        <v>187</v>
      </c>
      <c r="T172" s="358">
        <v>190</v>
      </c>
      <c r="U172" s="358">
        <v>193</v>
      </c>
      <c r="V172" s="358">
        <v>135</v>
      </c>
      <c r="W172" s="358">
        <v>133</v>
      </c>
      <c r="X172" s="358">
        <v>131</v>
      </c>
      <c r="Y172" s="358">
        <v>129</v>
      </c>
      <c r="Z172" s="358">
        <v>127</v>
      </c>
      <c r="AA172" s="358">
        <v>126</v>
      </c>
      <c r="AB172" s="358">
        <v>124</v>
      </c>
      <c r="AC172" s="358">
        <v>121</v>
      </c>
      <c r="AD172" s="358">
        <v>119</v>
      </c>
      <c r="AE172" s="358">
        <v>114</v>
      </c>
      <c r="AF172" s="358">
        <v>109</v>
      </c>
      <c r="AG172" s="358">
        <v>104</v>
      </c>
      <c r="AH172" s="358">
        <v>103</v>
      </c>
      <c r="AI172" s="358">
        <v>102</v>
      </c>
      <c r="AJ172" s="358">
        <v>98</v>
      </c>
      <c r="AK172" s="358">
        <v>92</v>
      </c>
      <c r="AL172" s="358">
        <v>86</v>
      </c>
      <c r="AM172" s="358">
        <v>81</v>
      </c>
      <c r="AN172" s="358">
        <v>75</v>
      </c>
      <c r="AO172" s="358">
        <v>71</v>
      </c>
      <c r="AP172" s="358">
        <v>65</v>
      </c>
      <c r="AQ172" s="358">
        <v>59</v>
      </c>
      <c r="AR172" s="358">
        <v>55</v>
      </c>
      <c r="AS172" s="358">
        <v>43</v>
      </c>
      <c r="AT172" s="358">
        <v>35</v>
      </c>
      <c r="AU172" s="358">
        <v>25</v>
      </c>
      <c r="AV172" s="358">
        <v>34</v>
      </c>
      <c r="AW172" s="358">
        <v>42</v>
      </c>
      <c r="AX172" s="358">
        <v>140</v>
      </c>
      <c r="AY172" s="358">
        <v>144</v>
      </c>
      <c r="AZ172" s="358">
        <v>145</v>
      </c>
      <c r="BA172" s="358">
        <v>146</v>
      </c>
      <c r="BB172" s="358">
        <v>147</v>
      </c>
      <c r="BC172" s="358">
        <v>150</v>
      </c>
      <c r="BD172" s="358">
        <v>154</v>
      </c>
      <c r="BE172" s="358">
        <v>156</v>
      </c>
      <c r="BF172" s="358">
        <v>157</v>
      </c>
      <c r="BG172" s="358">
        <v>160</v>
      </c>
      <c r="BH172" s="358">
        <v>161</v>
      </c>
      <c r="BI172" s="358">
        <v>162</v>
      </c>
      <c r="BJ172" s="358">
        <v>164</v>
      </c>
      <c r="BK172" s="358">
        <v>165</v>
      </c>
      <c r="BL172" s="358">
        <v>166</v>
      </c>
      <c r="BM172" s="358">
        <v>168</v>
      </c>
      <c r="BN172" s="358">
        <v>169</v>
      </c>
      <c r="BO172" s="358">
        <v>172</v>
      </c>
      <c r="BP172" s="358">
        <v>177</v>
      </c>
      <c r="BQ172" s="358">
        <v>181</v>
      </c>
      <c r="BR172" s="358">
        <v>191</v>
      </c>
      <c r="BS172" s="358">
        <v>198</v>
      </c>
      <c r="BT172" s="358">
        <v>202</v>
      </c>
      <c r="BU172" s="358">
        <v>205</v>
      </c>
      <c r="BV172" s="358">
        <v>142</v>
      </c>
      <c r="BW172" s="358">
        <v>143</v>
      </c>
      <c r="BX172" s="358">
        <v>146</v>
      </c>
      <c r="BY172" s="358">
        <v>150</v>
      </c>
      <c r="BZ172" s="358">
        <v>155</v>
      </c>
      <c r="CA172" s="358">
        <v>159</v>
      </c>
      <c r="CB172" s="358">
        <v>166</v>
      </c>
      <c r="CC172" s="358">
        <v>171</v>
      </c>
      <c r="CD172" s="358">
        <v>174</v>
      </c>
      <c r="CE172" s="358">
        <v>178</v>
      </c>
      <c r="CF172" s="358">
        <v>180</v>
      </c>
      <c r="CG172" s="358">
        <v>187</v>
      </c>
      <c r="CH172" s="358">
        <v>189</v>
      </c>
      <c r="CI172" s="358">
        <v>193</v>
      </c>
      <c r="CJ172" s="358">
        <v>196</v>
      </c>
      <c r="CK172" s="358">
        <v>203</v>
      </c>
      <c r="CL172" s="358">
        <v>209</v>
      </c>
      <c r="CM172" s="358">
        <v>213</v>
      </c>
      <c r="CN172" s="358">
        <v>218</v>
      </c>
      <c r="CO172" s="358">
        <v>225</v>
      </c>
      <c r="CP172" s="358">
        <v>236</v>
      </c>
      <c r="CQ172" s="358">
        <v>249</v>
      </c>
      <c r="CR172" s="358">
        <v>254</v>
      </c>
      <c r="CS172" s="358">
        <v>143</v>
      </c>
      <c r="CT172" s="358">
        <v>148</v>
      </c>
      <c r="CU172" s="358">
        <v>154</v>
      </c>
      <c r="CV172" s="358">
        <v>160</v>
      </c>
      <c r="CW172" s="358">
        <v>166</v>
      </c>
      <c r="CX172" s="358">
        <v>171</v>
      </c>
      <c r="CY172" s="358">
        <v>178</v>
      </c>
      <c r="CZ172" s="358">
        <v>181</v>
      </c>
      <c r="DA172" s="358">
        <v>185</v>
      </c>
      <c r="DB172" s="358">
        <v>190</v>
      </c>
      <c r="DC172" s="358">
        <v>201</v>
      </c>
      <c r="DD172" s="358">
        <v>211</v>
      </c>
      <c r="DE172" s="358">
        <v>215</v>
      </c>
      <c r="DF172" s="358">
        <v>221</v>
      </c>
      <c r="DG172" s="358">
        <v>230</v>
      </c>
      <c r="DH172" s="358">
        <v>235</v>
      </c>
      <c r="DI172" s="358">
        <v>242</v>
      </c>
      <c r="DJ172" s="358">
        <v>251</v>
      </c>
      <c r="DK172" s="358">
        <v>258</v>
      </c>
      <c r="DL172" s="358">
        <v>266</v>
      </c>
      <c r="DM172" s="358">
        <v>278</v>
      </c>
      <c r="DN172" s="358">
        <v>281</v>
      </c>
      <c r="DO172" s="358">
        <v>292</v>
      </c>
      <c r="DP172" s="358">
        <v>301</v>
      </c>
      <c r="DQ172" s="358">
        <v>136</v>
      </c>
      <c r="DR172" s="358">
        <v>141</v>
      </c>
      <c r="DS172" s="358">
        <v>145</v>
      </c>
      <c r="DT172" s="358">
        <v>147</v>
      </c>
      <c r="DU172" s="358">
        <v>150</v>
      </c>
      <c r="DV172" s="358">
        <v>151</v>
      </c>
      <c r="DW172" s="358">
        <v>157</v>
      </c>
      <c r="DX172" s="358">
        <v>160</v>
      </c>
      <c r="DY172" s="358">
        <v>166</v>
      </c>
      <c r="DZ172" s="358">
        <v>171</v>
      </c>
      <c r="EA172" s="358">
        <v>175</v>
      </c>
      <c r="EB172" s="358">
        <v>179</v>
      </c>
      <c r="EC172" s="358">
        <v>184</v>
      </c>
      <c r="ED172" s="358">
        <v>190</v>
      </c>
      <c r="EE172" s="358">
        <v>196</v>
      </c>
      <c r="EF172" s="358">
        <v>199</v>
      </c>
      <c r="EG172" s="358">
        <v>203</v>
      </c>
      <c r="EH172" s="358">
        <v>208</v>
      </c>
      <c r="EI172" s="358">
        <v>213</v>
      </c>
      <c r="EJ172" s="358">
        <v>217</v>
      </c>
      <c r="EK172" s="358">
        <v>222</v>
      </c>
      <c r="EL172" s="358">
        <v>226</v>
      </c>
      <c r="EM172" s="358">
        <v>59</v>
      </c>
      <c r="EN172" s="358">
        <v>71</v>
      </c>
      <c r="EO172" s="358">
        <v>82</v>
      </c>
      <c r="EP172" s="358">
        <v>92</v>
      </c>
      <c r="EQ172" s="358">
        <v>99</v>
      </c>
      <c r="ES172" s="358">
        <v>111</v>
      </c>
      <c r="ET172" s="358">
        <v>116</v>
      </c>
      <c r="EU172" s="358">
        <v>125</v>
      </c>
      <c r="EV172" s="358">
        <v>131</v>
      </c>
      <c r="EW172" s="358">
        <v>55</v>
      </c>
      <c r="EX172" s="358">
        <v>66</v>
      </c>
      <c r="EY172" s="358">
        <v>77</v>
      </c>
      <c r="EZ172" s="358">
        <v>93</v>
      </c>
      <c r="FA172" s="358">
        <v>101</v>
      </c>
      <c r="FB172" s="358">
        <v>111</v>
      </c>
      <c r="FC172" s="358">
        <v>125</v>
      </c>
      <c r="FD172" s="358">
        <v>137</v>
      </c>
      <c r="FE172" s="358">
        <v>144</v>
      </c>
      <c r="FF172" s="358">
        <v>149</v>
      </c>
      <c r="FG172" s="358">
        <v>161</v>
      </c>
      <c r="FH172" s="358">
        <v>170</v>
      </c>
      <c r="FI172" s="358">
        <v>181</v>
      </c>
      <c r="FJ172" s="358">
        <v>187</v>
      </c>
      <c r="FK172" s="358">
        <v>192</v>
      </c>
      <c r="FL172" s="358">
        <v>16</v>
      </c>
      <c r="FM172" s="358">
        <v>6</v>
      </c>
      <c r="FO172" s="358">
        <v>7</v>
      </c>
      <c r="FP172" s="358">
        <v>20</v>
      </c>
      <c r="FQ172" s="358">
        <v>35</v>
      </c>
      <c r="FR172" s="358">
        <v>43</v>
      </c>
      <c r="FS172" s="358">
        <v>50</v>
      </c>
      <c r="FT172" s="358">
        <v>57</v>
      </c>
      <c r="FU172" s="358">
        <v>64</v>
      </c>
      <c r="FV172" s="358">
        <v>74</v>
      </c>
      <c r="FW172" s="358">
        <v>209</v>
      </c>
      <c r="FX172" s="358">
        <v>256</v>
      </c>
      <c r="FY172" s="358">
        <v>263</v>
      </c>
      <c r="FZ172" s="358">
        <v>291</v>
      </c>
      <c r="GA172" s="358">
        <v>360</v>
      </c>
      <c r="GB172" s="358">
        <v>172</v>
      </c>
      <c r="GC172" s="358">
        <v>248</v>
      </c>
      <c r="GD172" s="358">
        <v>284</v>
      </c>
      <c r="GE172" s="358">
        <v>313</v>
      </c>
      <c r="GF172" s="358">
        <v>305</v>
      </c>
      <c r="GG172" s="358">
        <v>229</v>
      </c>
      <c r="GH172" s="358">
        <v>241</v>
      </c>
      <c r="GI172" s="361">
        <v>267</v>
      </c>
    </row>
    <row r="173" spans="1:191">
      <c r="A173" s="336" t="s">
        <v>326</v>
      </c>
      <c r="B173" s="358">
        <v>144</v>
      </c>
      <c r="C173" s="358">
        <v>148</v>
      </c>
      <c r="D173" s="358">
        <v>150</v>
      </c>
      <c r="E173" s="358">
        <v>151</v>
      </c>
      <c r="F173" s="358">
        <v>154</v>
      </c>
      <c r="G173" s="358">
        <v>157</v>
      </c>
      <c r="H173" s="358">
        <v>160</v>
      </c>
      <c r="I173" s="358">
        <v>162</v>
      </c>
      <c r="J173" s="358">
        <v>165</v>
      </c>
      <c r="K173" s="358">
        <v>169</v>
      </c>
      <c r="L173" s="358">
        <v>171</v>
      </c>
      <c r="M173" s="358">
        <v>174</v>
      </c>
      <c r="N173" s="358">
        <v>176</v>
      </c>
      <c r="O173" s="358">
        <v>181</v>
      </c>
      <c r="P173" s="358">
        <v>187</v>
      </c>
      <c r="Q173" s="358">
        <v>189</v>
      </c>
      <c r="R173" s="358">
        <v>192</v>
      </c>
      <c r="S173" s="358">
        <v>194</v>
      </c>
      <c r="T173" s="358">
        <v>197</v>
      </c>
      <c r="U173" s="358">
        <v>200</v>
      </c>
      <c r="V173" s="358">
        <v>142</v>
      </c>
      <c r="W173" s="358">
        <v>140</v>
      </c>
      <c r="X173" s="358">
        <v>138</v>
      </c>
      <c r="Y173" s="358">
        <v>136</v>
      </c>
      <c r="Z173" s="358">
        <v>134</v>
      </c>
      <c r="AA173" s="358">
        <v>133</v>
      </c>
      <c r="AB173" s="358">
        <v>131</v>
      </c>
      <c r="AC173" s="358">
        <v>128</v>
      </c>
      <c r="AD173" s="358">
        <v>126</v>
      </c>
      <c r="AE173" s="358">
        <v>121</v>
      </c>
      <c r="AF173" s="358">
        <v>116</v>
      </c>
      <c r="AG173" s="358">
        <v>111</v>
      </c>
      <c r="AH173" s="358">
        <v>110</v>
      </c>
      <c r="AI173" s="358">
        <v>109</v>
      </c>
      <c r="AJ173" s="358">
        <v>105</v>
      </c>
      <c r="AK173" s="358">
        <v>99</v>
      </c>
      <c r="AL173" s="358">
        <v>93</v>
      </c>
      <c r="AM173" s="358">
        <v>88</v>
      </c>
      <c r="AN173" s="358">
        <v>82</v>
      </c>
      <c r="AO173" s="358">
        <v>78</v>
      </c>
      <c r="AP173" s="358">
        <v>72</v>
      </c>
      <c r="AQ173" s="358">
        <v>66</v>
      </c>
      <c r="AR173" s="358">
        <v>62</v>
      </c>
      <c r="AS173" s="358">
        <v>50</v>
      </c>
      <c r="AT173" s="358">
        <v>42</v>
      </c>
      <c r="AU173" s="358">
        <v>32</v>
      </c>
      <c r="AV173" s="358">
        <v>41</v>
      </c>
      <c r="AW173" s="358">
        <v>49</v>
      </c>
      <c r="AX173" s="358">
        <v>147</v>
      </c>
      <c r="AY173" s="358">
        <v>151</v>
      </c>
      <c r="AZ173" s="358">
        <v>152</v>
      </c>
      <c r="BA173" s="358">
        <v>153</v>
      </c>
      <c r="BB173" s="358">
        <v>154</v>
      </c>
      <c r="BC173" s="358">
        <v>157</v>
      </c>
      <c r="BD173" s="358">
        <v>161</v>
      </c>
      <c r="BE173" s="358">
        <v>163</v>
      </c>
      <c r="BF173" s="358">
        <v>164</v>
      </c>
      <c r="BG173" s="358">
        <v>167</v>
      </c>
      <c r="BH173" s="358">
        <v>168</v>
      </c>
      <c r="BI173" s="358">
        <v>169</v>
      </c>
      <c r="BJ173" s="358">
        <v>171</v>
      </c>
      <c r="BK173" s="358">
        <v>172</v>
      </c>
      <c r="BL173" s="358">
        <v>173</v>
      </c>
      <c r="BM173" s="358">
        <v>175</v>
      </c>
      <c r="BN173" s="358">
        <v>176</v>
      </c>
      <c r="BO173" s="358">
        <v>179</v>
      </c>
      <c r="BP173" s="358">
        <v>184</v>
      </c>
      <c r="BQ173" s="358">
        <v>188</v>
      </c>
      <c r="BR173" s="358">
        <v>198</v>
      </c>
      <c r="BS173" s="358">
        <v>205</v>
      </c>
      <c r="BT173" s="358">
        <v>209</v>
      </c>
      <c r="BU173" s="358">
        <v>212</v>
      </c>
      <c r="BV173" s="358">
        <v>149</v>
      </c>
      <c r="BW173" s="358">
        <v>150</v>
      </c>
      <c r="BX173" s="358">
        <v>153</v>
      </c>
      <c r="BY173" s="358">
        <v>157</v>
      </c>
      <c r="BZ173" s="358">
        <v>162</v>
      </c>
      <c r="CA173" s="358">
        <v>166</v>
      </c>
      <c r="CB173" s="358">
        <v>173</v>
      </c>
      <c r="CC173" s="358">
        <v>178</v>
      </c>
      <c r="CD173" s="358">
        <v>181</v>
      </c>
      <c r="CE173" s="358">
        <v>185</v>
      </c>
      <c r="CF173" s="358">
        <v>187</v>
      </c>
      <c r="CG173" s="358">
        <v>194</v>
      </c>
      <c r="CH173" s="358">
        <v>196</v>
      </c>
      <c r="CI173" s="358">
        <v>200</v>
      </c>
      <c r="CJ173" s="358">
        <v>203</v>
      </c>
      <c r="CK173" s="358">
        <v>210</v>
      </c>
      <c r="CL173" s="358">
        <v>216</v>
      </c>
      <c r="CM173" s="358">
        <v>220</v>
      </c>
      <c r="CN173" s="358">
        <v>225</v>
      </c>
      <c r="CO173" s="358">
        <v>232</v>
      </c>
      <c r="CP173" s="358">
        <v>243</v>
      </c>
      <c r="CQ173" s="358">
        <v>256</v>
      </c>
      <c r="CR173" s="358">
        <v>261</v>
      </c>
      <c r="CS173" s="358">
        <v>150</v>
      </c>
      <c r="CT173" s="358">
        <v>155</v>
      </c>
      <c r="CU173" s="358">
        <v>161</v>
      </c>
      <c r="CV173" s="358">
        <v>167</v>
      </c>
      <c r="CW173" s="358">
        <v>173</v>
      </c>
      <c r="CX173" s="358">
        <v>178</v>
      </c>
      <c r="CY173" s="358">
        <v>185</v>
      </c>
      <c r="CZ173" s="358">
        <v>188</v>
      </c>
      <c r="DA173" s="358">
        <v>192</v>
      </c>
      <c r="DB173" s="358">
        <v>197</v>
      </c>
      <c r="DC173" s="358">
        <v>208</v>
      </c>
      <c r="DD173" s="358">
        <v>218</v>
      </c>
      <c r="DE173" s="358">
        <v>222</v>
      </c>
      <c r="DF173" s="358">
        <v>228</v>
      </c>
      <c r="DG173" s="358">
        <v>237</v>
      </c>
      <c r="DH173" s="358">
        <v>242</v>
      </c>
      <c r="DI173" s="358">
        <v>249</v>
      </c>
      <c r="DJ173" s="358">
        <v>258</v>
      </c>
      <c r="DK173" s="358">
        <v>265</v>
      </c>
      <c r="DL173" s="358">
        <v>273</v>
      </c>
      <c r="DM173" s="358">
        <v>285</v>
      </c>
      <c r="DN173" s="358">
        <v>288</v>
      </c>
      <c r="DO173" s="358">
        <v>299</v>
      </c>
      <c r="DP173" s="358">
        <v>308</v>
      </c>
      <c r="DQ173" s="358">
        <v>143</v>
      </c>
      <c r="DR173" s="358">
        <v>148</v>
      </c>
      <c r="DS173" s="358">
        <v>152</v>
      </c>
      <c r="DT173" s="358">
        <v>154</v>
      </c>
      <c r="DU173" s="358">
        <v>157</v>
      </c>
      <c r="DV173" s="358">
        <v>158</v>
      </c>
      <c r="DW173" s="358">
        <v>164</v>
      </c>
      <c r="DX173" s="358">
        <v>167</v>
      </c>
      <c r="DY173" s="358">
        <v>173</v>
      </c>
      <c r="DZ173" s="358">
        <v>178</v>
      </c>
      <c r="EA173" s="358">
        <v>182</v>
      </c>
      <c r="EB173" s="358">
        <v>186</v>
      </c>
      <c r="EC173" s="358">
        <v>191</v>
      </c>
      <c r="ED173" s="358">
        <v>197</v>
      </c>
      <c r="EE173" s="358">
        <v>203</v>
      </c>
      <c r="EF173" s="358">
        <v>206</v>
      </c>
      <c r="EG173" s="358">
        <v>210</v>
      </c>
      <c r="EH173" s="358">
        <v>215</v>
      </c>
      <c r="EI173" s="358">
        <v>220</v>
      </c>
      <c r="EJ173" s="358">
        <v>224</v>
      </c>
      <c r="EK173" s="358">
        <v>229</v>
      </c>
      <c r="EL173" s="358">
        <v>233</v>
      </c>
      <c r="EM173" s="358">
        <v>66</v>
      </c>
      <c r="EN173" s="358">
        <v>78</v>
      </c>
      <c r="EO173" s="358">
        <v>89</v>
      </c>
      <c r="EP173" s="358">
        <v>99</v>
      </c>
      <c r="EQ173" s="358">
        <v>106</v>
      </c>
      <c r="ES173" s="358">
        <v>118</v>
      </c>
      <c r="ET173" s="358">
        <v>123</v>
      </c>
      <c r="EU173" s="358">
        <v>132</v>
      </c>
      <c r="EV173" s="358">
        <v>138</v>
      </c>
      <c r="EW173" s="358">
        <v>62</v>
      </c>
      <c r="EX173" s="358">
        <v>73</v>
      </c>
      <c r="EY173" s="358">
        <v>84</v>
      </c>
      <c r="EZ173" s="358">
        <v>100</v>
      </c>
      <c r="FA173" s="358">
        <v>108</v>
      </c>
      <c r="FB173" s="358">
        <v>118</v>
      </c>
      <c r="FC173" s="358">
        <v>132</v>
      </c>
      <c r="FD173" s="358">
        <v>144</v>
      </c>
      <c r="FE173" s="358">
        <v>151</v>
      </c>
      <c r="FF173" s="358">
        <v>156</v>
      </c>
      <c r="FG173" s="358">
        <v>168</v>
      </c>
      <c r="FH173" s="358">
        <v>177</v>
      </c>
      <c r="FI173" s="358">
        <v>188</v>
      </c>
      <c r="FJ173" s="358">
        <v>194</v>
      </c>
      <c r="FK173" s="358">
        <v>199</v>
      </c>
      <c r="FL173" s="358">
        <v>23</v>
      </c>
      <c r="FM173" s="358">
        <v>13</v>
      </c>
      <c r="FN173" s="358">
        <v>7</v>
      </c>
      <c r="FP173" s="358">
        <v>13</v>
      </c>
      <c r="FQ173" s="358">
        <v>28</v>
      </c>
      <c r="FR173" s="358">
        <v>36</v>
      </c>
      <c r="FS173" s="358">
        <v>43</v>
      </c>
      <c r="FT173" s="358">
        <v>50</v>
      </c>
      <c r="FU173" s="358">
        <v>57</v>
      </c>
      <c r="FV173" s="358">
        <v>67</v>
      </c>
      <c r="FW173" s="358">
        <v>216</v>
      </c>
      <c r="FX173" s="358">
        <v>263</v>
      </c>
      <c r="FY173" s="358">
        <v>270</v>
      </c>
      <c r="FZ173" s="358">
        <v>298</v>
      </c>
      <c r="GA173" s="358">
        <v>367</v>
      </c>
      <c r="GB173" s="358">
        <v>179</v>
      </c>
      <c r="GC173" s="358">
        <v>255</v>
      </c>
      <c r="GD173" s="358">
        <v>291</v>
      </c>
      <c r="GE173" s="358">
        <v>320</v>
      </c>
      <c r="GF173" s="358">
        <v>312</v>
      </c>
      <c r="GG173" s="358">
        <v>236</v>
      </c>
      <c r="GH173" s="358">
        <v>248</v>
      </c>
      <c r="GI173" s="361">
        <v>274</v>
      </c>
    </row>
    <row r="174" spans="1:191">
      <c r="A174" s="336" t="s">
        <v>325</v>
      </c>
      <c r="B174" s="358">
        <v>157</v>
      </c>
      <c r="C174" s="358">
        <v>161</v>
      </c>
      <c r="D174" s="358">
        <v>163</v>
      </c>
      <c r="E174" s="358">
        <v>164</v>
      </c>
      <c r="F174" s="358">
        <v>167</v>
      </c>
      <c r="G174" s="358">
        <v>170</v>
      </c>
      <c r="H174" s="358">
        <v>173</v>
      </c>
      <c r="I174" s="358">
        <v>175</v>
      </c>
      <c r="J174" s="358">
        <v>178</v>
      </c>
      <c r="K174" s="358">
        <v>182</v>
      </c>
      <c r="L174" s="358">
        <v>184</v>
      </c>
      <c r="M174" s="358">
        <v>187</v>
      </c>
      <c r="N174" s="358">
        <v>189</v>
      </c>
      <c r="O174" s="358">
        <v>194</v>
      </c>
      <c r="P174" s="358">
        <v>200</v>
      </c>
      <c r="Q174" s="358">
        <v>202</v>
      </c>
      <c r="R174" s="358">
        <v>205</v>
      </c>
      <c r="S174" s="358">
        <v>207</v>
      </c>
      <c r="T174" s="358">
        <v>210</v>
      </c>
      <c r="U174" s="358">
        <v>213</v>
      </c>
      <c r="V174" s="358">
        <v>155</v>
      </c>
      <c r="W174" s="358">
        <v>153</v>
      </c>
      <c r="X174" s="358">
        <v>151</v>
      </c>
      <c r="Y174" s="358">
        <v>149</v>
      </c>
      <c r="Z174" s="358">
        <v>147</v>
      </c>
      <c r="AA174" s="358">
        <v>146</v>
      </c>
      <c r="AB174" s="358">
        <v>144</v>
      </c>
      <c r="AC174" s="358">
        <v>141</v>
      </c>
      <c r="AD174" s="358">
        <v>139</v>
      </c>
      <c r="AE174" s="358">
        <v>134</v>
      </c>
      <c r="AF174" s="358">
        <v>129</v>
      </c>
      <c r="AG174" s="358">
        <v>124</v>
      </c>
      <c r="AH174" s="358">
        <v>123</v>
      </c>
      <c r="AI174" s="358">
        <v>122</v>
      </c>
      <c r="AJ174" s="358">
        <v>118</v>
      </c>
      <c r="AK174" s="358">
        <v>112</v>
      </c>
      <c r="AL174" s="358">
        <v>106</v>
      </c>
      <c r="AM174" s="358">
        <v>101</v>
      </c>
      <c r="AN174" s="358">
        <v>95</v>
      </c>
      <c r="AO174" s="358">
        <v>91</v>
      </c>
      <c r="AP174" s="358">
        <v>85</v>
      </c>
      <c r="AQ174" s="358">
        <v>79</v>
      </c>
      <c r="AR174" s="358">
        <v>75</v>
      </c>
      <c r="AS174" s="358">
        <v>63</v>
      </c>
      <c r="AT174" s="358">
        <v>55</v>
      </c>
      <c r="AU174" s="358">
        <v>45</v>
      </c>
      <c r="AV174" s="358">
        <v>54</v>
      </c>
      <c r="AW174" s="358">
        <v>62</v>
      </c>
      <c r="AX174" s="358">
        <v>160</v>
      </c>
      <c r="AY174" s="358">
        <v>164</v>
      </c>
      <c r="AZ174" s="358">
        <v>165</v>
      </c>
      <c r="BA174" s="358">
        <v>166</v>
      </c>
      <c r="BB174" s="358">
        <v>167</v>
      </c>
      <c r="BC174" s="358">
        <v>170</v>
      </c>
      <c r="BD174" s="358">
        <v>174</v>
      </c>
      <c r="BE174" s="358">
        <v>176</v>
      </c>
      <c r="BF174" s="358">
        <v>177</v>
      </c>
      <c r="BG174" s="358">
        <v>180</v>
      </c>
      <c r="BH174" s="358">
        <v>181</v>
      </c>
      <c r="BI174" s="358">
        <v>182</v>
      </c>
      <c r="BJ174" s="358">
        <v>184</v>
      </c>
      <c r="BK174" s="358">
        <v>185</v>
      </c>
      <c r="BL174" s="358">
        <v>186</v>
      </c>
      <c r="BM174" s="358">
        <v>188</v>
      </c>
      <c r="BN174" s="358">
        <v>189</v>
      </c>
      <c r="BO174" s="358">
        <v>192</v>
      </c>
      <c r="BP174" s="358">
        <v>197</v>
      </c>
      <c r="BQ174" s="358">
        <v>201</v>
      </c>
      <c r="BR174" s="358">
        <v>211</v>
      </c>
      <c r="BS174" s="358">
        <v>218</v>
      </c>
      <c r="BT174" s="358">
        <v>222</v>
      </c>
      <c r="BU174" s="358">
        <v>225</v>
      </c>
      <c r="BV174" s="358">
        <v>162</v>
      </c>
      <c r="BW174" s="358">
        <v>163</v>
      </c>
      <c r="BX174" s="358">
        <v>166</v>
      </c>
      <c r="BY174" s="358">
        <v>170</v>
      </c>
      <c r="BZ174" s="358">
        <v>175</v>
      </c>
      <c r="CA174" s="358">
        <v>179</v>
      </c>
      <c r="CB174" s="358">
        <v>186</v>
      </c>
      <c r="CC174" s="358">
        <v>191</v>
      </c>
      <c r="CD174" s="358">
        <v>194</v>
      </c>
      <c r="CE174" s="358">
        <v>198</v>
      </c>
      <c r="CF174" s="358">
        <v>200</v>
      </c>
      <c r="CG174" s="358">
        <v>207</v>
      </c>
      <c r="CH174" s="358">
        <v>209</v>
      </c>
      <c r="CI174" s="358">
        <v>213</v>
      </c>
      <c r="CJ174" s="358">
        <v>216</v>
      </c>
      <c r="CK174" s="358">
        <v>223</v>
      </c>
      <c r="CL174" s="358">
        <v>229</v>
      </c>
      <c r="CM174" s="358">
        <v>233</v>
      </c>
      <c r="CN174" s="358">
        <v>238</v>
      </c>
      <c r="CO174" s="358">
        <v>245</v>
      </c>
      <c r="CP174" s="358">
        <v>256</v>
      </c>
      <c r="CQ174" s="358">
        <v>269</v>
      </c>
      <c r="CR174" s="358">
        <v>274</v>
      </c>
      <c r="CS174" s="358">
        <v>163</v>
      </c>
      <c r="CT174" s="358">
        <v>168</v>
      </c>
      <c r="CU174" s="358">
        <v>174</v>
      </c>
      <c r="CV174" s="358">
        <v>180</v>
      </c>
      <c r="CW174" s="358">
        <v>186</v>
      </c>
      <c r="CX174" s="358">
        <v>191</v>
      </c>
      <c r="CY174" s="358">
        <v>198</v>
      </c>
      <c r="CZ174" s="358">
        <v>201</v>
      </c>
      <c r="DA174" s="358">
        <v>205</v>
      </c>
      <c r="DB174" s="358">
        <v>210</v>
      </c>
      <c r="DC174" s="358">
        <v>221</v>
      </c>
      <c r="DD174" s="358">
        <v>231</v>
      </c>
      <c r="DE174" s="358">
        <v>235</v>
      </c>
      <c r="DF174" s="358">
        <v>241</v>
      </c>
      <c r="DG174" s="358">
        <v>250</v>
      </c>
      <c r="DH174" s="358">
        <v>255</v>
      </c>
      <c r="DI174" s="358">
        <v>262</v>
      </c>
      <c r="DJ174" s="358">
        <v>271</v>
      </c>
      <c r="DK174" s="358">
        <v>278</v>
      </c>
      <c r="DL174" s="358">
        <v>286</v>
      </c>
      <c r="DM174" s="358">
        <v>298</v>
      </c>
      <c r="DN174" s="358">
        <v>301</v>
      </c>
      <c r="DO174" s="358">
        <v>312</v>
      </c>
      <c r="DP174" s="358">
        <v>321</v>
      </c>
      <c r="DQ174" s="358">
        <v>156</v>
      </c>
      <c r="DR174" s="358">
        <v>161</v>
      </c>
      <c r="DS174" s="358">
        <v>165</v>
      </c>
      <c r="DT174" s="358">
        <v>167</v>
      </c>
      <c r="DU174" s="358">
        <v>170</v>
      </c>
      <c r="DV174" s="358">
        <v>171</v>
      </c>
      <c r="DW174" s="358">
        <v>177</v>
      </c>
      <c r="DX174" s="358">
        <v>180</v>
      </c>
      <c r="DY174" s="358">
        <v>186</v>
      </c>
      <c r="DZ174" s="358">
        <v>191</v>
      </c>
      <c r="EA174" s="358">
        <v>195</v>
      </c>
      <c r="EB174" s="358">
        <v>199</v>
      </c>
      <c r="EC174" s="358">
        <v>204</v>
      </c>
      <c r="ED174" s="358">
        <v>210</v>
      </c>
      <c r="EE174" s="358">
        <v>216</v>
      </c>
      <c r="EF174" s="358">
        <v>219</v>
      </c>
      <c r="EG174" s="358">
        <v>223</v>
      </c>
      <c r="EH174" s="358">
        <v>228</v>
      </c>
      <c r="EI174" s="358">
        <v>233</v>
      </c>
      <c r="EJ174" s="358">
        <v>237</v>
      </c>
      <c r="EK174" s="358">
        <v>242</v>
      </c>
      <c r="EL174" s="358">
        <v>246</v>
      </c>
      <c r="EM174" s="358">
        <v>79</v>
      </c>
      <c r="EN174" s="358">
        <v>91</v>
      </c>
      <c r="EO174" s="358">
        <v>102</v>
      </c>
      <c r="EP174" s="358">
        <v>112</v>
      </c>
      <c r="EQ174" s="358">
        <v>119</v>
      </c>
      <c r="ES174" s="358">
        <v>131</v>
      </c>
      <c r="ET174" s="358">
        <v>136</v>
      </c>
      <c r="EU174" s="358">
        <v>145</v>
      </c>
      <c r="EV174" s="358">
        <v>151</v>
      </c>
      <c r="EW174" s="358">
        <v>75</v>
      </c>
      <c r="EX174" s="358">
        <v>86</v>
      </c>
      <c r="EY174" s="358">
        <v>97</v>
      </c>
      <c r="EZ174" s="358">
        <v>113</v>
      </c>
      <c r="FA174" s="358">
        <v>121</v>
      </c>
      <c r="FB174" s="358">
        <v>131</v>
      </c>
      <c r="FC174" s="358">
        <v>145</v>
      </c>
      <c r="FD174" s="358">
        <v>157</v>
      </c>
      <c r="FE174" s="358">
        <v>164</v>
      </c>
      <c r="FF174" s="358">
        <v>169</v>
      </c>
      <c r="FG174" s="358">
        <v>181</v>
      </c>
      <c r="FH174" s="358">
        <v>190</v>
      </c>
      <c r="FI174" s="358">
        <v>201</v>
      </c>
      <c r="FJ174" s="358">
        <v>207</v>
      </c>
      <c r="FK174" s="358">
        <v>212</v>
      </c>
      <c r="FL174" s="358">
        <v>36</v>
      </c>
      <c r="FM174" s="358">
        <v>26</v>
      </c>
      <c r="FN174" s="358">
        <v>20</v>
      </c>
      <c r="FO174" s="358">
        <v>13</v>
      </c>
      <c r="FQ174" s="358">
        <v>15</v>
      </c>
      <c r="FR174" s="358">
        <v>23</v>
      </c>
      <c r="FS174" s="358">
        <v>30</v>
      </c>
      <c r="FT174" s="358">
        <v>37</v>
      </c>
      <c r="FU174" s="358">
        <v>44</v>
      </c>
      <c r="FV174" s="358">
        <v>54</v>
      </c>
      <c r="FW174" s="358">
        <v>229</v>
      </c>
      <c r="FX174" s="358">
        <v>276</v>
      </c>
      <c r="FY174" s="358">
        <v>283</v>
      </c>
      <c r="FZ174" s="358">
        <v>311</v>
      </c>
      <c r="GA174" s="358">
        <v>380</v>
      </c>
      <c r="GB174" s="358">
        <v>192</v>
      </c>
      <c r="GC174" s="358">
        <v>268</v>
      </c>
      <c r="GD174" s="358">
        <v>304</v>
      </c>
      <c r="GE174" s="358">
        <v>333</v>
      </c>
      <c r="GF174" s="358">
        <v>325</v>
      </c>
      <c r="GG174" s="358">
        <v>249</v>
      </c>
      <c r="GH174" s="358">
        <v>261</v>
      </c>
      <c r="GI174" s="361">
        <v>287</v>
      </c>
    </row>
    <row r="175" spans="1:191">
      <c r="A175" s="336" t="s">
        <v>324</v>
      </c>
      <c r="B175" s="358">
        <v>172</v>
      </c>
      <c r="C175" s="358">
        <v>176</v>
      </c>
      <c r="D175" s="358">
        <v>178</v>
      </c>
      <c r="E175" s="358">
        <v>179</v>
      </c>
      <c r="F175" s="358">
        <v>182</v>
      </c>
      <c r="G175" s="358">
        <v>185</v>
      </c>
      <c r="H175" s="358">
        <v>188</v>
      </c>
      <c r="I175" s="358">
        <v>190</v>
      </c>
      <c r="J175" s="358">
        <v>193</v>
      </c>
      <c r="K175" s="358">
        <v>197</v>
      </c>
      <c r="L175" s="358">
        <v>199</v>
      </c>
      <c r="M175" s="358">
        <v>202</v>
      </c>
      <c r="N175" s="358">
        <v>204</v>
      </c>
      <c r="O175" s="358">
        <v>209</v>
      </c>
      <c r="P175" s="358">
        <v>215</v>
      </c>
      <c r="Q175" s="358">
        <v>217</v>
      </c>
      <c r="R175" s="358">
        <v>220</v>
      </c>
      <c r="S175" s="358">
        <v>222</v>
      </c>
      <c r="T175" s="358">
        <v>225</v>
      </c>
      <c r="U175" s="358">
        <v>228</v>
      </c>
      <c r="V175" s="358">
        <v>170</v>
      </c>
      <c r="W175" s="358">
        <v>168</v>
      </c>
      <c r="X175" s="358">
        <v>166</v>
      </c>
      <c r="Y175" s="358">
        <v>164</v>
      </c>
      <c r="Z175" s="358">
        <v>162</v>
      </c>
      <c r="AA175" s="358">
        <v>161</v>
      </c>
      <c r="AB175" s="358">
        <v>159</v>
      </c>
      <c r="AC175" s="358">
        <v>156</v>
      </c>
      <c r="AD175" s="358">
        <v>154</v>
      </c>
      <c r="AE175" s="358">
        <v>149</v>
      </c>
      <c r="AF175" s="358">
        <v>144</v>
      </c>
      <c r="AG175" s="358">
        <v>139</v>
      </c>
      <c r="AH175" s="358">
        <v>138</v>
      </c>
      <c r="AI175" s="358">
        <v>137</v>
      </c>
      <c r="AJ175" s="358">
        <v>133</v>
      </c>
      <c r="AK175" s="358">
        <v>127</v>
      </c>
      <c r="AL175" s="358">
        <v>121</v>
      </c>
      <c r="AM175" s="358">
        <v>116</v>
      </c>
      <c r="AN175" s="358">
        <v>110</v>
      </c>
      <c r="AO175" s="358">
        <v>106</v>
      </c>
      <c r="AP175" s="358">
        <v>100</v>
      </c>
      <c r="AQ175" s="358">
        <v>94</v>
      </c>
      <c r="AR175" s="358">
        <v>90</v>
      </c>
      <c r="AS175" s="358">
        <v>78</v>
      </c>
      <c r="AT175" s="358">
        <v>70</v>
      </c>
      <c r="AU175" s="358">
        <v>60</v>
      </c>
      <c r="AV175" s="358">
        <v>69</v>
      </c>
      <c r="AW175" s="358">
        <v>77</v>
      </c>
      <c r="AX175" s="358">
        <v>175</v>
      </c>
      <c r="AY175" s="358">
        <v>179</v>
      </c>
      <c r="AZ175" s="358">
        <v>180</v>
      </c>
      <c r="BA175" s="358">
        <v>181</v>
      </c>
      <c r="BB175" s="358">
        <v>182</v>
      </c>
      <c r="BC175" s="358">
        <v>185</v>
      </c>
      <c r="BD175" s="358">
        <v>189</v>
      </c>
      <c r="BE175" s="358">
        <v>191</v>
      </c>
      <c r="BF175" s="358">
        <v>192</v>
      </c>
      <c r="BG175" s="358">
        <v>195</v>
      </c>
      <c r="BH175" s="358">
        <v>196</v>
      </c>
      <c r="BI175" s="358">
        <v>197</v>
      </c>
      <c r="BJ175" s="358">
        <v>199</v>
      </c>
      <c r="BK175" s="358">
        <v>200</v>
      </c>
      <c r="BL175" s="358">
        <v>201</v>
      </c>
      <c r="BM175" s="358">
        <v>203</v>
      </c>
      <c r="BN175" s="358">
        <v>204</v>
      </c>
      <c r="BO175" s="358">
        <v>207</v>
      </c>
      <c r="BP175" s="358">
        <v>212</v>
      </c>
      <c r="BQ175" s="358">
        <v>216</v>
      </c>
      <c r="BR175" s="358">
        <v>226</v>
      </c>
      <c r="BS175" s="358">
        <v>233</v>
      </c>
      <c r="BT175" s="358">
        <v>237</v>
      </c>
      <c r="BU175" s="358">
        <v>240</v>
      </c>
      <c r="BV175" s="358">
        <v>177</v>
      </c>
      <c r="BW175" s="358">
        <v>178</v>
      </c>
      <c r="BX175" s="358">
        <v>181</v>
      </c>
      <c r="BY175" s="358">
        <v>185</v>
      </c>
      <c r="BZ175" s="358">
        <v>190</v>
      </c>
      <c r="CA175" s="358">
        <v>194</v>
      </c>
      <c r="CB175" s="358">
        <v>201</v>
      </c>
      <c r="CC175" s="358">
        <v>206</v>
      </c>
      <c r="CD175" s="358">
        <v>209</v>
      </c>
      <c r="CE175" s="358">
        <v>213</v>
      </c>
      <c r="CF175" s="358">
        <v>215</v>
      </c>
      <c r="CG175" s="358">
        <v>222</v>
      </c>
      <c r="CH175" s="358">
        <v>224</v>
      </c>
      <c r="CI175" s="358">
        <v>228</v>
      </c>
      <c r="CJ175" s="358">
        <v>231</v>
      </c>
      <c r="CK175" s="358">
        <v>238</v>
      </c>
      <c r="CL175" s="358">
        <v>244</v>
      </c>
      <c r="CM175" s="358">
        <v>248</v>
      </c>
      <c r="CN175" s="358">
        <v>253</v>
      </c>
      <c r="CO175" s="358">
        <v>260</v>
      </c>
      <c r="CP175" s="358">
        <v>271</v>
      </c>
      <c r="CQ175" s="358">
        <v>284</v>
      </c>
      <c r="CR175" s="358">
        <v>289</v>
      </c>
      <c r="CS175" s="358">
        <v>178</v>
      </c>
      <c r="CT175" s="358">
        <v>183</v>
      </c>
      <c r="CU175" s="358">
        <v>189</v>
      </c>
      <c r="CV175" s="358">
        <v>195</v>
      </c>
      <c r="CW175" s="358">
        <v>201</v>
      </c>
      <c r="CX175" s="358">
        <v>206</v>
      </c>
      <c r="CY175" s="358">
        <v>213</v>
      </c>
      <c r="CZ175" s="358">
        <v>216</v>
      </c>
      <c r="DA175" s="358">
        <v>220</v>
      </c>
      <c r="DB175" s="358">
        <v>225</v>
      </c>
      <c r="DC175" s="358">
        <v>236</v>
      </c>
      <c r="DD175" s="358">
        <v>246</v>
      </c>
      <c r="DE175" s="358">
        <v>250</v>
      </c>
      <c r="DF175" s="358">
        <v>256</v>
      </c>
      <c r="DG175" s="358">
        <v>265</v>
      </c>
      <c r="DH175" s="358">
        <v>270</v>
      </c>
      <c r="DI175" s="358">
        <v>277</v>
      </c>
      <c r="DJ175" s="358">
        <v>286</v>
      </c>
      <c r="DK175" s="358">
        <v>293</v>
      </c>
      <c r="DL175" s="358">
        <v>301</v>
      </c>
      <c r="DM175" s="358">
        <v>313</v>
      </c>
      <c r="DN175" s="358">
        <v>316</v>
      </c>
      <c r="DO175" s="358">
        <v>327</v>
      </c>
      <c r="DP175" s="358">
        <v>336</v>
      </c>
      <c r="DQ175" s="358">
        <v>171</v>
      </c>
      <c r="DR175" s="358">
        <v>176</v>
      </c>
      <c r="DS175" s="358">
        <v>180</v>
      </c>
      <c r="DT175" s="358">
        <v>182</v>
      </c>
      <c r="DU175" s="358">
        <v>185</v>
      </c>
      <c r="DV175" s="358">
        <v>186</v>
      </c>
      <c r="DW175" s="358">
        <v>192</v>
      </c>
      <c r="DX175" s="358">
        <v>195</v>
      </c>
      <c r="DY175" s="358">
        <v>201</v>
      </c>
      <c r="DZ175" s="358">
        <v>206</v>
      </c>
      <c r="EA175" s="358">
        <v>210</v>
      </c>
      <c r="EB175" s="358">
        <v>214</v>
      </c>
      <c r="EC175" s="358">
        <v>219</v>
      </c>
      <c r="ED175" s="358">
        <v>225</v>
      </c>
      <c r="EE175" s="358">
        <v>231</v>
      </c>
      <c r="EF175" s="358">
        <v>234</v>
      </c>
      <c r="EG175" s="358">
        <v>238</v>
      </c>
      <c r="EH175" s="358">
        <v>243</v>
      </c>
      <c r="EI175" s="358">
        <v>248</v>
      </c>
      <c r="EJ175" s="358">
        <v>252</v>
      </c>
      <c r="EK175" s="358">
        <v>257</v>
      </c>
      <c r="EL175" s="358">
        <v>261</v>
      </c>
      <c r="EM175" s="358">
        <v>94</v>
      </c>
      <c r="EN175" s="358">
        <v>106</v>
      </c>
      <c r="EO175" s="358">
        <v>117</v>
      </c>
      <c r="EP175" s="358">
        <v>127</v>
      </c>
      <c r="EQ175" s="358">
        <v>134</v>
      </c>
      <c r="ES175" s="358">
        <v>146</v>
      </c>
      <c r="ET175" s="358">
        <v>151</v>
      </c>
      <c r="EU175" s="358">
        <v>160</v>
      </c>
      <c r="EV175" s="358">
        <v>166</v>
      </c>
      <c r="EW175" s="358">
        <v>90</v>
      </c>
      <c r="EX175" s="358">
        <v>101</v>
      </c>
      <c r="EY175" s="358">
        <v>112</v>
      </c>
      <c r="EZ175" s="358">
        <v>128</v>
      </c>
      <c r="FA175" s="358">
        <v>136</v>
      </c>
      <c r="FB175" s="358">
        <v>146</v>
      </c>
      <c r="FC175" s="358">
        <v>160</v>
      </c>
      <c r="FD175" s="358">
        <v>172</v>
      </c>
      <c r="FE175" s="358">
        <v>179</v>
      </c>
      <c r="FF175" s="358">
        <v>184</v>
      </c>
      <c r="FG175" s="358">
        <v>196</v>
      </c>
      <c r="FH175" s="358">
        <v>205</v>
      </c>
      <c r="FI175" s="358">
        <v>216</v>
      </c>
      <c r="FJ175" s="358">
        <v>222</v>
      </c>
      <c r="FK175" s="358">
        <v>227</v>
      </c>
      <c r="FL175" s="358">
        <v>51</v>
      </c>
      <c r="FM175" s="358">
        <v>41</v>
      </c>
      <c r="FN175" s="358">
        <v>35</v>
      </c>
      <c r="FO175" s="358">
        <v>28</v>
      </c>
      <c r="FP175" s="358">
        <v>15</v>
      </c>
      <c r="FR175" s="358">
        <v>8</v>
      </c>
      <c r="FS175" s="358">
        <v>15</v>
      </c>
      <c r="FT175" s="358">
        <v>22</v>
      </c>
      <c r="FU175" s="358">
        <v>29</v>
      </c>
      <c r="FV175" s="358">
        <v>39</v>
      </c>
      <c r="FW175" s="358">
        <v>244</v>
      </c>
      <c r="FX175" s="358">
        <v>291</v>
      </c>
      <c r="FY175" s="358">
        <v>298</v>
      </c>
      <c r="FZ175" s="358">
        <v>326</v>
      </c>
      <c r="GA175" s="358">
        <v>395</v>
      </c>
      <c r="GB175" s="358">
        <v>207</v>
      </c>
      <c r="GC175" s="358">
        <v>283</v>
      </c>
      <c r="GD175" s="358">
        <v>319</v>
      </c>
      <c r="GE175" s="358">
        <v>348</v>
      </c>
      <c r="GF175" s="358">
        <v>340</v>
      </c>
      <c r="GG175" s="358">
        <v>264</v>
      </c>
      <c r="GH175" s="358">
        <v>276</v>
      </c>
      <c r="GI175" s="361">
        <v>302</v>
      </c>
    </row>
    <row r="176" spans="1:191">
      <c r="A176" s="336" t="s">
        <v>323</v>
      </c>
      <c r="B176" s="358">
        <v>180</v>
      </c>
      <c r="C176" s="358">
        <v>184</v>
      </c>
      <c r="D176" s="358">
        <v>186</v>
      </c>
      <c r="E176" s="358">
        <v>187</v>
      </c>
      <c r="F176" s="358">
        <v>190</v>
      </c>
      <c r="G176" s="358">
        <v>193</v>
      </c>
      <c r="H176" s="358">
        <v>196</v>
      </c>
      <c r="I176" s="358">
        <v>198</v>
      </c>
      <c r="J176" s="358">
        <v>201</v>
      </c>
      <c r="K176" s="358">
        <v>205</v>
      </c>
      <c r="L176" s="358">
        <v>207</v>
      </c>
      <c r="M176" s="358">
        <v>210</v>
      </c>
      <c r="N176" s="358">
        <v>212</v>
      </c>
      <c r="O176" s="358">
        <v>217</v>
      </c>
      <c r="P176" s="358">
        <v>223</v>
      </c>
      <c r="Q176" s="358">
        <v>225</v>
      </c>
      <c r="R176" s="358">
        <v>228</v>
      </c>
      <c r="S176" s="358">
        <v>230</v>
      </c>
      <c r="T176" s="358">
        <v>233</v>
      </c>
      <c r="U176" s="358">
        <v>236</v>
      </c>
      <c r="V176" s="358">
        <v>178</v>
      </c>
      <c r="W176" s="358">
        <v>176</v>
      </c>
      <c r="X176" s="358">
        <v>174</v>
      </c>
      <c r="Y176" s="358">
        <v>172</v>
      </c>
      <c r="Z176" s="358">
        <v>170</v>
      </c>
      <c r="AA176" s="358">
        <v>169</v>
      </c>
      <c r="AB176" s="358">
        <v>167</v>
      </c>
      <c r="AC176" s="358">
        <v>164</v>
      </c>
      <c r="AD176" s="358">
        <v>162</v>
      </c>
      <c r="AE176" s="358">
        <v>157</v>
      </c>
      <c r="AF176" s="358">
        <v>152</v>
      </c>
      <c r="AG176" s="358">
        <v>147</v>
      </c>
      <c r="AH176" s="358">
        <v>146</v>
      </c>
      <c r="AI176" s="358">
        <v>145</v>
      </c>
      <c r="AJ176" s="358">
        <v>141</v>
      </c>
      <c r="AK176" s="358">
        <v>135</v>
      </c>
      <c r="AL176" s="358">
        <v>129</v>
      </c>
      <c r="AM176" s="358">
        <v>124</v>
      </c>
      <c r="AN176" s="358">
        <v>118</v>
      </c>
      <c r="AO176" s="358">
        <v>114</v>
      </c>
      <c r="AP176" s="358">
        <v>108</v>
      </c>
      <c r="AQ176" s="358">
        <v>102</v>
      </c>
      <c r="AR176" s="358">
        <v>98</v>
      </c>
      <c r="AS176" s="358">
        <v>86</v>
      </c>
      <c r="AT176" s="358">
        <v>78</v>
      </c>
      <c r="AU176" s="358">
        <v>68</v>
      </c>
      <c r="AV176" s="358">
        <v>77</v>
      </c>
      <c r="AW176" s="358">
        <v>85</v>
      </c>
      <c r="AX176" s="358">
        <v>183</v>
      </c>
      <c r="AY176" s="358">
        <v>187</v>
      </c>
      <c r="AZ176" s="358">
        <v>188</v>
      </c>
      <c r="BA176" s="358">
        <v>189</v>
      </c>
      <c r="BB176" s="358">
        <v>190</v>
      </c>
      <c r="BC176" s="358">
        <v>193</v>
      </c>
      <c r="BD176" s="358">
        <v>197</v>
      </c>
      <c r="BE176" s="358">
        <v>199</v>
      </c>
      <c r="BF176" s="358">
        <v>200</v>
      </c>
      <c r="BG176" s="358">
        <v>203</v>
      </c>
      <c r="BH176" s="358">
        <v>204</v>
      </c>
      <c r="BI176" s="358">
        <v>205</v>
      </c>
      <c r="BJ176" s="358">
        <v>207</v>
      </c>
      <c r="BK176" s="358">
        <v>208</v>
      </c>
      <c r="BL176" s="358">
        <v>209</v>
      </c>
      <c r="BM176" s="358">
        <v>211</v>
      </c>
      <c r="BN176" s="358">
        <v>212</v>
      </c>
      <c r="BO176" s="358">
        <v>215</v>
      </c>
      <c r="BP176" s="358">
        <v>220</v>
      </c>
      <c r="BQ176" s="358">
        <v>224</v>
      </c>
      <c r="BR176" s="358">
        <v>234</v>
      </c>
      <c r="BS176" s="358">
        <v>241</v>
      </c>
      <c r="BT176" s="358">
        <v>245</v>
      </c>
      <c r="BU176" s="358">
        <v>248</v>
      </c>
      <c r="BV176" s="358">
        <v>185</v>
      </c>
      <c r="BW176" s="358">
        <v>186</v>
      </c>
      <c r="BX176" s="358">
        <v>189</v>
      </c>
      <c r="BY176" s="358">
        <v>193</v>
      </c>
      <c r="BZ176" s="358">
        <v>198</v>
      </c>
      <c r="CA176" s="358">
        <v>202</v>
      </c>
      <c r="CB176" s="358">
        <v>209</v>
      </c>
      <c r="CC176" s="358">
        <v>214</v>
      </c>
      <c r="CD176" s="358">
        <v>217</v>
      </c>
      <c r="CE176" s="358">
        <v>221</v>
      </c>
      <c r="CF176" s="358">
        <v>223</v>
      </c>
      <c r="CG176" s="358">
        <v>230</v>
      </c>
      <c r="CH176" s="358">
        <v>232</v>
      </c>
      <c r="CI176" s="358">
        <v>236</v>
      </c>
      <c r="CJ176" s="358">
        <v>239</v>
      </c>
      <c r="CK176" s="358">
        <v>246</v>
      </c>
      <c r="CL176" s="358">
        <v>252</v>
      </c>
      <c r="CM176" s="358">
        <v>256</v>
      </c>
      <c r="CN176" s="358">
        <v>261</v>
      </c>
      <c r="CO176" s="358">
        <v>268</v>
      </c>
      <c r="CP176" s="358">
        <v>279</v>
      </c>
      <c r="CQ176" s="358">
        <v>292</v>
      </c>
      <c r="CR176" s="358">
        <v>297</v>
      </c>
      <c r="CS176" s="358">
        <v>186</v>
      </c>
      <c r="CT176" s="358">
        <v>191</v>
      </c>
      <c r="CU176" s="358">
        <v>197</v>
      </c>
      <c r="CV176" s="358">
        <v>203</v>
      </c>
      <c r="CW176" s="358">
        <v>209</v>
      </c>
      <c r="CX176" s="358">
        <v>214</v>
      </c>
      <c r="CY176" s="358">
        <v>221</v>
      </c>
      <c r="CZ176" s="358">
        <v>224</v>
      </c>
      <c r="DA176" s="358">
        <v>228</v>
      </c>
      <c r="DB176" s="358">
        <v>233</v>
      </c>
      <c r="DC176" s="358">
        <v>244</v>
      </c>
      <c r="DD176" s="358">
        <v>254</v>
      </c>
      <c r="DE176" s="358">
        <v>258</v>
      </c>
      <c r="DF176" s="358">
        <v>264</v>
      </c>
      <c r="DG176" s="358">
        <v>273</v>
      </c>
      <c r="DH176" s="358">
        <v>278</v>
      </c>
      <c r="DI176" s="358">
        <v>285</v>
      </c>
      <c r="DJ176" s="358">
        <v>294</v>
      </c>
      <c r="DK176" s="358">
        <v>301</v>
      </c>
      <c r="DL176" s="358">
        <v>309</v>
      </c>
      <c r="DM176" s="358">
        <v>321</v>
      </c>
      <c r="DN176" s="358">
        <v>324</v>
      </c>
      <c r="DO176" s="358">
        <v>335</v>
      </c>
      <c r="DP176" s="358">
        <v>344</v>
      </c>
      <c r="DQ176" s="358">
        <v>179</v>
      </c>
      <c r="DR176" s="358">
        <v>184</v>
      </c>
      <c r="DS176" s="358">
        <v>188</v>
      </c>
      <c r="DT176" s="358">
        <v>190</v>
      </c>
      <c r="DU176" s="358">
        <v>193</v>
      </c>
      <c r="DV176" s="358">
        <v>194</v>
      </c>
      <c r="DW176" s="358">
        <v>200</v>
      </c>
      <c r="DX176" s="358">
        <v>203</v>
      </c>
      <c r="DY176" s="358">
        <v>209</v>
      </c>
      <c r="DZ176" s="358">
        <v>214</v>
      </c>
      <c r="EA176" s="358">
        <v>218</v>
      </c>
      <c r="EB176" s="358">
        <v>222</v>
      </c>
      <c r="EC176" s="358">
        <v>227</v>
      </c>
      <c r="ED176" s="358">
        <v>233</v>
      </c>
      <c r="EE176" s="358">
        <v>239</v>
      </c>
      <c r="EF176" s="358">
        <v>242</v>
      </c>
      <c r="EG176" s="358">
        <v>246</v>
      </c>
      <c r="EH176" s="358">
        <v>251</v>
      </c>
      <c r="EI176" s="358">
        <v>256</v>
      </c>
      <c r="EJ176" s="358">
        <v>260</v>
      </c>
      <c r="EK176" s="358">
        <v>265</v>
      </c>
      <c r="EL176" s="358">
        <v>269</v>
      </c>
      <c r="EM176" s="358">
        <v>102</v>
      </c>
      <c r="EN176" s="358">
        <v>114</v>
      </c>
      <c r="EO176" s="358">
        <v>125</v>
      </c>
      <c r="EP176" s="358">
        <v>135</v>
      </c>
      <c r="EQ176" s="358">
        <v>142</v>
      </c>
      <c r="ES176" s="358">
        <v>154</v>
      </c>
      <c r="ET176" s="358">
        <v>159</v>
      </c>
      <c r="EU176" s="358">
        <v>168</v>
      </c>
      <c r="EV176" s="358">
        <v>174</v>
      </c>
      <c r="EW176" s="358">
        <v>98</v>
      </c>
      <c r="EX176" s="358">
        <v>109</v>
      </c>
      <c r="EY176" s="358">
        <v>120</v>
      </c>
      <c r="EZ176" s="358">
        <v>136</v>
      </c>
      <c r="FA176" s="358">
        <v>144</v>
      </c>
      <c r="FB176" s="358">
        <v>154</v>
      </c>
      <c r="FC176" s="358">
        <v>168</v>
      </c>
      <c r="FD176" s="358">
        <v>180</v>
      </c>
      <c r="FE176" s="358">
        <v>187</v>
      </c>
      <c r="FF176" s="358">
        <v>192</v>
      </c>
      <c r="FG176" s="358">
        <v>204</v>
      </c>
      <c r="FH176" s="358">
        <v>213</v>
      </c>
      <c r="FI176" s="358">
        <v>224</v>
      </c>
      <c r="FJ176" s="358">
        <v>230</v>
      </c>
      <c r="FK176" s="358">
        <v>235</v>
      </c>
      <c r="FL176" s="358">
        <v>59</v>
      </c>
      <c r="FM176" s="358">
        <v>49</v>
      </c>
      <c r="FN176" s="358">
        <v>43</v>
      </c>
      <c r="FO176" s="358">
        <v>36</v>
      </c>
      <c r="FP176" s="358">
        <v>23</v>
      </c>
      <c r="FQ176" s="358">
        <v>8</v>
      </c>
      <c r="FS176" s="358">
        <v>7</v>
      </c>
      <c r="FT176" s="358">
        <v>14</v>
      </c>
      <c r="FU176" s="358">
        <v>21</v>
      </c>
      <c r="FV176" s="358">
        <v>31</v>
      </c>
      <c r="FW176" s="358">
        <v>252</v>
      </c>
      <c r="FX176" s="358">
        <v>299</v>
      </c>
      <c r="FY176" s="358">
        <v>306</v>
      </c>
      <c r="FZ176" s="358">
        <v>334</v>
      </c>
      <c r="GA176" s="358">
        <v>403</v>
      </c>
      <c r="GB176" s="358">
        <v>215</v>
      </c>
      <c r="GC176" s="358">
        <v>291</v>
      </c>
      <c r="GD176" s="358">
        <v>327</v>
      </c>
      <c r="GE176" s="358">
        <v>356</v>
      </c>
      <c r="GF176" s="358">
        <v>348</v>
      </c>
      <c r="GG176" s="358">
        <v>272</v>
      </c>
      <c r="GH176" s="358">
        <v>284</v>
      </c>
      <c r="GI176" s="361">
        <v>310</v>
      </c>
    </row>
    <row r="177" spans="1:191">
      <c r="A177" s="336" t="s">
        <v>322</v>
      </c>
      <c r="B177" s="358">
        <v>187</v>
      </c>
      <c r="C177" s="358">
        <v>191</v>
      </c>
      <c r="D177" s="358">
        <v>193</v>
      </c>
      <c r="E177" s="358">
        <v>194</v>
      </c>
      <c r="F177" s="358">
        <v>197</v>
      </c>
      <c r="G177" s="358">
        <v>200</v>
      </c>
      <c r="H177" s="358">
        <v>203</v>
      </c>
      <c r="I177" s="358">
        <v>205</v>
      </c>
      <c r="J177" s="358">
        <v>208</v>
      </c>
      <c r="K177" s="358">
        <v>212</v>
      </c>
      <c r="L177" s="358">
        <v>214</v>
      </c>
      <c r="M177" s="358">
        <v>217</v>
      </c>
      <c r="N177" s="358">
        <v>219</v>
      </c>
      <c r="O177" s="358">
        <v>224</v>
      </c>
      <c r="P177" s="358">
        <v>230</v>
      </c>
      <c r="Q177" s="358">
        <v>232</v>
      </c>
      <c r="R177" s="358">
        <v>235</v>
      </c>
      <c r="S177" s="358">
        <v>237</v>
      </c>
      <c r="T177" s="358">
        <v>240</v>
      </c>
      <c r="U177" s="358">
        <v>243</v>
      </c>
      <c r="V177" s="358">
        <v>185</v>
      </c>
      <c r="W177" s="358">
        <v>183</v>
      </c>
      <c r="X177" s="358">
        <v>181</v>
      </c>
      <c r="Y177" s="358">
        <v>179</v>
      </c>
      <c r="Z177" s="358">
        <v>177</v>
      </c>
      <c r="AA177" s="358">
        <v>176</v>
      </c>
      <c r="AB177" s="358">
        <v>174</v>
      </c>
      <c r="AC177" s="358">
        <v>171</v>
      </c>
      <c r="AD177" s="358">
        <v>169</v>
      </c>
      <c r="AE177" s="358">
        <v>164</v>
      </c>
      <c r="AF177" s="358">
        <v>159</v>
      </c>
      <c r="AG177" s="358">
        <v>154</v>
      </c>
      <c r="AH177" s="358">
        <v>153</v>
      </c>
      <c r="AI177" s="358">
        <v>152</v>
      </c>
      <c r="AJ177" s="358">
        <v>148</v>
      </c>
      <c r="AK177" s="358">
        <v>142</v>
      </c>
      <c r="AL177" s="358">
        <v>136</v>
      </c>
      <c r="AM177" s="358">
        <v>131</v>
      </c>
      <c r="AN177" s="358">
        <v>125</v>
      </c>
      <c r="AO177" s="358">
        <v>121</v>
      </c>
      <c r="AP177" s="358">
        <v>115</v>
      </c>
      <c r="AQ177" s="358">
        <v>109</v>
      </c>
      <c r="AR177" s="358">
        <v>105</v>
      </c>
      <c r="AS177" s="358">
        <v>93</v>
      </c>
      <c r="AT177" s="358">
        <v>85</v>
      </c>
      <c r="AU177" s="358">
        <v>75</v>
      </c>
      <c r="AV177" s="358">
        <v>84</v>
      </c>
      <c r="AW177" s="358">
        <v>92</v>
      </c>
      <c r="AX177" s="358">
        <v>190</v>
      </c>
      <c r="AY177" s="358">
        <v>194</v>
      </c>
      <c r="AZ177" s="358">
        <v>195</v>
      </c>
      <c r="BA177" s="358">
        <v>196</v>
      </c>
      <c r="BB177" s="358">
        <v>197</v>
      </c>
      <c r="BC177" s="358">
        <v>200</v>
      </c>
      <c r="BD177" s="358">
        <v>204</v>
      </c>
      <c r="BE177" s="358">
        <v>206</v>
      </c>
      <c r="BF177" s="358">
        <v>207</v>
      </c>
      <c r="BG177" s="358">
        <v>210</v>
      </c>
      <c r="BH177" s="358">
        <v>211</v>
      </c>
      <c r="BI177" s="358">
        <v>212</v>
      </c>
      <c r="BJ177" s="358">
        <v>214</v>
      </c>
      <c r="BK177" s="358">
        <v>215</v>
      </c>
      <c r="BL177" s="358">
        <v>216</v>
      </c>
      <c r="BM177" s="358">
        <v>218</v>
      </c>
      <c r="BN177" s="358">
        <v>219</v>
      </c>
      <c r="BO177" s="358">
        <v>222</v>
      </c>
      <c r="BP177" s="358">
        <v>227</v>
      </c>
      <c r="BQ177" s="358">
        <v>231</v>
      </c>
      <c r="BR177" s="358">
        <v>241</v>
      </c>
      <c r="BS177" s="358">
        <v>248</v>
      </c>
      <c r="BT177" s="358">
        <v>252</v>
      </c>
      <c r="BU177" s="358">
        <v>255</v>
      </c>
      <c r="BV177" s="358">
        <v>192</v>
      </c>
      <c r="BW177" s="358">
        <v>193</v>
      </c>
      <c r="BX177" s="358">
        <v>196</v>
      </c>
      <c r="BY177" s="358">
        <v>200</v>
      </c>
      <c r="BZ177" s="358">
        <v>205</v>
      </c>
      <c r="CA177" s="358">
        <v>209</v>
      </c>
      <c r="CB177" s="358">
        <v>216</v>
      </c>
      <c r="CC177" s="358">
        <v>221</v>
      </c>
      <c r="CD177" s="358">
        <v>224</v>
      </c>
      <c r="CE177" s="358">
        <v>228</v>
      </c>
      <c r="CF177" s="358">
        <v>230</v>
      </c>
      <c r="CG177" s="358">
        <v>237</v>
      </c>
      <c r="CH177" s="358">
        <v>239</v>
      </c>
      <c r="CI177" s="358">
        <v>243</v>
      </c>
      <c r="CJ177" s="358">
        <v>246</v>
      </c>
      <c r="CK177" s="358">
        <v>253</v>
      </c>
      <c r="CL177" s="358">
        <v>259</v>
      </c>
      <c r="CM177" s="358">
        <v>263</v>
      </c>
      <c r="CN177" s="358">
        <v>268</v>
      </c>
      <c r="CO177" s="358">
        <v>275</v>
      </c>
      <c r="CP177" s="358">
        <v>286</v>
      </c>
      <c r="CQ177" s="358">
        <v>299</v>
      </c>
      <c r="CR177" s="358">
        <v>304</v>
      </c>
      <c r="CS177" s="358">
        <v>193</v>
      </c>
      <c r="CT177" s="358">
        <v>198</v>
      </c>
      <c r="CU177" s="358">
        <v>204</v>
      </c>
      <c r="CV177" s="358">
        <v>210</v>
      </c>
      <c r="CW177" s="358">
        <v>216</v>
      </c>
      <c r="CX177" s="358">
        <v>221</v>
      </c>
      <c r="CY177" s="358">
        <v>228</v>
      </c>
      <c r="CZ177" s="358">
        <v>231</v>
      </c>
      <c r="DA177" s="358">
        <v>235</v>
      </c>
      <c r="DB177" s="358">
        <v>240</v>
      </c>
      <c r="DC177" s="358">
        <v>251</v>
      </c>
      <c r="DD177" s="358">
        <v>261</v>
      </c>
      <c r="DE177" s="358">
        <v>265</v>
      </c>
      <c r="DF177" s="358">
        <v>271</v>
      </c>
      <c r="DG177" s="358">
        <v>280</v>
      </c>
      <c r="DH177" s="358">
        <v>285</v>
      </c>
      <c r="DI177" s="358">
        <v>292</v>
      </c>
      <c r="DJ177" s="358">
        <v>301</v>
      </c>
      <c r="DK177" s="358">
        <v>308</v>
      </c>
      <c r="DL177" s="358">
        <v>316</v>
      </c>
      <c r="DM177" s="358">
        <v>328</v>
      </c>
      <c r="DN177" s="358">
        <v>331</v>
      </c>
      <c r="DO177" s="358">
        <v>342</v>
      </c>
      <c r="DP177" s="358">
        <v>351</v>
      </c>
      <c r="DQ177" s="358">
        <v>186</v>
      </c>
      <c r="DR177" s="358">
        <v>191</v>
      </c>
      <c r="DS177" s="358">
        <v>195</v>
      </c>
      <c r="DT177" s="358">
        <v>197</v>
      </c>
      <c r="DU177" s="358">
        <v>200</v>
      </c>
      <c r="DV177" s="358">
        <v>201</v>
      </c>
      <c r="DW177" s="358">
        <v>207</v>
      </c>
      <c r="DX177" s="358">
        <v>210</v>
      </c>
      <c r="DY177" s="358">
        <v>216</v>
      </c>
      <c r="DZ177" s="358">
        <v>221</v>
      </c>
      <c r="EA177" s="358">
        <v>225</v>
      </c>
      <c r="EB177" s="358">
        <v>229</v>
      </c>
      <c r="EC177" s="358">
        <v>234</v>
      </c>
      <c r="ED177" s="358">
        <v>240</v>
      </c>
      <c r="EE177" s="358">
        <v>246</v>
      </c>
      <c r="EF177" s="358">
        <v>249</v>
      </c>
      <c r="EG177" s="358">
        <v>253</v>
      </c>
      <c r="EH177" s="358">
        <v>258</v>
      </c>
      <c r="EI177" s="358">
        <v>263</v>
      </c>
      <c r="EJ177" s="358">
        <v>267</v>
      </c>
      <c r="EK177" s="358">
        <v>272</v>
      </c>
      <c r="EL177" s="358">
        <v>276</v>
      </c>
      <c r="EM177" s="358">
        <v>109</v>
      </c>
      <c r="EN177" s="358">
        <v>121</v>
      </c>
      <c r="EO177" s="358">
        <v>132</v>
      </c>
      <c r="EP177" s="358">
        <v>142</v>
      </c>
      <c r="EQ177" s="358">
        <v>149</v>
      </c>
      <c r="ES177" s="358">
        <v>161</v>
      </c>
      <c r="ET177" s="358">
        <v>166</v>
      </c>
      <c r="EU177" s="358">
        <v>175</v>
      </c>
      <c r="EV177" s="358">
        <v>181</v>
      </c>
      <c r="EW177" s="358">
        <v>105</v>
      </c>
      <c r="EX177" s="358">
        <v>116</v>
      </c>
      <c r="EY177" s="358">
        <v>127</v>
      </c>
      <c r="EZ177" s="358">
        <v>143</v>
      </c>
      <c r="FA177" s="358">
        <v>151</v>
      </c>
      <c r="FB177" s="358">
        <v>161</v>
      </c>
      <c r="FC177" s="358">
        <v>175</v>
      </c>
      <c r="FD177" s="358">
        <v>187</v>
      </c>
      <c r="FE177" s="358">
        <v>194</v>
      </c>
      <c r="FF177" s="358">
        <v>199</v>
      </c>
      <c r="FG177" s="358">
        <v>211</v>
      </c>
      <c r="FH177" s="358">
        <v>220</v>
      </c>
      <c r="FI177" s="358">
        <v>231</v>
      </c>
      <c r="FJ177" s="358">
        <v>237</v>
      </c>
      <c r="FK177" s="358">
        <v>242</v>
      </c>
      <c r="FL177" s="358">
        <v>66</v>
      </c>
      <c r="FM177" s="358">
        <v>56</v>
      </c>
      <c r="FN177" s="358">
        <v>50</v>
      </c>
      <c r="FO177" s="358">
        <v>43</v>
      </c>
      <c r="FP177" s="358">
        <v>30</v>
      </c>
      <c r="FQ177" s="358">
        <v>15</v>
      </c>
      <c r="FR177" s="358">
        <v>7</v>
      </c>
      <c r="FT177" s="358">
        <v>7</v>
      </c>
      <c r="FU177" s="358">
        <v>14</v>
      </c>
      <c r="FV177" s="358">
        <v>24</v>
      </c>
      <c r="FW177" s="358">
        <v>259</v>
      </c>
      <c r="FX177" s="358">
        <v>306</v>
      </c>
      <c r="FY177" s="358">
        <v>313</v>
      </c>
      <c r="FZ177" s="358">
        <v>341</v>
      </c>
      <c r="GA177" s="358">
        <v>410</v>
      </c>
      <c r="GB177" s="358">
        <v>222</v>
      </c>
      <c r="GC177" s="358">
        <v>298</v>
      </c>
      <c r="GD177" s="358">
        <v>334</v>
      </c>
      <c r="GE177" s="358">
        <v>363</v>
      </c>
      <c r="GF177" s="358">
        <v>355</v>
      </c>
      <c r="GG177" s="358">
        <v>279</v>
      </c>
      <c r="GH177" s="358">
        <v>291</v>
      </c>
      <c r="GI177" s="361">
        <v>317</v>
      </c>
    </row>
    <row r="178" spans="1:191">
      <c r="A178" s="336" t="s">
        <v>321</v>
      </c>
      <c r="B178" s="358">
        <v>194</v>
      </c>
      <c r="C178" s="358">
        <v>198</v>
      </c>
      <c r="D178" s="358">
        <v>200</v>
      </c>
      <c r="E178" s="358">
        <v>201</v>
      </c>
      <c r="F178" s="358">
        <v>204</v>
      </c>
      <c r="G178" s="358">
        <v>207</v>
      </c>
      <c r="H178" s="358">
        <v>210</v>
      </c>
      <c r="I178" s="358">
        <v>212</v>
      </c>
      <c r="J178" s="358">
        <v>215</v>
      </c>
      <c r="K178" s="358">
        <v>219</v>
      </c>
      <c r="L178" s="358">
        <v>221</v>
      </c>
      <c r="M178" s="358">
        <v>224</v>
      </c>
      <c r="N178" s="358">
        <v>226</v>
      </c>
      <c r="O178" s="358">
        <v>231</v>
      </c>
      <c r="P178" s="358">
        <v>237</v>
      </c>
      <c r="Q178" s="358">
        <v>239</v>
      </c>
      <c r="R178" s="358">
        <v>242</v>
      </c>
      <c r="S178" s="358">
        <v>244</v>
      </c>
      <c r="T178" s="358">
        <v>247</v>
      </c>
      <c r="U178" s="358">
        <v>250</v>
      </c>
      <c r="V178" s="358">
        <v>192</v>
      </c>
      <c r="W178" s="358">
        <v>190</v>
      </c>
      <c r="X178" s="358">
        <v>188</v>
      </c>
      <c r="Y178" s="358">
        <v>186</v>
      </c>
      <c r="Z178" s="358">
        <v>184</v>
      </c>
      <c r="AA178" s="358">
        <v>183</v>
      </c>
      <c r="AB178" s="358">
        <v>181</v>
      </c>
      <c r="AC178" s="358">
        <v>178</v>
      </c>
      <c r="AD178" s="358">
        <v>176</v>
      </c>
      <c r="AE178" s="358">
        <v>171</v>
      </c>
      <c r="AF178" s="358">
        <v>166</v>
      </c>
      <c r="AG178" s="358">
        <v>161</v>
      </c>
      <c r="AH178" s="358">
        <v>160</v>
      </c>
      <c r="AI178" s="358">
        <v>159</v>
      </c>
      <c r="AJ178" s="358">
        <v>155</v>
      </c>
      <c r="AK178" s="358">
        <v>149</v>
      </c>
      <c r="AL178" s="358">
        <v>143</v>
      </c>
      <c r="AM178" s="358">
        <v>138</v>
      </c>
      <c r="AN178" s="358">
        <v>132</v>
      </c>
      <c r="AO178" s="358">
        <v>128</v>
      </c>
      <c r="AP178" s="358">
        <v>122</v>
      </c>
      <c r="AQ178" s="358">
        <v>116</v>
      </c>
      <c r="AR178" s="358">
        <v>112</v>
      </c>
      <c r="AS178" s="358">
        <v>100</v>
      </c>
      <c r="AT178" s="358">
        <v>92</v>
      </c>
      <c r="AU178" s="358">
        <v>82</v>
      </c>
      <c r="AV178" s="358">
        <v>91</v>
      </c>
      <c r="AW178" s="358">
        <v>99</v>
      </c>
      <c r="AX178" s="358">
        <v>197</v>
      </c>
      <c r="AY178" s="358">
        <v>201</v>
      </c>
      <c r="AZ178" s="358">
        <v>202</v>
      </c>
      <c r="BA178" s="358">
        <v>203</v>
      </c>
      <c r="BB178" s="358">
        <v>204</v>
      </c>
      <c r="BC178" s="358">
        <v>207</v>
      </c>
      <c r="BD178" s="358">
        <v>211</v>
      </c>
      <c r="BE178" s="358">
        <v>213</v>
      </c>
      <c r="BF178" s="358">
        <v>214</v>
      </c>
      <c r="BG178" s="358">
        <v>217</v>
      </c>
      <c r="BH178" s="358">
        <v>218</v>
      </c>
      <c r="BI178" s="358">
        <v>219</v>
      </c>
      <c r="BJ178" s="358">
        <v>221</v>
      </c>
      <c r="BK178" s="358">
        <v>222</v>
      </c>
      <c r="BL178" s="358">
        <v>223</v>
      </c>
      <c r="BM178" s="358">
        <v>225</v>
      </c>
      <c r="BN178" s="358">
        <v>226</v>
      </c>
      <c r="BO178" s="358">
        <v>229</v>
      </c>
      <c r="BP178" s="358">
        <v>234</v>
      </c>
      <c r="BQ178" s="358">
        <v>238</v>
      </c>
      <c r="BR178" s="358">
        <v>248</v>
      </c>
      <c r="BS178" s="358">
        <v>255</v>
      </c>
      <c r="BT178" s="358">
        <v>259</v>
      </c>
      <c r="BU178" s="358">
        <v>262</v>
      </c>
      <c r="BV178" s="358">
        <v>199</v>
      </c>
      <c r="BW178" s="358">
        <v>200</v>
      </c>
      <c r="BX178" s="358">
        <v>203</v>
      </c>
      <c r="BY178" s="358">
        <v>207</v>
      </c>
      <c r="BZ178" s="358">
        <v>212</v>
      </c>
      <c r="CA178" s="358">
        <v>216</v>
      </c>
      <c r="CB178" s="358">
        <v>223</v>
      </c>
      <c r="CC178" s="358">
        <v>228</v>
      </c>
      <c r="CD178" s="358">
        <v>231</v>
      </c>
      <c r="CE178" s="358">
        <v>235</v>
      </c>
      <c r="CF178" s="358">
        <v>237</v>
      </c>
      <c r="CG178" s="358">
        <v>244</v>
      </c>
      <c r="CH178" s="358">
        <v>246</v>
      </c>
      <c r="CI178" s="358">
        <v>250</v>
      </c>
      <c r="CJ178" s="358">
        <v>253</v>
      </c>
      <c r="CK178" s="358">
        <v>260</v>
      </c>
      <c r="CL178" s="358">
        <v>266</v>
      </c>
      <c r="CM178" s="358">
        <v>270</v>
      </c>
      <c r="CN178" s="358">
        <v>275</v>
      </c>
      <c r="CO178" s="358">
        <v>282</v>
      </c>
      <c r="CP178" s="358">
        <v>293</v>
      </c>
      <c r="CQ178" s="358">
        <v>306</v>
      </c>
      <c r="CR178" s="358">
        <v>311</v>
      </c>
      <c r="CS178" s="358">
        <v>200</v>
      </c>
      <c r="CT178" s="358">
        <v>205</v>
      </c>
      <c r="CU178" s="358">
        <v>211</v>
      </c>
      <c r="CV178" s="358">
        <v>217</v>
      </c>
      <c r="CW178" s="358">
        <v>223</v>
      </c>
      <c r="CX178" s="358">
        <v>228</v>
      </c>
      <c r="CY178" s="358">
        <v>235</v>
      </c>
      <c r="CZ178" s="358">
        <v>238</v>
      </c>
      <c r="DA178" s="358">
        <v>242</v>
      </c>
      <c r="DB178" s="358">
        <v>247</v>
      </c>
      <c r="DC178" s="358">
        <v>258</v>
      </c>
      <c r="DD178" s="358">
        <v>268</v>
      </c>
      <c r="DE178" s="358">
        <v>272</v>
      </c>
      <c r="DF178" s="358">
        <v>278</v>
      </c>
      <c r="DG178" s="358">
        <v>287</v>
      </c>
      <c r="DH178" s="358">
        <v>292</v>
      </c>
      <c r="DI178" s="358">
        <v>299</v>
      </c>
      <c r="DJ178" s="358">
        <v>308</v>
      </c>
      <c r="DK178" s="358">
        <v>315</v>
      </c>
      <c r="DL178" s="358">
        <v>323</v>
      </c>
      <c r="DM178" s="358">
        <v>335</v>
      </c>
      <c r="DN178" s="358">
        <v>338</v>
      </c>
      <c r="DO178" s="358">
        <v>349</v>
      </c>
      <c r="DP178" s="358">
        <v>358</v>
      </c>
      <c r="DQ178" s="358">
        <v>193</v>
      </c>
      <c r="DR178" s="358">
        <v>198</v>
      </c>
      <c r="DS178" s="358">
        <v>202</v>
      </c>
      <c r="DT178" s="358">
        <v>204</v>
      </c>
      <c r="DU178" s="358">
        <v>207</v>
      </c>
      <c r="DV178" s="358">
        <v>208</v>
      </c>
      <c r="DW178" s="358">
        <v>214</v>
      </c>
      <c r="DX178" s="358">
        <v>217</v>
      </c>
      <c r="DY178" s="358">
        <v>223</v>
      </c>
      <c r="DZ178" s="358">
        <v>228</v>
      </c>
      <c r="EA178" s="358">
        <v>232</v>
      </c>
      <c r="EB178" s="358">
        <v>236</v>
      </c>
      <c r="EC178" s="358">
        <v>241</v>
      </c>
      <c r="ED178" s="358">
        <v>247</v>
      </c>
      <c r="EE178" s="358">
        <v>253</v>
      </c>
      <c r="EF178" s="358">
        <v>256</v>
      </c>
      <c r="EG178" s="358">
        <v>260</v>
      </c>
      <c r="EH178" s="358">
        <v>265</v>
      </c>
      <c r="EI178" s="358">
        <v>270</v>
      </c>
      <c r="EJ178" s="358">
        <v>274</v>
      </c>
      <c r="EK178" s="358">
        <v>279</v>
      </c>
      <c r="EL178" s="358">
        <v>283</v>
      </c>
      <c r="EM178" s="358">
        <v>116</v>
      </c>
      <c r="EN178" s="358">
        <v>128</v>
      </c>
      <c r="EO178" s="358">
        <v>139</v>
      </c>
      <c r="EP178" s="358">
        <v>149</v>
      </c>
      <c r="EQ178" s="358">
        <v>156</v>
      </c>
      <c r="ES178" s="358">
        <v>168</v>
      </c>
      <c r="ET178" s="358">
        <v>173</v>
      </c>
      <c r="EU178" s="358">
        <v>182</v>
      </c>
      <c r="EV178" s="358">
        <v>188</v>
      </c>
      <c r="EW178" s="358">
        <v>112</v>
      </c>
      <c r="EX178" s="358">
        <v>123</v>
      </c>
      <c r="EY178" s="358">
        <v>134</v>
      </c>
      <c r="EZ178" s="358">
        <v>150</v>
      </c>
      <c r="FA178" s="358">
        <v>158</v>
      </c>
      <c r="FB178" s="358">
        <v>168</v>
      </c>
      <c r="FC178" s="358">
        <v>182</v>
      </c>
      <c r="FD178" s="358">
        <v>194</v>
      </c>
      <c r="FE178" s="358">
        <v>201</v>
      </c>
      <c r="FF178" s="358">
        <v>206</v>
      </c>
      <c r="FG178" s="358">
        <v>218</v>
      </c>
      <c r="FH178" s="358">
        <v>227</v>
      </c>
      <c r="FI178" s="358">
        <v>238</v>
      </c>
      <c r="FJ178" s="358">
        <v>244</v>
      </c>
      <c r="FK178" s="358">
        <v>249</v>
      </c>
      <c r="FL178" s="358">
        <v>73</v>
      </c>
      <c r="FM178" s="358">
        <v>63</v>
      </c>
      <c r="FN178" s="358">
        <v>57</v>
      </c>
      <c r="FO178" s="358">
        <v>50</v>
      </c>
      <c r="FP178" s="358">
        <v>37</v>
      </c>
      <c r="FQ178" s="358">
        <v>22</v>
      </c>
      <c r="FR178" s="358">
        <v>14</v>
      </c>
      <c r="FS178" s="358">
        <v>7</v>
      </c>
      <c r="FU178" s="358">
        <v>7</v>
      </c>
      <c r="FV178" s="358">
        <v>17</v>
      </c>
      <c r="FW178" s="358">
        <v>266</v>
      </c>
      <c r="FX178" s="358">
        <v>313</v>
      </c>
      <c r="FY178" s="358">
        <v>320</v>
      </c>
      <c r="FZ178" s="358">
        <v>348</v>
      </c>
      <c r="GA178" s="358">
        <v>417</v>
      </c>
      <c r="GB178" s="358">
        <v>229</v>
      </c>
      <c r="GC178" s="358">
        <v>305</v>
      </c>
      <c r="GD178" s="358">
        <v>341</v>
      </c>
      <c r="GE178" s="358">
        <v>370</v>
      </c>
      <c r="GF178" s="358">
        <v>362</v>
      </c>
      <c r="GG178" s="358">
        <v>286</v>
      </c>
      <c r="GH178" s="358">
        <v>298</v>
      </c>
      <c r="GI178" s="361">
        <v>324</v>
      </c>
    </row>
    <row r="179" spans="1:191">
      <c r="A179" s="336" t="s">
        <v>320</v>
      </c>
      <c r="B179" s="358">
        <v>201</v>
      </c>
      <c r="C179" s="358">
        <v>205</v>
      </c>
      <c r="D179" s="358">
        <v>207</v>
      </c>
      <c r="E179" s="358">
        <v>208</v>
      </c>
      <c r="F179" s="358">
        <v>211</v>
      </c>
      <c r="G179" s="358">
        <v>214</v>
      </c>
      <c r="H179" s="358">
        <v>217</v>
      </c>
      <c r="I179" s="358">
        <v>219</v>
      </c>
      <c r="J179" s="358">
        <v>222</v>
      </c>
      <c r="K179" s="358">
        <v>226</v>
      </c>
      <c r="L179" s="358">
        <v>228</v>
      </c>
      <c r="M179" s="358">
        <v>231</v>
      </c>
      <c r="N179" s="358">
        <v>233</v>
      </c>
      <c r="O179" s="358">
        <v>238</v>
      </c>
      <c r="P179" s="358">
        <v>244</v>
      </c>
      <c r="Q179" s="358">
        <v>246</v>
      </c>
      <c r="R179" s="358">
        <v>249</v>
      </c>
      <c r="S179" s="358">
        <v>251</v>
      </c>
      <c r="T179" s="358">
        <v>254</v>
      </c>
      <c r="U179" s="358">
        <v>257</v>
      </c>
      <c r="V179" s="358">
        <v>199</v>
      </c>
      <c r="W179" s="358">
        <v>197</v>
      </c>
      <c r="X179" s="358">
        <v>195</v>
      </c>
      <c r="Y179" s="358">
        <v>193</v>
      </c>
      <c r="Z179" s="358">
        <v>191</v>
      </c>
      <c r="AA179" s="358">
        <v>190</v>
      </c>
      <c r="AB179" s="358">
        <v>188</v>
      </c>
      <c r="AC179" s="358">
        <v>185</v>
      </c>
      <c r="AD179" s="358">
        <v>183</v>
      </c>
      <c r="AE179" s="358">
        <v>178</v>
      </c>
      <c r="AF179" s="358">
        <v>173</v>
      </c>
      <c r="AG179" s="358">
        <v>168</v>
      </c>
      <c r="AH179" s="358">
        <v>167</v>
      </c>
      <c r="AI179" s="358">
        <v>166</v>
      </c>
      <c r="AJ179" s="358">
        <v>162</v>
      </c>
      <c r="AK179" s="358">
        <v>156</v>
      </c>
      <c r="AL179" s="358">
        <v>150</v>
      </c>
      <c r="AM179" s="358">
        <v>145</v>
      </c>
      <c r="AN179" s="358">
        <v>139</v>
      </c>
      <c r="AO179" s="358">
        <v>135</v>
      </c>
      <c r="AP179" s="358">
        <v>129</v>
      </c>
      <c r="AQ179" s="358">
        <v>123</v>
      </c>
      <c r="AR179" s="358">
        <v>119</v>
      </c>
      <c r="AS179" s="358">
        <v>107</v>
      </c>
      <c r="AT179" s="358">
        <v>99</v>
      </c>
      <c r="AU179" s="358">
        <v>89</v>
      </c>
      <c r="AV179" s="358">
        <v>98</v>
      </c>
      <c r="AW179" s="358">
        <v>106</v>
      </c>
      <c r="AX179" s="358">
        <v>204</v>
      </c>
      <c r="AY179" s="358">
        <v>208</v>
      </c>
      <c r="AZ179" s="358">
        <v>209</v>
      </c>
      <c r="BA179" s="358">
        <v>210</v>
      </c>
      <c r="BB179" s="358">
        <v>211</v>
      </c>
      <c r="BC179" s="358">
        <v>214</v>
      </c>
      <c r="BD179" s="358">
        <v>218</v>
      </c>
      <c r="BE179" s="358">
        <v>220</v>
      </c>
      <c r="BF179" s="358">
        <v>221</v>
      </c>
      <c r="BG179" s="358">
        <v>224</v>
      </c>
      <c r="BH179" s="358">
        <v>225</v>
      </c>
      <c r="BI179" s="358">
        <v>226</v>
      </c>
      <c r="BJ179" s="358">
        <v>228</v>
      </c>
      <c r="BK179" s="358">
        <v>229</v>
      </c>
      <c r="BL179" s="358">
        <v>230</v>
      </c>
      <c r="BM179" s="358">
        <v>232</v>
      </c>
      <c r="BN179" s="358">
        <v>233</v>
      </c>
      <c r="BO179" s="358">
        <v>236</v>
      </c>
      <c r="BP179" s="358">
        <v>241</v>
      </c>
      <c r="BQ179" s="358">
        <v>245</v>
      </c>
      <c r="BR179" s="358">
        <v>255</v>
      </c>
      <c r="BS179" s="358">
        <v>262</v>
      </c>
      <c r="BT179" s="358">
        <v>266</v>
      </c>
      <c r="BU179" s="358">
        <v>269</v>
      </c>
      <c r="BV179" s="358">
        <v>206</v>
      </c>
      <c r="BW179" s="358">
        <v>207</v>
      </c>
      <c r="BX179" s="358">
        <v>210</v>
      </c>
      <c r="BY179" s="358">
        <v>214</v>
      </c>
      <c r="BZ179" s="358">
        <v>219</v>
      </c>
      <c r="CA179" s="358">
        <v>223</v>
      </c>
      <c r="CB179" s="358">
        <v>230</v>
      </c>
      <c r="CC179" s="358">
        <v>235</v>
      </c>
      <c r="CD179" s="358">
        <v>238</v>
      </c>
      <c r="CE179" s="358">
        <v>242</v>
      </c>
      <c r="CF179" s="358">
        <v>244</v>
      </c>
      <c r="CG179" s="358">
        <v>251</v>
      </c>
      <c r="CH179" s="358">
        <v>253</v>
      </c>
      <c r="CI179" s="358">
        <v>257</v>
      </c>
      <c r="CJ179" s="358">
        <v>260</v>
      </c>
      <c r="CK179" s="358">
        <v>267</v>
      </c>
      <c r="CL179" s="358">
        <v>273</v>
      </c>
      <c r="CM179" s="358">
        <v>277</v>
      </c>
      <c r="CN179" s="358">
        <v>282</v>
      </c>
      <c r="CO179" s="358">
        <v>289</v>
      </c>
      <c r="CP179" s="358">
        <v>300</v>
      </c>
      <c r="CQ179" s="358">
        <v>313</v>
      </c>
      <c r="CR179" s="358">
        <v>318</v>
      </c>
      <c r="CS179" s="358">
        <v>207</v>
      </c>
      <c r="CT179" s="358">
        <v>212</v>
      </c>
      <c r="CU179" s="358">
        <v>218</v>
      </c>
      <c r="CV179" s="358">
        <v>224</v>
      </c>
      <c r="CW179" s="358">
        <v>230</v>
      </c>
      <c r="CX179" s="358">
        <v>235</v>
      </c>
      <c r="CY179" s="358">
        <v>242</v>
      </c>
      <c r="CZ179" s="358">
        <v>245</v>
      </c>
      <c r="DA179" s="358">
        <v>249</v>
      </c>
      <c r="DB179" s="358">
        <v>254</v>
      </c>
      <c r="DC179" s="358">
        <v>265</v>
      </c>
      <c r="DD179" s="358">
        <v>275</v>
      </c>
      <c r="DE179" s="358">
        <v>279</v>
      </c>
      <c r="DF179" s="358">
        <v>285</v>
      </c>
      <c r="DG179" s="358">
        <v>294</v>
      </c>
      <c r="DH179" s="358">
        <v>299</v>
      </c>
      <c r="DI179" s="358">
        <v>306</v>
      </c>
      <c r="DJ179" s="358">
        <v>315</v>
      </c>
      <c r="DK179" s="358">
        <v>322</v>
      </c>
      <c r="DL179" s="358">
        <v>330</v>
      </c>
      <c r="DM179" s="358">
        <v>342</v>
      </c>
      <c r="DN179" s="358">
        <v>345</v>
      </c>
      <c r="DO179" s="358">
        <v>356</v>
      </c>
      <c r="DP179" s="358">
        <v>365</v>
      </c>
      <c r="DQ179" s="358">
        <v>200</v>
      </c>
      <c r="DR179" s="358">
        <v>205</v>
      </c>
      <c r="DS179" s="358">
        <v>209</v>
      </c>
      <c r="DT179" s="358">
        <v>211</v>
      </c>
      <c r="DU179" s="358">
        <v>214</v>
      </c>
      <c r="DV179" s="358">
        <v>215</v>
      </c>
      <c r="DW179" s="358">
        <v>221</v>
      </c>
      <c r="DX179" s="358">
        <v>224</v>
      </c>
      <c r="DY179" s="358">
        <v>230</v>
      </c>
      <c r="DZ179" s="358">
        <v>235</v>
      </c>
      <c r="EA179" s="358">
        <v>239</v>
      </c>
      <c r="EB179" s="358">
        <v>243</v>
      </c>
      <c r="EC179" s="358">
        <v>248</v>
      </c>
      <c r="ED179" s="358">
        <v>254</v>
      </c>
      <c r="EE179" s="358">
        <v>260</v>
      </c>
      <c r="EF179" s="358">
        <v>263</v>
      </c>
      <c r="EG179" s="358">
        <v>267</v>
      </c>
      <c r="EH179" s="358">
        <v>272</v>
      </c>
      <c r="EI179" s="358">
        <v>277</v>
      </c>
      <c r="EJ179" s="358">
        <v>281</v>
      </c>
      <c r="EK179" s="358">
        <v>286</v>
      </c>
      <c r="EL179" s="358">
        <v>290</v>
      </c>
      <c r="EM179" s="358">
        <v>123</v>
      </c>
      <c r="EN179" s="358">
        <v>135</v>
      </c>
      <c r="EO179" s="358">
        <v>146</v>
      </c>
      <c r="EP179" s="358">
        <v>156</v>
      </c>
      <c r="EQ179" s="358">
        <v>163</v>
      </c>
      <c r="ES179" s="358">
        <v>175</v>
      </c>
      <c r="ET179" s="358">
        <v>180</v>
      </c>
      <c r="EU179" s="358">
        <v>189</v>
      </c>
      <c r="EV179" s="358">
        <v>195</v>
      </c>
      <c r="EW179" s="358">
        <v>119</v>
      </c>
      <c r="EX179" s="358">
        <v>130</v>
      </c>
      <c r="EY179" s="358">
        <v>141</v>
      </c>
      <c r="EZ179" s="358">
        <v>157</v>
      </c>
      <c r="FA179" s="358">
        <v>165</v>
      </c>
      <c r="FB179" s="358">
        <v>175</v>
      </c>
      <c r="FC179" s="358">
        <v>189</v>
      </c>
      <c r="FD179" s="358">
        <v>201</v>
      </c>
      <c r="FE179" s="358">
        <v>208</v>
      </c>
      <c r="FF179" s="358">
        <v>213</v>
      </c>
      <c r="FG179" s="358">
        <v>225</v>
      </c>
      <c r="FH179" s="358">
        <v>234</v>
      </c>
      <c r="FI179" s="358">
        <v>245</v>
      </c>
      <c r="FJ179" s="358">
        <v>251</v>
      </c>
      <c r="FK179" s="358">
        <v>256</v>
      </c>
      <c r="FL179" s="358">
        <v>80</v>
      </c>
      <c r="FM179" s="358">
        <v>70</v>
      </c>
      <c r="FN179" s="358">
        <v>64</v>
      </c>
      <c r="FO179" s="358">
        <v>57</v>
      </c>
      <c r="FP179" s="358">
        <v>44</v>
      </c>
      <c r="FQ179" s="358">
        <v>29</v>
      </c>
      <c r="FR179" s="358">
        <v>21</v>
      </c>
      <c r="FS179" s="358">
        <v>14</v>
      </c>
      <c r="FT179" s="358">
        <v>7</v>
      </c>
      <c r="FV179" s="358">
        <v>10</v>
      </c>
      <c r="FW179" s="358">
        <v>273</v>
      </c>
      <c r="FX179" s="358">
        <v>320</v>
      </c>
      <c r="FY179" s="358">
        <v>327</v>
      </c>
      <c r="FZ179" s="358">
        <v>355</v>
      </c>
      <c r="GA179" s="358">
        <v>424</v>
      </c>
      <c r="GB179" s="358">
        <v>236</v>
      </c>
      <c r="GC179" s="358">
        <v>312</v>
      </c>
      <c r="GD179" s="358">
        <v>348</v>
      </c>
      <c r="GE179" s="358">
        <v>377</v>
      </c>
      <c r="GF179" s="358">
        <v>369</v>
      </c>
      <c r="GG179" s="358">
        <v>293</v>
      </c>
      <c r="GH179" s="358">
        <v>305</v>
      </c>
      <c r="GI179" s="361">
        <v>331</v>
      </c>
    </row>
    <row r="180" spans="1:191">
      <c r="A180" s="336" t="s">
        <v>319</v>
      </c>
      <c r="B180" s="358">
        <v>211</v>
      </c>
      <c r="C180" s="358">
        <v>215</v>
      </c>
      <c r="D180" s="358">
        <v>217</v>
      </c>
      <c r="E180" s="358">
        <v>218</v>
      </c>
      <c r="F180" s="358">
        <v>221</v>
      </c>
      <c r="G180" s="358">
        <v>224</v>
      </c>
      <c r="H180" s="358">
        <v>227</v>
      </c>
      <c r="I180" s="358">
        <v>229</v>
      </c>
      <c r="J180" s="358">
        <v>232</v>
      </c>
      <c r="K180" s="358">
        <v>236</v>
      </c>
      <c r="L180" s="358">
        <v>238</v>
      </c>
      <c r="M180" s="358">
        <v>241</v>
      </c>
      <c r="N180" s="358">
        <v>243</v>
      </c>
      <c r="O180" s="358">
        <v>248</v>
      </c>
      <c r="P180" s="358">
        <v>254</v>
      </c>
      <c r="Q180" s="358">
        <v>256</v>
      </c>
      <c r="R180" s="358">
        <v>259</v>
      </c>
      <c r="S180" s="358">
        <v>261</v>
      </c>
      <c r="T180" s="358">
        <v>264</v>
      </c>
      <c r="U180" s="358">
        <v>267</v>
      </c>
      <c r="V180" s="358">
        <v>209</v>
      </c>
      <c r="W180" s="358">
        <v>207</v>
      </c>
      <c r="X180" s="358">
        <v>205</v>
      </c>
      <c r="Y180" s="358">
        <v>203</v>
      </c>
      <c r="Z180" s="358">
        <v>201</v>
      </c>
      <c r="AA180" s="358">
        <v>200</v>
      </c>
      <c r="AB180" s="358">
        <v>198</v>
      </c>
      <c r="AC180" s="358">
        <v>195</v>
      </c>
      <c r="AD180" s="358">
        <v>193</v>
      </c>
      <c r="AE180" s="358">
        <v>188</v>
      </c>
      <c r="AF180" s="358">
        <v>183</v>
      </c>
      <c r="AG180" s="358">
        <v>178</v>
      </c>
      <c r="AH180" s="358">
        <v>177</v>
      </c>
      <c r="AI180" s="358">
        <v>176</v>
      </c>
      <c r="AJ180" s="358">
        <v>172</v>
      </c>
      <c r="AK180" s="358">
        <v>166</v>
      </c>
      <c r="AL180" s="358">
        <v>160</v>
      </c>
      <c r="AM180" s="358">
        <v>155</v>
      </c>
      <c r="AN180" s="358">
        <v>149</v>
      </c>
      <c r="AO180" s="358">
        <v>145</v>
      </c>
      <c r="AP180" s="358">
        <v>139</v>
      </c>
      <c r="AQ180" s="358">
        <v>133</v>
      </c>
      <c r="AR180" s="358">
        <v>129</v>
      </c>
      <c r="AS180" s="358">
        <v>117</v>
      </c>
      <c r="AT180" s="358">
        <v>109</v>
      </c>
      <c r="AU180" s="358">
        <v>99</v>
      </c>
      <c r="AV180" s="358">
        <v>108</v>
      </c>
      <c r="AW180" s="358">
        <v>116</v>
      </c>
      <c r="AX180" s="358">
        <v>214</v>
      </c>
      <c r="AY180" s="358">
        <v>218</v>
      </c>
      <c r="AZ180" s="358">
        <v>219</v>
      </c>
      <c r="BA180" s="358">
        <v>220</v>
      </c>
      <c r="BB180" s="358">
        <v>221</v>
      </c>
      <c r="BC180" s="358">
        <v>224</v>
      </c>
      <c r="BD180" s="358">
        <v>228</v>
      </c>
      <c r="BE180" s="358">
        <v>230</v>
      </c>
      <c r="BF180" s="358">
        <v>231</v>
      </c>
      <c r="BG180" s="358">
        <v>234</v>
      </c>
      <c r="BH180" s="358">
        <v>235</v>
      </c>
      <c r="BI180" s="358">
        <v>236</v>
      </c>
      <c r="BJ180" s="358">
        <v>238</v>
      </c>
      <c r="BK180" s="358">
        <v>239</v>
      </c>
      <c r="BL180" s="358">
        <v>240</v>
      </c>
      <c r="BM180" s="358">
        <v>242</v>
      </c>
      <c r="BN180" s="358">
        <v>243</v>
      </c>
      <c r="BO180" s="358">
        <v>246</v>
      </c>
      <c r="BP180" s="358">
        <v>251</v>
      </c>
      <c r="BQ180" s="358">
        <v>255</v>
      </c>
      <c r="BR180" s="358">
        <v>265</v>
      </c>
      <c r="BS180" s="358">
        <v>272</v>
      </c>
      <c r="BT180" s="358">
        <v>276</v>
      </c>
      <c r="BU180" s="358">
        <v>279</v>
      </c>
      <c r="BV180" s="358">
        <v>216</v>
      </c>
      <c r="BW180" s="358">
        <v>217</v>
      </c>
      <c r="BX180" s="358">
        <v>220</v>
      </c>
      <c r="BY180" s="358">
        <v>224</v>
      </c>
      <c r="BZ180" s="358">
        <v>229</v>
      </c>
      <c r="CA180" s="358">
        <v>233</v>
      </c>
      <c r="CB180" s="358">
        <v>240</v>
      </c>
      <c r="CC180" s="358">
        <v>245</v>
      </c>
      <c r="CD180" s="358">
        <v>248</v>
      </c>
      <c r="CE180" s="358">
        <v>252</v>
      </c>
      <c r="CF180" s="358">
        <v>254</v>
      </c>
      <c r="CG180" s="358">
        <v>261</v>
      </c>
      <c r="CH180" s="358">
        <v>263</v>
      </c>
      <c r="CI180" s="358">
        <v>267</v>
      </c>
      <c r="CJ180" s="358">
        <v>270</v>
      </c>
      <c r="CK180" s="358">
        <v>277</v>
      </c>
      <c r="CL180" s="358">
        <v>283</v>
      </c>
      <c r="CM180" s="358">
        <v>287</v>
      </c>
      <c r="CN180" s="358">
        <v>292</v>
      </c>
      <c r="CO180" s="358">
        <v>299</v>
      </c>
      <c r="CP180" s="358">
        <v>310</v>
      </c>
      <c r="CQ180" s="358">
        <v>323</v>
      </c>
      <c r="CR180" s="358">
        <v>328</v>
      </c>
      <c r="CS180" s="358">
        <v>217</v>
      </c>
      <c r="CT180" s="358">
        <v>222</v>
      </c>
      <c r="CU180" s="358">
        <v>228</v>
      </c>
      <c r="CV180" s="358">
        <v>234</v>
      </c>
      <c r="CW180" s="358">
        <v>240</v>
      </c>
      <c r="CX180" s="358">
        <v>245</v>
      </c>
      <c r="CY180" s="358">
        <v>252</v>
      </c>
      <c r="CZ180" s="358">
        <v>255</v>
      </c>
      <c r="DA180" s="358">
        <v>259</v>
      </c>
      <c r="DB180" s="358">
        <v>264</v>
      </c>
      <c r="DC180" s="358">
        <v>275</v>
      </c>
      <c r="DD180" s="358">
        <v>285</v>
      </c>
      <c r="DE180" s="358">
        <v>289</v>
      </c>
      <c r="DF180" s="358">
        <v>295</v>
      </c>
      <c r="DG180" s="358">
        <v>304</v>
      </c>
      <c r="DH180" s="358">
        <v>309</v>
      </c>
      <c r="DI180" s="358">
        <v>316</v>
      </c>
      <c r="DJ180" s="358">
        <v>325</v>
      </c>
      <c r="DK180" s="358">
        <v>332</v>
      </c>
      <c r="DL180" s="358">
        <v>340</v>
      </c>
      <c r="DM180" s="358">
        <v>352</v>
      </c>
      <c r="DN180" s="358">
        <v>355</v>
      </c>
      <c r="DO180" s="358">
        <v>366</v>
      </c>
      <c r="DP180" s="358">
        <v>375</v>
      </c>
      <c r="DQ180" s="358">
        <v>210</v>
      </c>
      <c r="DR180" s="358">
        <v>215</v>
      </c>
      <c r="DS180" s="358">
        <v>219</v>
      </c>
      <c r="DT180" s="358">
        <v>221</v>
      </c>
      <c r="DU180" s="358">
        <v>224</v>
      </c>
      <c r="DV180" s="358">
        <v>225</v>
      </c>
      <c r="DW180" s="358">
        <v>231</v>
      </c>
      <c r="DX180" s="358">
        <v>234</v>
      </c>
      <c r="DY180" s="358">
        <v>240</v>
      </c>
      <c r="DZ180" s="358">
        <v>245</v>
      </c>
      <c r="EA180" s="358">
        <v>249</v>
      </c>
      <c r="EB180" s="358">
        <v>253</v>
      </c>
      <c r="EC180" s="358">
        <v>258</v>
      </c>
      <c r="ED180" s="358">
        <v>264</v>
      </c>
      <c r="EE180" s="358">
        <v>270</v>
      </c>
      <c r="EF180" s="358">
        <v>273</v>
      </c>
      <c r="EG180" s="358">
        <v>277</v>
      </c>
      <c r="EH180" s="358">
        <v>282</v>
      </c>
      <c r="EI180" s="358">
        <v>287</v>
      </c>
      <c r="EJ180" s="358">
        <v>291</v>
      </c>
      <c r="EK180" s="358">
        <v>296</v>
      </c>
      <c r="EL180" s="358">
        <v>300</v>
      </c>
      <c r="EM180" s="358">
        <v>133</v>
      </c>
      <c r="EN180" s="358">
        <v>145</v>
      </c>
      <c r="EO180" s="358">
        <v>156</v>
      </c>
      <c r="EP180" s="358">
        <v>166</v>
      </c>
      <c r="EQ180" s="358">
        <v>173</v>
      </c>
      <c r="ES180" s="358">
        <v>185</v>
      </c>
      <c r="ET180" s="358">
        <v>190</v>
      </c>
      <c r="EU180" s="358">
        <v>199</v>
      </c>
      <c r="EV180" s="358">
        <v>205</v>
      </c>
      <c r="EW180" s="358">
        <v>129</v>
      </c>
      <c r="EX180" s="358">
        <v>140</v>
      </c>
      <c r="EY180" s="358">
        <v>151</v>
      </c>
      <c r="EZ180" s="358">
        <v>167</v>
      </c>
      <c r="FA180" s="358">
        <v>175</v>
      </c>
      <c r="FB180" s="358">
        <v>185</v>
      </c>
      <c r="FC180" s="358">
        <v>199</v>
      </c>
      <c r="FD180" s="358">
        <v>211</v>
      </c>
      <c r="FE180" s="358">
        <v>218</v>
      </c>
      <c r="FF180" s="358">
        <v>223</v>
      </c>
      <c r="FG180" s="358">
        <v>235</v>
      </c>
      <c r="FH180" s="358">
        <v>244</v>
      </c>
      <c r="FI180" s="358">
        <v>255</v>
      </c>
      <c r="FJ180" s="358">
        <v>261</v>
      </c>
      <c r="FK180" s="358">
        <v>266</v>
      </c>
      <c r="FL180" s="358">
        <v>90</v>
      </c>
      <c r="FM180" s="358">
        <v>80</v>
      </c>
      <c r="FN180" s="358">
        <v>74</v>
      </c>
      <c r="FO180" s="358">
        <v>67</v>
      </c>
      <c r="FP180" s="358">
        <v>54</v>
      </c>
      <c r="FQ180" s="358">
        <v>39</v>
      </c>
      <c r="FR180" s="358">
        <v>31</v>
      </c>
      <c r="FS180" s="358">
        <v>24</v>
      </c>
      <c r="FT180" s="358">
        <v>17</v>
      </c>
      <c r="FU180" s="358">
        <v>10</v>
      </c>
      <c r="FW180" s="358">
        <v>283</v>
      </c>
      <c r="FX180" s="358">
        <v>330</v>
      </c>
      <c r="FY180" s="358">
        <v>337</v>
      </c>
      <c r="FZ180" s="358">
        <v>365</v>
      </c>
      <c r="GA180" s="358">
        <v>434</v>
      </c>
      <c r="GB180" s="358">
        <v>246</v>
      </c>
      <c r="GC180" s="358">
        <v>322</v>
      </c>
      <c r="GD180" s="358">
        <v>358</v>
      </c>
      <c r="GE180" s="358">
        <v>387</v>
      </c>
      <c r="GF180" s="358">
        <v>379</v>
      </c>
      <c r="GG180" s="358">
        <v>303</v>
      </c>
      <c r="GH180" s="358">
        <v>315</v>
      </c>
      <c r="GI180" s="361">
        <v>341</v>
      </c>
    </row>
    <row r="181" spans="1:191">
      <c r="A181" s="336" t="s">
        <v>318</v>
      </c>
      <c r="B181" s="358">
        <v>72</v>
      </c>
      <c r="C181" s="358">
        <v>76</v>
      </c>
      <c r="D181" s="358">
        <v>78</v>
      </c>
      <c r="E181" s="358">
        <v>79</v>
      </c>
      <c r="F181" s="358">
        <v>82</v>
      </c>
      <c r="G181" s="358">
        <v>85</v>
      </c>
      <c r="H181" s="358">
        <v>88</v>
      </c>
      <c r="I181" s="358">
        <v>90</v>
      </c>
      <c r="J181" s="358">
        <v>93</v>
      </c>
      <c r="K181" s="358">
        <v>97</v>
      </c>
      <c r="L181" s="358">
        <v>99</v>
      </c>
      <c r="M181" s="358">
        <v>102</v>
      </c>
      <c r="N181" s="358">
        <v>104</v>
      </c>
      <c r="O181" s="358">
        <v>109</v>
      </c>
      <c r="P181" s="358">
        <v>115</v>
      </c>
      <c r="Q181" s="358">
        <v>117</v>
      </c>
      <c r="R181" s="358">
        <v>120</v>
      </c>
      <c r="S181" s="358">
        <v>122</v>
      </c>
      <c r="T181" s="358">
        <v>125</v>
      </c>
      <c r="U181" s="358">
        <v>128</v>
      </c>
      <c r="V181" s="358">
        <v>74</v>
      </c>
      <c r="W181" s="358">
        <v>76</v>
      </c>
      <c r="X181" s="358">
        <v>78</v>
      </c>
      <c r="Y181" s="358">
        <v>80</v>
      </c>
      <c r="Z181" s="358">
        <v>82</v>
      </c>
      <c r="AA181" s="358">
        <v>83</v>
      </c>
      <c r="AB181" s="358">
        <v>85</v>
      </c>
      <c r="AC181" s="358">
        <v>88</v>
      </c>
      <c r="AD181" s="358">
        <v>90</v>
      </c>
      <c r="AE181" s="358">
        <v>95</v>
      </c>
      <c r="AF181" s="358">
        <v>100</v>
      </c>
      <c r="AG181" s="358">
        <v>105</v>
      </c>
      <c r="AH181" s="358">
        <v>106</v>
      </c>
      <c r="AI181" s="358">
        <v>107</v>
      </c>
      <c r="AJ181" s="358">
        <v>111</v>
      </c>
      <c r="AK181" s="358">
        <v>117</v>
      </c>
      <c r="AL181" s="358">
        <v>123</v>
      </c>
      <c r="AM181" s="358">
        <v>128</v>
      </c>
      <c r="AN181" s="358">
        <v>134</v>
      </c>
      <c r="AO181" s="358">
        <v>138</v>
      </c>
      <c r="AP181" s="358">
        <v>144</v>
      </c>
      <c r="AQ181" s="358">
        <v>150</v>
      </c>
      <c r="AR181" s="358">
        <v>154</v>
      </c>
      <c r="AS181" s="358">
        <v>166</v>
      </c>
      <c r="AT181" s="358">
        <v>174</v>
      </c>
      <c r="AU181" s="358">
        <v>184</v>
      </c>
      <c r="AV181" s="358">
        <v>193</v>
      </c>
      <c r="AW181" s="358">
        <v>201</v>
      </c>
      <c r="AX181" s="358">
        <v>69</v>
      </c>
      <c r="AY181" s="358">
        <v>79</v>
      </c>
      <c r="AZ181" s="358">
        <v>80</v>
      </c>
      <c r="BA181" s="358">
        <v>81</v>
      </c>
      <c r="BB181" s="358">
        <v>82</v>
      </c>
      <c r="BC181" s="358">
        <v>85</v>
      </c>
      <c r="BD181" s="358">
        <v>89</v>
      </c>
      <c r="BE181" s="358">
        <v>91</v>
      </c>
      <c r="BF181" s="358">
        <v>92</v>
      </c>
      <c r="BG181" s="358">
        <v>95</v>
      </c>
      <c r="BH181" s="358">
        <v>96</v>
      </c>
      <c r="BI181" s="358">
        <v>97</v>
      </c>
      <c r="BJ181" s="358">
        <v>99</v>
      </c>
      <c r="BK181" s="358">
        <v>100</v>
      </c>
      <c r="BL181" s="358">
        <v>101</v>
      </c>
      <c r="BM181" s="358">
        <v>103</v>
      </c>
      <c r="BN181" s="358">
        <v>104</v>
      </c>
      <c r="BO181" s="358">
        <v>107</v>
      </c>
      <c r="BP181" s="358">
        <v>112</v>
      </c>
      <c r="BQ181" s="358">
        <v>116</v>
      </c>
      <c r="BR181" s="358">
        <v>126</v>
      </c>
      <c r="BS181" s="358">
        <v>133</v>
      </c>
      <c r="BT181" s="358">
        <v>137</v>
      </c>
      <c r="BU181" s="358">
        <v>140</v>
      </c>
      <c r="BV181" s="358">
        <v>67</v>
      </c>
      <c r="BW181" s="358">
        <v>66</v>
      </c>
      <c r="BX181" s="358">
        <v>63</v>
      </c>
      <c r="BY181" s="358">
        <v>59</v>
      </c>
      <c r="BZ181" s="358">
        <v>54</v>
      </c>
      <c r="CA181" s="358">
        <v>50</v>
      </c>
      <c r="CB181" s="358">
        <v>43</v>
      </c>
      <c r="CC181" s="358">
        <v>38</v>
      </c>
      <c r="CD181" s="358">
        <v>35</v>
      </c>
      <c r="CE181" s="358">
        <v>31</v>
      </c>
      <c r="CF181" s="358">
        <v>29</v>
      </c>
      <c r="CG181" s="358">
        <v>36</v>
      </c>
      <c r="CH181" s="358">
        <v>38</v>
      </c>
      <c r="CI181" s="358">
        <v>42</v>
      </c>
      <c r="CJ181" s="358">
        <v>45</v>
      </c>
      <c r="CK181" s="358">
        <v>52</v>
      </c>
      <c r="CL181" s="358">
        <v>58</v>
      </c>
      <c r="CM181" s="358">
        <v>62</v>
      </c>
      <c r="CN181" s="358">
        <v>67</v>
      </c>
      <c r="CO181" s="358">
        <v>74</v>
      </c>
      <c r="CP181" s="358">
        <v>85</v>
      </c>
      <c r="CQ181" s="358">
        <v>98</v>
      </c>
      <c r="CR181" s="358">
        <v>103</v>
      </c>
      <c r="CS181" s="358">
        <v>78</v>
      </c>
      <c r="CT181" s="358">
        <v>83</v>
      </c>
      <c r="CU181" s="358">
        <v>89</v>
      </c>
      <c r="CV181" s="358">
        <v>95</v>
      </c>
      <c r="CW181" s="358">
        <v>101</v>
      </c>
      <c r="CX181" s="358">
        <v>106</v>
      </c>
      <c r="CY181" s="358">
        <v>113</v>
      </c>
      <c r="CZ181" s="358">
        <v>116</v>
      </c>
      <c r="DA181" s="358">
        <v>120</v>
      </c>
      <c r="DB181" s="358">
        <v>125</v>
      </c>
      <c r="DC181" s="358">
        <v>136</v>
      </c>
      <c r="DD181" s="358">
        <v>146</v>
      </c>
      <c r="DE181" s="358">
        <v>150</v>
      </c>
      <c r="DF181" s="358">
        <v>156</v>
      </c>
      <c r="DG181" s="358">
        <v>165</v>
      </c>
      <c r="DH181" s="358">
        <v>170</v>
      </c>
      <c r="DI181" s="358">
        <v>177</v>
      </c>
      <c r="DJ181" s="358">
        <v>186</v>
      </c>
      <c r="DK181" s="358">
        <v>193</v>
      </c>
      <c r="DL181" s="358">
        <v>201</v>
      </c>
      <c r="DM181" s="358">
        <v>213</v>
      </c>
      <c r="DN181" s="358">
        <v>216</v>
      </c>
      <c r="DO181" s="358">
        <v>227</v>
      </c>
      <c r="DP181" s="358">
        <v>236</v>
      </c>
      <c r="DQ181" s="358">
        <v>79</v>
      </c>
      <c r="DR181" s="358">
        <v>84</v>
      </c>
      <c r="DS181" s="358">
        <v>88</v>
      </c>
      <c r="DT181" s="358">
        <v>90</v>
      </c>
      <c r="DU181" s="358">
        <v>93</v>
      </c>
      <c r="DV181" s="358">
        <v>94</v>
      </c>
      <c r="DW181" s="358">
        <v>100</v>
      </c>
      <c r="DX181" s="358">
        <v>103</v>
      </c>
      <c r="DY181" s="358">
        <v>109</v>
      </c>
      <c r="DZ181" s="358">
        <v>114</v>
      </c>
      <c r="EA181" s="358">
        <v>118</v>
      </c>
      <c r="EB181" s="358">
        <v>122</v>
      </c>
      <c r="EC181" s="358">
        <v>127</v>
      </c>
      <c r="ED181" s="358">
        <v>133</v>
      </c>
      <c r="EE181" s="358">
        <v>139</v>
      </c>
      <c r="EF181" s="358">
        <v>142</v>
      </c>
      <c r="EG181" s="358">
        <v>146</v>
      </c>
      <c r="EH181" s="358">
        <v>151</v>
      </c>
      <c r="EI181" s="358">
        <v>156</v>
      </c>
      <c r="EJ181" s="358">
        <v>160</v>
      </c>
      <c r="EK181" s="358">
        <v>165</v>
      </c>
      <c r="EL181" s="358">
        <v>169</v>
      </c>
      <c r="EM181" s="358">
        <v>218</v>
      </c>
      <c r="EN181" s="358">
        <v>230</v>
      </c>
      <c r="EO181" s="358">
        <v>241</v>
      </c>
      <c r="EP181" s="358">
        <v>251</v>
      </c>
      <c r="EQ181" s="358">
        <v>258</v>
      </c>
      <c r="ES181" s="358">
        <v>270</v>
      </c>
      <c r="ET181" s="358">
        <v>275</v>
      </c>
      <c r="EU181" s="358">
        <v>284</v>
      </c>
      <c r="EV181" s="358">
        <v>290</v>
      </c>
      <c r="EW181" s="358">
        <v>214</v>
      </c>
      <c r="EX181" s="358">
        <v>225</v>
      </c>
      <c r="EY181" s="358">
        <v>236</v>
      </c>
      <c r="EZ181" s="358">
        <v>252</v>
      </c>
      <c r="FA181" s="358">
        <v>260</v>
      </c>
      <c r="FB181" s="358">
        <v>270</v>
      </c>
      <c r="FC181" s="358">
        <v>284</v>
      </c>
      <c r="FD181" s="358">
        <v>296</v>
      </c>
      <c r="FE181" s="358">
        <v>303</v>
      </c>
      <c r="FF181" s="358">
        <v>308</v>
      </c>
      <c r="FG181" s="358">
        <v>320</v>
      </c>
      <c r="FH181" s="358">
        <v>329</v>
      </c>
      <c r="FI181" s="358">
        <v>340</v>
      </c>
      <c r="FJ181" s="358">
        <v>346</v>
      </c>
      <c r="FK181" s="358">
        <v>351</v>
      </c>
      <c r="FL181" s="358">
        <v>193</v>
      </c>
      <c r="FM181" s="358">
        <v>203</v>
      </c>
      <c r="FN181" s="358">
        <v>209</v>
      </c>
      <c r="FO181" s="358">
        <v>216</v>
      </c>
      <c r="FP181" s="358">
        <v>229</v>
      </c>
      <c r="FQ181" s="358">
        <v>244</v>
      </c>
      <c r="FR181" s="358">
        <v>252</v>
      </c>
      <c r="FS181" s="358">
        <v>259</v>
      </c>
      <c r="FT181" s="358">
        <v>266</v>
      </c>
      <c r="FU181" s="358">
        <v>273</v>
      </c>
      <c r="FV181" s="358">
        <v>283</v>
      </c>
      <c r="FW181" s="358">
        <v>0</v>
      </c>
      <c r="FX181" s="358">
        <v>47</v>
      </c>
      <c r="FY181" s="358">
        <v>54</v>
      </c>
      <c r="FZ181" s="358">
        <v>82</v>
      </c>
      <c r="GA181" s="358">
        <v>151</v>
      </c>
      <c r="GB181" s="358">
        <v>331</v>
      </c>
      <c r="GC181" s="358">
        <v>183</v>
      </c>
      <c r="GD181" s="358">
        <v>219</v>
      </c>
      <c r="GE181" s="358">
        <v>248</v>
      </c>
      <c r="GF181" s="358">
        <v>240</v>
      </c>
      <c r="GG181" s="358">
        <v>164</v>
      </c>
      <c r="GH181" s="358">
        <v>176</v>
      </c>
      <c r="GI181" s="361">
        <v>202</v>
      </c>
    </row>
    <row r="182" spans="1:191">
      <c r="A182" s="336" t="s">
        <v>317</v>
      </c>
      <c r="B182" s="358">
        <v>119</v>
      </c>
      <c r="C182" s="358">
        <v>123</v>
      </c>
      <c r="D182" s="358">
        <v>125</v>
      </c>
      <c r="E182" s="358">
        <v>126</v>
      </c>
      <c r="F182" s="358">
        <v>129</v>
      </c>
      <c r="G182" s="358">
        <v>132</v>
      </c>
      <c r="H182" s="358">
        <v>135</v>
      </c>
      <c r="I182" s="358">
        <v>137</v>
      </c>
      <c r="J182" s="358">
        <v>140</v>
      </c>
      <c r="K182" s="358">
        <v>144</v>
      </c>
      <c r="L182" s="358">
        <v>146</v>
      </c>
      <c r="M182" s="358">
        <v>149</v>
      </c>
      <c r="N182" s="358">
        <v>151</v>
      </c>
      <c r="O182" s="358">
        <v>156</v>
      </c>
      <c r="P182" s="358">
        <v>162</v>
      </c>
      <c r="Q182" s="358">
        <v>164</v>
      </c>
      <c r="R182" s="358">
        <v>167</v>
      </c>
      <c r="S182" s="358">
        <v>169</v>
      </c>
      <c r="T182" s="358">
        <v>172</v>
      </c>
      <c r="U182" s="358">
        <v>175</v>
      </c>
      <c r="V182" s="358">
        <v>121</v>
      </c>
      <c r="W182" s="358">
        <v>123</v>
      </c>
      <c r="X182" s="358">
        <v>125</v>
      </c>
      <c r="Y182" s="358">
        <v>127</v>
      </c>
      <c r="Z182" s="358">
        <v>129</v>
      </c>
      <c r="AA182" s="358">
        <v>130</v>
      </c>
      <c r="AB182" s="358">
        <v>132</v>
      </c>
      <c r="AC182" s="358">
        <v>135</v>
      </c>
      <c r="AD182" s="358">
        <v>137</v>
      </c>
      <c r="AE182" s="358">
        <v>142</v>
      </c>
      <c r="AF182" s="358">
        <v>147</v>
      </c>
      <c r="AG182" s="358">
        <v>152</v>
      </c>
      <c r="AH182" s="358">
        <v>153</v>
      </c>
      <c r="AI182" s="358">
        <v>154</v>
      </c>
      <c r="AJ182" s="358">
        <v>158</v>
      </c>
      <c r="AK182" s="358">
        <v>164</v>
      </c>
      <c r="AL182" s="358">
        <v>170</v>
      </c>
      <c r="AM182" s="358">
        <v>175</v>
      </c>
      <c r="AN182" s="358">
        <v>181</v>
      </c>
      <c r="AO182" s="358">
        <v>185</v>
      </c>
      <c r="AP182" s="358">
        <v>191</v>
      </c>
      <c r="AQ182" s="358">
        <v>197</v>
      </c>
      <c r="AR182" s="358">
        <v>201</v>
      </c>
      <c r="AS182" s="358">
        <v>213</v>
      </c>
      <c r="AT182" s="358">
        <v>221</v>
      </c>
      <c r="AU182" s="358">
        <v>231</v>
      </c>
      <c r="AV182" s="358">
        <v>240</v>
      </c>
      <c r="AW182" s="358">
        <v>248</v>
      </c>
      <c r="AX182" s="358">
        <v>116</v>
      </c>
      <c r="AY182" s="358">
        <v>126</v>
      </c>
      <c r="AZ182" s="358">
        <v>127</v>
      </c>
      <c r="BA182" s="358">
        <v>128</v>
      </c>
      <c r="BB182" s="358">
        <v>129</v>
      </c>
      <c r="BC182" s="358">
        <v>132</v>
      </c>
      <c r="BD182" s="358">
        <v>136</v>
      </c>
      <c r="BE182" s="358">
        <v>138</v>
      </c>
      <c r="BF182" s="358">
        <v>139</v>
      </c>
      <c r="BG182" s="358">
        <v>142</v>
      </c>
      <c r="BH182" s="358">
        <v>143</v>
      </c>
      <c r="BI182" s="358">
        <v>144</v>
      </c>
      <c r="BJ182" s="358">
        <v>146</v>
      </c>
      <c r="BK182" s="358">
        <v>147</v>
      </c>
      <c r="BL182" s="358">
        <v>148</v>
      </c>
      <c r="BM182" s="358">
        <v>150</v>
      </c>
      <c r="BN182" s="358">
        <v>151</v>
      </c>
      <c r="BO182" s="358">
        <v>154</v>
      </c>
      <c r="BP182" s="358">
        <v>159</v>
      </c>
      <c r="BQ182" s="358">
        <v>163</v>
      </c>
      <c r="BR182" s="358">
        <v>173</v>
      </c>
      <c r="BS182" s="358">
        <v>180</v>
      </c>
      <c r="BT182" s="358">
        <v>184</v>
      </c>
      <c r="BU182" s="358">
        <v>187</v>
      </c>
      <c r="BV182" s="358">
        <v>114</v>
      </c>
      <c r="BW182" s="358">
        <v>113</v>
      </c>
      <c r="BX182" s="358">
        <v>110</v>
      </c>
      <c r="BY182" s="358">
        <v>106</v>
      </c>
      <c r="BZ182" s="358">
        <v>101</v>
      </c>
      <c r="CA182" s="358">
        <v>97</v>
      </c>
      <c r="CB182" s="358">
        <v>90</v>
      </c>
      <c r="CC182" s="358">
        <v>85</v>
      </c>
      <c r="CD182" s="358">
        <v>82</v>
      </c>
      <c r="CE182" s="358">
        <v>78</v>
      </c>
      <c r="CF182" s="358">
        <v>76</v>
      </c>
      <c r="CG182" s="358">
        <v>83</v>
      </c>
      <c r="CH182" s="358">
        <v>85</v>
      </c>
      <c r="CI182" s="358">
        <v>89</v>
      </c>
      <c r="CJ182" s="358">
        <v>92</v>
      </c>
      <c r="CK182" s="358">
        <v>99</v>
      </c>
      <c r="CL182" s="358">
        <v>105</v>
      </c>
      <c r="CM182" s="358">
        <v>109</v>
      </c>
      <c r="CN182" s="358">
        <v>114</v>
      </c>
      <c r="CO182" s="358">
        <v>121</v>
      </c>
      <c r="CP182" s="358">
        <v>132</v>
      </c>
      <c r="CQ182" s="358">
        <v>145</v>
      </c>
      <c r="CR182" s="358">
        <v>150</v>
      </c>
      <c r="CS182" s="358">
        <v>125</v>
      </c>
      <c r="CT182" s="358">
        <v>130</v>
      </c>
      <c r="CU182" s="358">
        <v>136</v>
      </c>
      <c r="CV182" s="358">
        <v>142</v>
      </c>
      <c r="CW182" s="358">
        <v>148</v>
      </c>
      <c r="CX182" s="358">
        <v>153</v>
      </c>
      <c r="CY182" s="358">
        <v>160</v>
      </c>
      <c r="CZ182" s="358">
        <v>163</v>
      </c>
      <c r="DA182" s="358">
        <v>167</v>
      </c>
      <c r="DB182" s="358">
        <v>172</v>
      </c>
      <c r="DC182" s="358">
        <v>183</v>
      </c>
      <c r="DD182" s="358">
        <v>193</v>
      </c>
      <c r="DE182" s="358">
        <v>197</v>
      </c>
      <c r="DF182" s="358">
        <v>203</v>
      </c>
      <c r="DG182" s="358">
        <v>212</v>
      </c>
      <c r="DH182" s="358">
        <v>217</v>
      </c>
      <c r="DI182" s="358">
        <v>224</v>
      </c>
      <c r="DJ182" s="358">
        <v>233</v>
      </c>
      <c r="DK182" s="358">
        <v>240</v>
      </c>
      <c r="DL182" s="358">
        <v>248</v>
      </c>
      <c r="DM182" s="358">
        <v>260</v>
      </c>
      <c r="DN182" s="358">
        <v>263</v>
      </c>
      <c r="DO182" s="358">
        <v>274</v>
      </c>
      <c r="DP182" s="358">
        <v>283</v>
      </c>
      <c r="DQ182" s="358">
        <v>126</v>
      </c>
      <c r="DR182" s="358">
        <v>131</v>
      </c>
      <c r="DS182" s="358">
        <v>135</v>
      </c>
      <c r="DT182" s="358">
        <v>137</v>
      </c>
      <c r="DU182" s="358">
        <v>140</v>
      </c>
      <c r="DV182" s="358">
        <v>141</v>
      </c>
      <c r="DW182" s="358">
        <v>147</v>
      </c>
      <c r="DX182" s="358">
        <v>150</v>
      </c>
      <c r="DY182" s="358">
        <v>156</v>
      </c>
      <c r="DZ182" s="358">
        <v>161</v>
      </c>
      <c r="EA182" s="358">
        <v>165</v>
      </c>
      <c r="EB182" s="358">
        <v>169</v>
      </c>
      <c r="EC182" s="358">
        <v>174</v>
      </c>
      <c r="ED182" s="358">
        <v>180</v>
      </c>
      <c r="EE182" s="358">
        <v>186</v>
      </c>
      <c r="EF182" s="358">
        <v>189</v>
      </c>
      <c r="EG182" s="358">
        <v>193</v>
      </c>
      <c r="EH182" s="358">
        <v>198</v>
      </c>
      <c r="EI182" s="358">
        <v>203</v>
      </c>
      <c r="EJ182" s="358">
        <v>207</v>
      </c>
      <c r="EK182" s="358">
        <v>212</v>
      </c>
      <c r="EL182" s="358">
        <v>216</v>
      </c>
      <c r="EM182" s="358">
        <v>265</v>
      </c>
      <c r="EN182" s="358">
        <v>277</v>
      </c>
      <c r="EO182" s="358">
        <v>288</v>
      </c>
      <c r="EP182" s="358">
        <v>298</v>
      </c>
      <c r="EQ182" s="358">
        <v>305</v>
      </c>
      <c r="ES182" s="358">
        <v>317</v>
      </c>
      <c r="ET182" s="358">
        <v>322</v>
      </c>
      <c r="EU182" s="358">
        <v>331</v>
      </c>
      <c r="EV182" s="358">
        <v>337</v>
      </c>
      <c r="EW182" s="358">
        <v>261</v>
      </c>
      <c r="EX182" s="358">
        <v>272</v>
      </c>
      <c r="EY182" s="358">
        <v>283</v>
      </c>
      <c r="EZ182" s="358">
        <v>299</v>
      </c>
      <c r="FA182" s="358">
        <v>307</v>
      </c>
      <c r="FB182" s="358">
        <v>317</v>
      </c>
      <c r="FC182" s="358">
        <v>331</v>
      </c>
      <c r="FD182" s="358">
        <v>343</v>
      </c>
      <c r="FE182" s="358">
        <v>350</v>
      </c>
      <c r="FF182" s="358">
        <v>355</v>
      </c>
      <c r="FG182" s="358">
        <v>367</v>
      </c>
      <c r="FH182" s="358">
        <v>376</v>
      </c>
      <c r="FI182" s="358">
        <v>387</v>
      </c>
      <c r="FJ182" s="358">
        <v>393</v>
      </c>
      <c r="FK182" s="358">
        <v>398</v>
      </c>
      <c r="FL182" s="358">
        <v>240</v>
      </c>
      <c r="FM182" s="358">
        <v>250</v>
      </c>
      <c r="FN182" s="358">
        <v>256</v>
      </c>
      <c r="FO182" s="358">
        <v>263</v>
      </c>
      <c r="FP182" s="358">
        <v>276</v>
      </c>
      <c r="FQ182" s="358">
        <v>291</v>
      </c>
      <c r="FR182" s="358">
        <v>299</v>
      </c>
      <c r="FS182" s="358">
        <v>306</v>
      </c>
      <c r="FT182" s="358">
        <v>313</v>
      </c>
      <c r="FU182" s="358">
        <v>320</v>
      </c>
      <c r="FV182" s="358">
        <v>330</v>
      </c>
      <c r="FW182" s="358">
        <v>47</v>
      </c>
      <c r="FX182" s="358">
        <v>0</v>
      </c>
      <c r="FY182" s="358">
        <v>7</v>
      </c>
      <c r="FZ182" s="358">
        <v>35</v>
      </c>
      <c r="GA182" s="358">
        <v>104</v>
      </c>
      <c r="GB182" s="358">
        <v>378</v>
      </c>
      <c r="GC182" s="358">
        <v>230</v>
      </c>
      <c r="GD182" s="358">
        <v>266</v>
      </c>
      <c r="GE182" s="358">
        <v>295</v>
      </c>
      <c r="GF182" s="358">
        <v>287</v>
      </c>
      <c r="GG182" s="358">
        <v>211</v>
      </c>
      <c r="GH182" s="358">
        <v>223</v>
      </c>
      <c r="GI182" s="361">
        <v>249</v>
      </c>
    </row>
    <row r="183" spans="1:191">
      <c r="A183" s="336" t="s">
        <v>316</v>
      </c>
      <c r="B183" s="358">
        <v>126</v>
      </c>
      <c r="C183" s="358">
        <v>130</v>
      </c>
      <c r="D183" s="358">
        <v>132</v>
      </c>
      <c r="E183" s="358">
        <v>133</v>
      </c>
      <c r="F183" s="358">
        <v>136</v>
      </c>
      <c r="G183" s="358">
        <v>139</v>
      </c>
      <c r="H183" s="358">
        <v>142</v>
      </c>
      <c r="I183" s="358">
        <v>144</v>
      </c>
      <c r="J183" s="358">
        <v>147</v>
      </c>
      <c r="K183" s="358">
        <v>151</v>
      </c>
      <c r="L183" s="358">
        <v>153</v>
      </c>
      <c r="M183" s="358">
        <v>156</v>
      </c>
      <c r="N183" s="358">
        <v>158</v>
      </c>
      <c r="O183" s="358">
        <v>163</v>
      </c>
      <c r="P183" s="358">
        <v>169</v>
      </c>
      <c r="Q183" s="358">
        <v>171</v>
      </c>
      <c r="R183" s="358">
        <v>174</v>
      </c>
      <c r="S183" s="358">
        <v>176</v>
      </c>
      <c r="T183" s="358">
        <v>179</v>
      </c>
      <c r="U183" s="358">
        <v>182</v>
      </c>
      <c r="V183" s="358">
        <v>128</v>
      </c>
      <c r="W183" s="358">
        <v>130</v>
      </c>
      <c r="X183" s="358">
        <v>132</v>
      </c>
      <c r="Y183" s="358">
        <v>134</v>
      </c>
      <c r="Z183" s="358">
        <v>136</v>
      </c>
      <c r="AA183" s="358">
        <v>137</v>
      </c>
      <c r="AB183" s="358">
        <v>139</v>
      </c>
      <c r="AC183" s="358">
        <v>142</v>
      </c>
      <c r="AD183" s="358">
        <v>144</v>
      </c>
      <c r="AE183" s="358">
        <v>149</v>
      </c>
      <c r="AF183" s="358">
        <v>154</v>
      </c>
      <c r="AG183" s="358">
        <v>159</v>
      </c>
      <c r="AH183" s="358">
        <v>160</v>
      </c>
      <c r="AI183" s="358">
        <v>161</v>
      </c>
      <c r="AJ183" s="358">
        <v>165</v>
      </c>
      <c r="AK183" s="358">
        <v>171</v>
      </c>
      <c r="AL183" s="358">
        <v>177</v>
      </c>
      <c r="AM183" s="358">
        <v>182</v>
      </c>
      <c r="AN183" s="358">
        <v>188</v>
      </c>
      <c r="AO183" s="358">
        <v>192</v>
      </c>
      <c r="AP183" s="358">
        <v>198</v>
      </c>
      <c r="AQ183" s="358">
        <v>204</v>
      </c>
      <c r="AR183" s="358">
        <v>208</v>
      </c>
      <c r="AS183" s="358">
        <v>220</v>
      </c>
      <c r="AT183" s="358">
        <v>228</v>
      </c>
      <c r="AU183" s="358">
        <v>238</v>
      </c>
      <c r="AV183" s="358">
        <v>247</v>
      </c>
      <c r="AW183" s="358">
        <v>255</v>
      </c>
      <c r="AX183" s="358">
        <v>123</v>
      </c>
      <c r="AY183" s="358">
        <v>133</v>
      </c>
      <c r="AZ183" s="358">
        <v>134</v>
      </c>
      <c r="BA183" s="358">
        <v>135</v>
      </c>
      <c r="BB183" s="358">
        <v>136</v>
      </c>
      <c r="BC183" s="358">
        <v>139</v>
      </c>
      <c r="BD183" s="358">
        <v>143</v>
      </c>
      <c r="BE183" s="358">
        <v>145</v>
      </c>
      <c r="BF183" s="358">
        <v>146</v>
      </c>
      <c r="BG183" s="358">
        <v>149</v>
      </c>
      <c r="BH183" s="358">
        <v>150</v>
      </c>
      <c r="BI183" s="358">
        <v>151</v>
      </c>
      <c r="BJ183" s="358">
        <v>153</v>
      </c>
      <c r="BK183" s="358">
        <v>154</v>
      </c>
      <c r="BL183" s="358">
        <v>155</v>
      </c>
      <c r="BM183" s="358">
        <v>157</v>
      </c>
      <c r="BN183" s="358">
        <v>158</v>
      </c>
      <c r="BO183" s="358">
        <v>161</v>
      </c>
      <c r="BP183" s="358">
        <v>166</v>
      </c>
      <c r="BQ183" s="358">
        <v>170</v>
      </c>
      <c r="BR183" s="358">
        <v>180</v>
      </c>
      <c r="BS183" s="358">
        <v>187</v>
      </c>
      <c r="BT183" s="358">
        <v>191</v>
      </c>
      <c r="BU183" s="358">
        <v>194</v>
      </c>
      <c r="BV183" s="358">
        <v>121</v>
      </c>
      <c r="BW183" s="358">
        <v>120</v>
      </c>
      <c r="BX183" s="358">
        <v>117</v>
      </c>
      <c r="BY183" s="358">
        <v>113</v>
      </c>
      <c r="BZ183" s="358">
        <v>108</v>
      </c>
      <c r="CA183" s="358">
        <v>104</v>
      </c>
      <c r="CB183" s="358">
        <v>97</v>
      </c>
      <c r="CC183" s="358">
        <v>92</v>
      </c>
      <c r="CD183" s="358">
        <v>89</v>
      </c>
      <c r="CE183" s="358">
        <v>85</v>
      </c>
      <c r="CF183" s="358">
        <v>83</v>
      </c>
      <c r="CG183" s="358">
        <v>90</v>
      </c>
      <c r="CH183" s="358">
        <v>92</v>
      </c>
      <c r="CI183" s="358">
        <v>96</v>
      </c>
      <c r="CJ183" s="358">
        <v>99</v>
      </c>
      <c r="CK183" s="358">
        <v>106</v>
      </c>
      <c r="CL183" s="358">
        <v>112</v>
      </c>
      <c r="CM183" s="358">
        <v>116</v>
      </c>
      <c r="CN183" s="358">
        <v>121</v>
      </c>
      <c r="CO183" s="358">
        <v>128</v>
      </c>
      <c r="CP183" s="358">
        <v>139</v>
      </c>
      <c r="CQ183" s="358">
        <v>152</v>
      </c>
      <c r="CR183" s="358">
        <v>157</v>
      </c>
      <c r="CS183" s="358">
        <v>132</v>
      </c>
      <c r="CT183" s="358">
        <v>137</v>
      </c>
      <c r="CU183" s="358">
        <v>143</v>
      </c>
      <c r="CV183" s="358">
        <v>149</v>
      </c>
      <c r="CW183" s="358">
        <v>155</v>
      </c>
      <c r="CX183" s="358">
        <v>160</v>
      </c>
      <c r="CY183" s="358">
        <v>167</v>
      </c>
      <c r="CZ183" s="358">
        <v>170</v>
      </c>
      <c r="DA183" s="358">
        <v>174</v>
      </c>
      <c r="DB183" s="358">
        <v>179</v>
      </c>
      <c r="DC183" s="358">
        <v>190</v>
      </c>
      <c r="DD183" s="358">
        <v>200</v>
      </c>
      <c r="DE183" s="358">
        <v>204</v>
      </c>
      <c r="DF183" s="358">
        <v>210</v>
      </c>
      <c r="DG183" s="358">
        <v>219</v>
      </c>
      <c r="DH183" s="358">
        <v>224</v>
      </c>
      <c r="DI183" s="358">
        <v>231</v>
      </c>
      <c r="DJ183" s="358">
        <v>240</v>
      </c>
      <c r="DK183" s="358">
        <v>247</v>
      </c>
      <c r="DL183" s="358">
        <v>255</v>
      </c>
      <c r="DM183" s="358">
        <v>267</v>
      </c>
      <c r="DN183" s="358">
        <v>270</v>
      </c>
      <c r="DO183" s="358">
        <v>281</v>
      </c>
      <c r="DP183" s="358">
        <v>290</v>
      </c>
      <c r="DQ183" s="358">
        <v>133</v>
      </c>
      <c r="DR183" s="358">
        <v>138</v>
      </c>
      <c r="DS183" s="358">
        <v>142</v>
      </c>
      <c r="DT183" s="358">
        <v>144</v>
      </c>
      <c r="DU183" s="358">
        <v>147</v>
      </c>
      <c r="DV183" s="358">
        <v>148</v>
      </c>
      <c r="DW183" s="358">
        <v>154</v>
      </c>
      <c r="DX183" s="358">
        <v>157</v>
      </c>
      <c r="DY183" s="358">
        <v>163</v>
      </c>
      <c r="DZ183" s="358">
        <v>168</v>
      </c>
      <c r="EA183" s="358">
        <v>172</v>
      </c>
      <c r="EB183" s="358">
        <v>176</v>
      </c>
      <c r="EC183" s="358">
        <v>181</v>
      </c>
      <c r="ED183" s="358">
        <v>187</v>
      </c>
      <c r="EE183" s="358">
        <v>193</v>
      </c>
      <c r="EF183" s="358">
        <v>196</v>
      </c>
      <c r="EG183" s="358">
        <v>200</v>
      </c>
      <c r="EH183" s="358">
        <v>205</v>
      </c>
      <c r="EI183" s="358">
        <v>210</v>
      </c>
      <c r="EJ183" s="358">
        <v>214</v>
      </c>
      <c r="EK183" s="358">
        <v>219</v>
      </c>
      <c r="EL183" s="358">
        <v>223</v>
      </c>
      <c r="EM183" s="358">
        <v>272</v>
      </c>
      <c r="EN183" s="358">
        <v>284</v>
      </c>
      <c r="EO183" s="358">
        <v>295</v>
      </c>
      <c r="EP183" s="358">
        <v>305</v>
      </c>
      <c r="EQ183" s="358">
        <v>312</v>
      </c>
      <c r="ES183" s="358">
        <v>324</v>
      </c>
      <c r="ET183" s="358">
        <v>329</v>
      </c>
      <c r="EU183" s="358">
        <v>338</v>
      </c>
      <c r="EV183" s="358">
        <v>344</v>
      </c>
      <c r="EW183" s="358">
        <v>268</v>
      </c>
      <c r="EX183" s="358">
        <v>279</v>
      </c>
      <c r="EY183" s="358">
        <v>290</v>
      </c>
      <c r="EZ183" s="358">
        <v>306</v>
      </c>
      <c r="FA183" s="358">
        <v>314</v>
      </c>
      <c r="FB183" s="358">
        <v>324</v>
      </c>
      <c r="FC183" s="358">
        <v>338</v>
      </c>
      <c r="FD183" s="358">
        <v>350</v>
      </c>
      <c r="FE183" s="358">
        <v>357</v>
      </c>
      <c r="FF183" s="358">
        <v>362</v>
      </c>
      <c r="FG183" s="358">
        <v>374</v>
      </c>
      <c r="FH183" s="358">
        <v>383</v>
      </c>
      <c r="FI183" s="358">
        <v>394</v>
      </c>
      <c r="FJ183" s="358">
        <v>400</v>
      </c>
      <c r="FK183" s="358">
        <v>405</v>
      </c>
      <c r="FL183" s="358">
        <v>247</v>
      </c>
      <c r="FM183" s="358">
        <v>257</v>
      </c>
      <c r="FN183" s="358">
        <v>263</v>
      </c>
      <c r="FO183" s="358">
        <v>270</v>
      </c>
      <c r="FP183" s="358">
        <v>283</v>
      </c>
      <c r="FQ183" s="358">
        <v>298</v>
      </c>
      <c r="FR183" s="358">
        <v>306</v>
      </c>
      <c r="FS183" s="358">
        <v>313</v>
      </c>
      <c r="FT183" s="358">
        <v>320</v>
      </c>
      <c r="FU183" s="358">
        <v>327</v>
      </c>
      <c r="FV183" s="358">
        <v>337</v>
      </c>
      <c r="FW183" s="358">
        <v>54</v>
      </c>
      <c r="FX183" s="358">
        <v>7</v>
      </c>
      <c r="FY183" s="358">
        <v>0</v>
      </c>
      <c r="FZ183" s="358">
        <v>28</v>
      </c>
      <c r="GA183" s="358">
        <v>97</v>
      </c>
      <c r="GB183" s="358">
        <v>385</v>
      </c>
      <c r="GC183" s="358">
        <v>237</v>
      </c>
      <c r="GD183" s="358">
        <v>273</v>
      </c>
      <c r="GE183" s="358">
        <v>302</v>
      </c>
      <c r="GF183" s="358">
        <v>294</v>
      </c>
      <c r="GG183" s="358">
        <v>218</v>
      </c>
      <c r="GH183" s="358">
        <v>230</v>
      </c>
      <c r="GI183" s="361">
        <v>256</v>
      </c>
    </row>
    <row r="184" spans="1:191">
      <c r="A184" s="336" t="s">
        <v>315</v>
      </c>
      <c r="B184" s="358">
        <v>154</v>
      </c>
      <c r="C184" s="358">
        <v>158</v>
      </c>
      <c r="D184" s="358">
        <v>160</v>
      </c>
      <c r="E184" s="358">
        <v>161</v>
      </c>
      <c r="F184" s="358">
        <v>164</v>
      </c>
      <c r="G184" s="358">
        <v>167</v>
      </c>
      <c r="H184" s="358">
        <v>170</v>
      </c>
      <c r="I184" s="358">
        <v>172</v>
      </c>
      <c r="J184" s="358">
        <v>175</v>
      </c>
      <c r="K184" s="358">
        <v>179</v>
      </c>
      <c r="L184" s="358">
        <v>181</v>
      </c>
      <c r="M184" s="358">
        <v>184</v>
      </c>
      <c r="N184" s="358">
        <v>186</v>
      </c>
      <c r="O184" s="358">
        <v>191</v>
      </c>
      <c r="P184" s="358">
        <v>197</v>
      </c>
      <c r="Q184" s="358">
        <v>199</v>
      </c>
      <c r="R184" s="358">
        <v>202</v>
      </c>
      <c r="S184" s="358">
        <v>204</v>
      </c>
      <c r="T184" s="358">
        <v>207</v>
      </c>
      <c r="U184" s="358">
        <v>210</v>
      </c>
      <c r="V184" s="358">
        <v>156</v>
      </c>
      <c r="W184" s="358">
        <v>158</v>
      </c>
      <c r="X184" s="358">
        <v>160</v>
      </c>
      <c r="Y184" s="358">
        <v>162</v>
      </c>
      <c r="Z184" s="358">
        <v>164</v>
      </c>
      <c r="AA184" s="358">
        <v>165</v>
      </c>
      <c r="AB184" s="358">
        <v>167</v>
      </c>
      <c r="AC184" s="358">
        <v>170</v>
      </c>
      <c r="AD184" s="358">
        <v>172</v>
      </c>
      <c r="AE184" s="358">
        <v>177</v>
      </c>
      <c r="AF184" s="358">
        <v>182</v>
      </c>
      <c r="AG184" s="358">
        <v>187</v>
      </c>
      <c r="AH184" s="358">
        <v>188</v>
      </c>
      <c r="AI184" s="358">
        <v>189</v>
      </c>
      <c r="AJ184" s="358">
        <v>193</v>
      </c>
      <c r="AK184" s="358">
        <v>199</v>
      </c>
      <c r="AL184" s="358">
        <v>205</v>
      </c>
      <c r="AM184" s="358">
        <v>210</v>
      </c>
      <c r="AN184" s="358">
        <v>216</v>
      </c>
      <c r="AO184" s="358">
        <v>220</v>
      </c>
      <c r="AP184" s="358">
        <v>226</v>
      </c>
      <c r="AQ184" s="358">
        <v>232</v>
      </c>
      <c r="AR184" s="358">
        <v>236</v>
      </c>
      <c r="AS184" s="358">
        <v>248</v>
      </c>
      <c r="AT184" s="358">
        <v>256</v>
      </c>
      <c r="AU184" s="358">
        <v>266</v>
      </c>
      <c r="AV184" s="358">
        <v>275</v>
      </c>
      <c r="AW184" s="358">
        <v>283</v>
      </c>
      <c r="AX184" s="358">
        <v>151</v>
      </c>
      <c r="AY184" s="358">
        <v>161</v>
      </c>
      <c r="AZ184" s="358">
        <v>162</v>
      </c>
      <c r="BA184" s="358">
        <v>163</v>
      </c>
      <c r="BB184" s="358">
        <v>164</v>
      </c>
      <c r="BC184" s="358">
        <v>167</v>
      </c>
      <c r="BD184" s="358">
        <v>171</v>
      </c>
      <c r="BE184" s="358">
        <v>173</v>
      </c>
      <c r="BF184" s="358">
        <v>174</v>
      </c>
      <c r="BG184" s="358">
        <v>177</v>
      </c>
      <c r="BH184" s="358">
        <v>178</v>
      </c>
      <c r="BI184" s="358">
        <v>179</v>
      </c>
      <c r="BJ184" s="358">
        <v>181</v>
      </c>
      <c r="BK184" s="358">
        <v>182</v>
      </c>
      <c r="BL184" s="358">
        <v>183</v>
      </c>
      <c r="BM184" s="358">
        <v>185</v>
      </c>
      <c r="BN184" s="358">
        <v>186</v>
      </c>
      <c r="BO184" s="358">
        <v>189</v>
      </c>
      <c r="BP184" s="358">
        <v>194</v>
      </c>
      <c r="BQ184" s="358">
        <v>198</v>
      </c>
      <c r="BR184" s="358">
        <v>208</v>
      </c>
      <c r="BS184" s="358">
        <v>215</v>
      </c>
      <c r="BT184" s="358">
        <v>219</v>
      </c>
      <c r="BU184" s="358">
        <v>222</v>
      </c>
      <c r="BV184" s="358">
        <v>149</v>
      </c>
      <c r="BW184" s="358">
        <v>148</v>
      </c>
      <c r="BX184" s="358">
        <v>145</v>
      </c>
      <c r="BY184" s="358">
        <v>141</v>
      </c>
      <c r="BZ184" s="358">
        <v>136</v>
      </c>
      <c r="CA184" s="358">
        <v>132</v>
      </c>
      <c r="CB184" s="358">
        <v>125</v>
      </c>
      <c r="CC184" s="358">
        <v>120</v>
      </c>
      <c r="CD184" s="358">
        <v>117</v>
      </c>
      <c r="CE184" s="358">
        <v>113</v>
      </c>
      <c r="CF184" s="358">
        <v>111</v>
      </c>
      <c r="CG184" s="358">
        <v>118</v>
      </c>
      <c r="CH184" s="358">
        <v>120</v>
      </c>
      <c r="CI184" s="358">
        <v>124</v>
      </c>
      <c r="CJ184" s="358">
        <v>127</v>
      </c>
      <c r="CK184" s="358">
        <v>134</v>
      </c>
      <c r="CL184" s="358">
        <v>140</v>
      </c>
      <c r="CM184" s="358">
        <v>144</v>
      </c>
      <c r="CN184" s="358">
        <v>149</v>
      </c>
      <c r="CO184" s="358">
        <v>156</v>
      </c>
      <c r="CP184" s="358">
        <v>167</v>
      </c>
      <c r="CQ184" s="358">
        <v>180</v>
      </c>
      <c r="CR184" s="358">
        <v>185</v>
      </c>
      <c r="CS184" s="358">
        <v>160</v>
      </c>
      <c r="CT184" s="358">
        <v>165</v>
      </c>
      <c r="CU184" s="358">
        <v>171</v>
      </c>
      <c r="CV184" s="358">
        <v>177</v>
      </c>
      <c r="CW184" s="358">
        <v>183</v>
      </c>
      <c r="CX184" s="358">
        <v>188</v>
      </c>
      <c r="CY184" s="358">
        <v>195</v>
      </c>
      <c r="CZ184" s="358">
        <v>198</v>
      </c>
      <c r="DA184" s="358">
        <v>202</v>
      </c>
      <c r="DB184" s="358">
        <v>207</v>
      </c>
      <c r="DC184" s="358">
        <v>218</v>
      </c>
      <c r="DD184" s="358">
        <v>228</v>
      </c>
      <c r="DE184" s="358">
        <v>232</v>
      </c>
      <c r="DF184" s="358">
        <v>238</v>
      </c>
      <c r="DG184" s="358">
        <v>247</v>
      </c>
      <c r="DH184" s="358">
        <v>252</v>
      </c>
      <c r="DI184" s="358">
        <v>259</v>
      </c>
      <c r="DJ184" s="358">
        <v>268</v>
      </c>
      <c r="DK184" s="358">
        <v>275</v>
      </c>
      <c r="DL184" s="358">
        <v>283</v>
      </c>
      <c r="DM184" s="358">
        <v>295</v>
      </c>
      <c r="DN184" s="358">
        <v>298</v>
      </c>
      <c r="DO184" s="358">
        <v>309</v>
      </c>
      <c r="DP184" s="358">
        <v>318</v>
      </c>
      <c r="DQ184" s="358">
        <v>161</v>
      </c>
      <c r="DR184" s="358">
        <v>166</v>
      </c>
      <c r="DS184" s="358">
        <v>170</v>
      </c>
      <c r="DT184" s="358">
        <v>172</v>
      </c>
      <c r="DU184" s="358">
        <v>175</v>
      </c>
      <c r="DV184" s="358">
        <v>176</v>
      </c>
      <c r="DW184" s="358">
        <v>182</v>
      </c>
      <c r="DX184" s="358">
        <v>185</v>
      </c>
      <c r="DY184" s="358">
        <v>191</v>
      </c>
      <c r="DZ184" s="358">
        <v>196</v>
      </c>
      <c r="EA184" s="358">
        <v>200</v>
      </c>
      <c r="EB184" s="358">
        <v>204</v>
      </c>
      <c r="EC184" s="358">
        <v>209</v>
      </c>
      <c r="ED184" s="358">
        <v>215</v>
      </c>
      <c r="EE184" s="358">
        <v>221</v>
      </c>
      <c r="EF184" s="358">
        <v>224</v>
      </c>
      <c r="EG184" s="358">
        <v>228</v>
      </c>
      <c r="EH184" s="358">
        <v>233</v>
      </c>
      <c r="EI184" s="358">
        <v>238</v>
      </c>
      <c r="EJ184" s="358">
        <v>242</v>
      </c>
      <c r="EK184" s="358">
        <v>247</v>
      </c>
      <c r="EL184" s="358">
        <v>251</v>
      </c>
      <c r="EM184" s="358">
        <v>300</v>
      </c>
      <c r="EN184" s="358">
        <v>312</v>
      </c>
      <c r="EO184" s="358">
        <v>323</v>
      </c>
      <c r="EP184" s="358">
        <v>333</v>
      </c>
      <c r="EQ184" s="358">
        <v>340</v>
      </c>
      <c r="ES184" s="358">
        <v>352</v>
      </c>
      <c r="ET184" s="358">
        <v>357</v>
      </c>
      <c r="EU184" s="358">
        <v>366</v>
      </c>
      <c r="EV184" s="358">
        <v>372</v>
      </c>
      <c r="EW184" s="358">
        <v>296</v>
      </c>
      <c r="EX184" s="358">
        <v>307</v>
      </c>
      <c r="EY184" s="358">
        <v>318</v>
      </c>
      <c r="EZ184" s="358">
        <v>334</v>
      </c>
      <c r="FA184" s="358">
        <v>342</v>
      </c>
      <c r="FB184" s="358">
        <v>352</v>
      </c>
      <c r="FC184" s="358">
        <v>366</v>
      </c>
      <c r="FD184" s="358">
        <v>378</v>
      </c>
      <c r="FE184" s="358">
        <v>385</v>
      </c>
      <c r="FF184" s="358">
        <v>390</v>
      </c>
      <c r="FG184" s="358">
        <v>402</v>
      </c>
      <c r="FH184" s="358">
        <v>411</v>
      </c>
      <c r="FI184" s="358">
        <v>422</v>
      </c>
      <c r="FJ184" s="358">
        <v>428</v>
      </c>
      <c r="FK184" s="358">
        <v>433</v>
      </c>
      <c r="FL184" s="358">
        <v>275</v>
      </c>
      <c r="FM184" s="358">
        <v>285</v>
      </c>
      <c r="FN184" s="358">
        <v>291</v>
      </c>
      <c r="FO184" s="358">
        <v>298</v>
      </c>
      <c r="FP184" s="358">
        <v>311</v>
      </c>
      <c r="FQ184" s="358">
        <v>326</v>
      </c>
      <c r="FR184" s="358">
        <v>334</v>
      </c>
      <c r="FS184" s="358">
        <v>341</v>
      </c>
      <c r="FT184" s="358">
        <v>348</v>
      </c>
      <c r="FU184" s="358">
        <v>355</v>
      </c>
      <c r="FV184" s="358">
        <v>365</v>
      </c>
      <c r="FW184" s="358">
        <v>82</v>
      </c>
      <c r="FX184" s="358">
        <v>35</v>
      </c>
      <c r="FY184" s="358">
        <v>28</v>
      </c>
      <c r="FZ184" s="358">
        <v>0</v>
      </c>
      <c r="GA184" s="358">
        <v>69</v>
      </c>
      <c r="GB184" s="358">
        <v>413</v>
      </c>
      <c r="GC184" s="358">
        <v>265</v>
      </c>
      <c r="GD184" s="358">
        <v>301</v>
      </c>
      <c r="GE184" s="358">
        <v>330</v>
      </c>
      <c r="GF184" s="358">
        <v>322</v>
      </c>
      <c r="GG184" s="358">
        <v>246</v>
      </c>
      <c r="GH184" s="358">
        <v>258</v>
      </c>
      <c r="GI184" s="361">
        <v>284</v>
      </c>
    </row>
    <row r="185" spans="1:191">
      <c r="A185" s="336" t="s">
        <v>314</v>
      </c>
      <c r="B185" s="358">
        <v>223</v>
      </c>
      <c r="C185" s="358">
        <v>227</v>
      </c>
      <c r="D185" s="358">
        <v>229</v>
      </c>
      <c r="E185" s="358">
        <v>230</v>
      </c>
      <c r="F185" s="358">
        <v>233</v>
      </c>
      <c r="G185" s="358">
        <v>236</v>
      </c>
      <c r="H185" s="358">
        <v>239</v>
      </c>
      <c r="I185" s="358">
        <v>241</v>
      </c>
      <c r="J185" s="358">
        <v>244</v>
      </c>
      <c r="K185" s="358">
        <v>248</v>
      </c>
      <c r="L185" s="358">
        <v>250</v>
      </c>
      <c r="M185" s="358">
        <v>253</v>
      </c>
      <c r="N185" s="358">
        <v>255</v>
      </c>
      <c r="O185" s="358">
        <v>260</v>
      </c>
      <c r="P185" s="358">
        <v>266</v>
      </c>
      <c r="Q185" s="358">
        <v>268</v>
      </c>
      <c r="R185" s="358">
        <v>271</v>
      </c>
      <c r="S185" s="358">
        <v>273</v>
      </c>
      <c r="T185" s="358">
        <v>276</v>
      </c>
      <c r="U185" s="358">
        <v>279</v>
      </c>
      <c r="V185" s="358">
        <v>225</v>
      </c>
      <c r="W185" s="358">
        <v>227</v>
      </c>
      <c r="X185" s="358">
        <v>229</v>
      </c>
      <c r="Y185" s="358">
        <v>231</v>
      </c>
      <c r="Z185" s="358">
        <v>233</v>
      </c>
      <c r="AA185" s="358">
        <v>234</v>
      </c>
      <c r="AB185" s="358">
        <v>236</v>
      </c>
      <c r="AC185" s="358">
        <v>239</v>
      </c>
      <c r="AD185" s="358">
        <v>241</v>
      </c>
      <c r="AE185" s="358">
        <v>246</v>
      </c>
      <c r="AF185" s="358">
        <v>251</v>
      </c>
      <c r="AG185" s="358">
        <v>256</v>
      </c>
      <c r="AH185" s="358">
        <v>257</v>
      </c>
      <c r="AI185" s="358">
        <v>258</v>
      </c>
      <c r="AJ185" s="358">
        <v>262</v>
      </c>
      <c r="AK185" s="358">
        <v>268</v>
      </c>
      <c r="AL185" s="358">
        <v>274</v>
      </c>
      <c r="AM185" s="358">
        <v>279</v>
      </c>
      <c r="AN185" s="358">
        <v>285</v>
      </c>
      <c r="AO185" s="358">
        <v>289</v>
      </c>
      <c r="AP185" s="358">
        <v>295</v>
      </c>
      <c r="AQ185" s="358">
        <v>301</v>
      </c>
      <c r="AR185" s="358">
        <v>305</v>
      </c>
      <c r="AS185" s="358">
        <v>317</v>
      </c>
      <c r="AT185" s="358">
        <v>325</v>
      </c>
      <c r="AU185" s="358">
        <v>335</v>
      </c>
      <c r="AV185" s="358">
        <v>344</v>
      </c>
      <c r="AW185" s="358">
        <v>352</v>
      </c>
      <c r="AX185" s="358">
        <v>220</v>
      </c>
      <c r="AY185" s="358">
        <v>230</v>
      </c>
      <c r="AZ185" s="358">
        <v>231</v>
      </c>
      <c r="BA185" s="358">
        <v>232</v>
      </c>
      <c r="BB185" s="358">
        <v>233</v>
      </c>
      <c r="BC185" s="358">
        <v>236</v>
      </c>
      <c r="BD185" s="358">
        <v>240</v>
      </c>
      <c r="BE185" s="358">
        <v>242</v>
      </c>
      <c r="BF185" s="358">
        <v>243</v>
      </c>
      <c r="BG185" s="358">
        <v>246</v>
      </c>
      <c r="BH185" s="358">
        <v>247</v>
      </c>
      <c r="BI185" s="358">
        <v>248</v>
      </c>
      <c r="BJ185" s="358">
        <v>250</v>
      </c>
      <c r="BK185" s="358">
        <v>251</v>
      </c>
      <c r="BL185" s="358">
        <v>252</v>
      </c>
      <c r="BM185" s="358">
        <v>254</v>
      </c>
      <c r="BN185" s="358">
        <v>255</v>
      </c>
      <c r="BO185" s="358">
        <v>258</v>
      </c>
      <c r="BP185" s="358">
        <v>263</v>
      </c>
      <c r="BQ185" s="358">
        <v>267</v>
      </c>
      <c r="BR185" s="358">
        <v>277</v>
      </c>
      <c r="BS185" s="358">
        <v>284</v>
      </c>
      <c r="BT185" s="358">
        <v>288</v>
      </c>
      <c r="BU185" s="358">
        <v>291</v>
      </c>
      <c r="BV185" s="358">
        <v>218</v>
      </c>
      <c r="BW185" s="358">
        <v>217</v>
      </c>
      <c r="BX185" s="358">
        <v>214</v>
      </c>
      <c r="BY185" s="358">
        <v>210</v>
      </c>
      <c r="BZ185" s="358">
        <v>205</v>
      </c>
      <c r="CA185" s="358">
        <v>201</v>
      </c>
      <c r="CB185" s="358">
        <v>194</v>
      </c>
      <c r="CC185" s="358">
        <v>189</v>
      </c>
      <c r="CD185" s="358">
        <v>186</v>
      </c>
      <c r="CE185" s="358">
        <v>182</v>
      </c>
      <c r="CF185" s="358">
        <v>180</v>
      </c>
      <c r="CG185" s="358">
        <v>187</v>
      </c>
      <c r="CH185" s="358">
        <v>189</v>
      </c>
      <c r="CI185" s="358">
        <v>193</v>
      </c>
      <c r="CJ185" s="358">
        <v>196</v>
      </c>
      <c r="CK185" s="358">
        <v>203</v>
      </c>
      <c r="CL185" s="358">
        <v>209</v>
      </c>
      <c r="CM185" s="358">
        <v>213</v>
      </c>
      <c r="CN185" s="358">
        <v>218</v>
      </c>
      <c r="CO185" s="358">
        <v>225</v>
      </c>
      <c r="CP185" s="358">
        <v>236</v>
      </c>
      <c r="CQ185" s="358">
        <v>249</v>
      </c>
      <c r="CR185" s="358">
        <v>254</v>
      </c>
      <c r="CS185" s="358">
        <v>229</v>
      </c>
      <c r="CT185" s="358">
        <v>234</v>
      </c>
      <c r="CU185" s="358">
        <v>240</v>
      </c>
      <c r="CV185" s="358">
        <v>246</v>
      </c>
      <c r="CW185" s="358">
        <v>252</v>
      </c>
      <c r="CX185" s="358">
        <v>257</v>
      </c>
      <c r="CY185" s="358">
        <v>264</v>
      </c>
      <c r="CZ185" s="358">
        <v>267</v>
      </c>
      <c r="DA185" s="358">
        <v>271</v>
      </c>
      <c r="DB185" s="358">
        <v>276</v>
      </c>
      <c r="DC185" s="358">
        <v>287</v>
      </c>
      <c r="DD185" s="358">
        <v>297</v>
      </c>
      <c r="DE185" s="358">
        <v>301</v>
      </c>
      <c r="DF185" s="358">
        <v>307</v>
      </c>
      <c r="DG185" s="358">
        <v>316</v>
      </c>
      <c r="DH185" s="358">
        <v>321</v>
      </c>
      <c r="DI185" s="358">
        <v>328</v>
      </c>
      <c r="DJ185" s="358">
        <v>337</v>
      </c>
      <c r="DK185" s="358">
        <v>344</v>
      </c>
      <c r="DL185" s="358">
        <v>352</v>
      </c>
      <c r="DM185" s="358">
        <v>364</v>
      </c>
      <c r="DN185" s="358">
        <v>367</v>
      </c>
      <c r="DO185" s="358">
        <v>378</v>
      </c>
      <c r="DP185" s="358">
        <v>387</v>
      </c>
      <c r="DQ185" s="358">
        <v>230</v>
      </c>
      <c r="DR185" s="358">
        <v>235</v>
      </c>
      <c r="DS185" s="358">
        <v>239</v>
      </c>
      <c r="DT185" s="358">
        <v>241</v>
      </c>
      <c r="DU185" s="358">
        <v>244</v>
      </c>
      <c r="DV185" s="358">
        <v>245</v>
      </c>
      <c r="DW185" s="358">
        <v>251</v>
      </c>
      <c r="DX185" s="358">
        <v>254</v>
      </c>
      <c r="DY185" s="358">
        <v>260</v>
      </c>
      <c r="DZ185" s="358">
        <v>265</v>
      </c>
      <c r="EA185" s="358">
        <v>269</v>
      </c>
      <c r="EB185" s="358">
        <v>273</v>
      </c>
      <c r="EC185" s="358">
        <v>278</v>
      </c>
      <c r="ED185" s="358">
        <v>284</v>
      </c>
      <c r="EE185" s="358">
        <v>290</v>
      </c>
      <c r="EF185" s="358">
        <v>293</v>
      </c>
      <c r="EG185" s="358">
        <v>297</v>
      </c>
      <c r="EH185" s="358">
        <v>302</v>
      </c>
      <c r="EI185" s="358">
        <v>307</v>
      </c>
      <c r="EJ185" s="358">
        <v>311</v>
      </c>
      <c r="EK185" s="358">
        <v>316</v>
      </c>
      <c r="EL185" s="358">
        <v>320</v>
      </c>
      <c r="EM185" s="358">
        <v>369</v>
      </c>
      <c r="EN185" s="358">
        <v>381</v>
      </c>
      <c r="EO185" s="358">
        <v>392</v>
      </c>
      <c r="EP185" s="358">
        <v>402</v>
      </c>
      <c r="EQ185" s="358">
        <v>409</v>
      </c>
      <c r="ES185" s="358">
        <v>421</v>
      </c>
      <c r="ET185" s="358">
        <v>426</v>
      </c>
      <c r="EU185" s="358">
        <v>435</v>
      </c>
      <c r="EV185" s="358">
        <v>441</v>
      </c>
      <c r="EW185" s="358">
        <v>365</v>
      </c>
      <c r="EX185" s="358">
        <v>376</v>
      </c>
      <c r="EY185" s="358">
        <v>387</v>
      </c>
      <c r="EZ185" s="358">
        <v>403</v>
      </c>
      <c r="FA185" s="358">
        <v>411</v>
      </c>
      <c r="FB185" s="358">
        <v>421</v>
      </c>
      <c r="FC185" s="358">
        <v>435</v>
      </c>
      <c r="FD185" s="358">
        <v>447</v>
      </c>
      <c r="FE185" s="358">
        <v>454</v>
      </c>
      <c r="FF185" s="358">
        <v>459</v>
      </c>
      <c r="FG185" s="358">
        <v>471</v>
      </c>
      <c r="FH185" s="358">
        <v>480</v>
      </c>
      <c r="FI185" s="358">
        <v>491</v>
      </c>
      <c r="FJ185" s="358">
        <v>497</v>
      </c>
      <c r="FK185" s="358">
        <v>502</v>
      </c>
      <c r="FL185" s="358">
        <v>344</v>
      </c>
      <c r="FM185" s="358">
        <v>354</v>
      </c>
      <c r="FN185" s="358">
        <v>360</v>
      </c>
      <c r="FO185" s="358">
        <v>367</v>
      </c>
      <c r="FP185" s="358">
        <v>380</v>
      </c>
      <c r="FQ185" s="358">
        <v>395</v>
      </c>
      <c r="FR185" s="358">
        <v>403</v>
      </c>
      <c r="FS185" s="358">
        <v>410</v>
      </c>
      <c r="FT185" s="358">
        <v>417</v>
      </c>
      <c r="FU185" s="358">
        <v>424</v>
      </c>
      <c r="FV185" s="358">
        <v>434</v>
      </c>
      <c r="FW185" s="358">
        <v>151</v>
      </c>
      <c r="FX185" s="358">
        <v>104</v>
      </c>
      <c r="FY185" s="358">
        <v>97</v>
      </c>
      <c r="FZ185" s="358">
        <v>69</v>
      </c>
      <c r="GA185" s="358">
        <v>0</v>
      </c>
      <c r="GB185" s="358">
        <v>482</v>
      </c>
      <c r="GC185" s="358">
        <v>334</v>
      </c>
      <c r="GD185" s="358">
        <v>370</v>
      </c>
      <c r="GE185" s="358">
        <v>399</v>
      </c>
      <c r="GF185" s="358">
        <v>391</v>
      </c>
      <c r="GG185" s="358">
        <v>315</v>
      </c>
      <c r="GH185" s="358">
        <v>327</v>
      </c>
      <c r="GI185" s="361">
        <v>353</v>
      </c>
    </row>
    <row r="186" spans="1:191">
      <c r="A186" s="336" t="s">
        <v>313</v>
      </c>
      <c r="B186" s="358">
        <v>259</v>
      </c>
      <c r="C186" s="358">
        <v>263</v>
      </c>
      <c r="D186" s="358">
        <v>265</v>
      </c>
      <c r="E186" s="358">
        <v>266</v>
      </c>
      <c r="F186" s="358">
        <v>269</v>
      </c>
      <c r="G186" s="358">
        <v>272</v>
      </c>
      <c r="H186" s="358">
        <v>275</v>
      </c>
      <c r="I186" s="358">
        <v>277</v>
      </c>
      <c r="J186" s="358">
        <v>280</v>
      </c>
      <c r="K186" s="358">
        <v>284</v>
      </c>
      <c r="L186" s="358">
        <v>286</v>
      </c>
      <c r="M186" s="358">
        <v>289</v>
      </c>
      <c r="N186" s="358">
        <v>291</v>
      </c>
      <c r="O186" s="358">
        <v>296</v>
      </c>
      <c r="P186" s="358">
        <v>302</v>
      </c>
      <c r="Q186" s="358">
        <v>304</v>
      </c>
      <c r="R186" s="358">
        <v>307</v>
      </c>
      <c r="S186" s="358">
        <v>309</v>
      </c>
      <c r="T186" s="358">
        <v>312</v>
      </c>
      <c r="U186" s="358">
        <v>315</v>
      </c>
      <c r="V186" s="358">
        <v>257</v>
      </c>
      <c r="W186" s="358">
        <v>255</v>
      </c>
      <c r="X186" s="358">
        <v>253</v>
      </c>
      <c r="Y186" s="358">
        <v>251</v>
      </c>
      <c r="Z186" s="358">
        <v>249</v>
      </c>
      <c r="AA186" s="358">
        <v>248</v>
      </c>
      <c r="AB186" s="358">
        <v>246</v>
      </c>
      <c r="AC186" s="358">
        <v>243</v>
      </c>
      <c r="AD186" s="358">
        <v>241</v>
      </c>
      <c r="AE186" s="358">
        <v>236</v>
      </c>
      <c r="AF186" s="358">
        <v>231</v>
      </c>
      <c r="AG186" s="358">
        <v>226</v>
      </c>
      <c r="AH186" s="358">
        <v>225</v>
      </c>
      <c r="AI186" s="358">
        <v>224</v>
      </c>
      <c r="AJ186" s="358">
        <v>220</v>
      </c>
      <c r="AK186" s="358">
        <v>214</v>
      </c>
      <c r="AL186" s="358">
        <v>208</v>
      </c>
      <c r="AM186" s="358">
        <v>203</v>
      </c>
      <c r="AN186" s="358">
        <v>197</v>
      </c>
      <c r="AO186" s="358">
        <v>193</v>
      </c>
      <c r="AP186" s="358">
        <v>187</v>
      </c>
      <c r="AQ186" s="358">
        <v>181</v>
      </c>
      <c r="AR186" s="358">
        <v>177</v>
      </c>
      <c r="AS186" s="358">
        <v>165</v>
      </c>
      <c r="AT186" s="358">
        <v>157</v>
      </c>
      <c r="AU186" s="358">
        <v>147</v>
      </c>
      <c r="AV186" s="358">
        <v>138</v>
      </c>
      <c r="AW186" s="358">
        <v>130</v>
      </c>
      <c r="AX186" s="358">
        <v>262</v>
      </c>
      <c r="AY186" s="358">
        <v>266</v>
      </c>
      <c r="AZ186" s="358">
        <v>267</v>
      </c>
      <c r="BA186" s="358">
        <v>268</v>
      </c>
      <c r="BB186" s="358">
        <v>269</v>
      </c>
      <c r="BC186" s="358">
        <v>272</v>
      </c>
      <c r="BD186" s="358">
        <v>276</v>
      </c>
      <c r="BE186" s="358">
        <v>278</v>
      </c>
      <c r="BF186" s="358">
        <v>279</v>
      </c>
      <c r="BG186" s="358">
        <v>282</v>
      </c>
      <c r="BH186" s="358">
        <v>283</v>
      </c>
      <c r="BI186" s="358">
        <v>284</v>
      </c>
      <c r="BJ186" s="358">
        <v>286</v>
      </c>
      <c r="BK186" s="358">
        <v>287</v>
      </c>
      <c r="BL186" s="358">
        <v>288</v>
      </c>
      <c r="BM186" s="358">
        <v>290</v>
      </c>
      <c r="BN186" s="358">
        <v>291</v>
      </c>
      <c r="BO186" s="358">
        <v>294</v>
      </c>
      <c r="BP186" s="358">
        <v>299</v>
      </c>
      <c r="BQ186" s="358">
        <v>303</v>
      </c>
      <c r="BR186" s="358">
        <v>313</v>
      </c>
      <c r="BS186" s="358">
        <v>320</v>
      </c>
      <c r="BT186" s="358">
        <v>324</v>
      </c>
      <c r="BU186" s="358">
        <v>327</v>
      </c>
      <c r="BV186" s="358">
        <v>264</v>
      </c>
      <c r="BW186" s="358">
        <v>265</v>
      </c>
      <c r="BX186" s="358">
        <v>268</v>
      </c>
      <c r="BY186" s="358">
        <v>272</v>
      </c>
      <c r="BZ186" s="358">
        <v>277</v>
      </c>
      <c r="CA186" s="358">
        <v>281</v>
      </c>
      <c r="CB186" s="358">
        <v>288</v>
      </c>
      <c r="CC186" s="358">
        <v>293</v>
      </c>
      <c r="CD186" s="358">
        <v>296</v>
      </c>
      <c r="CE186" s="358">
        <v>300</v>
      </c>
      <c r="CF186" s="358">
        <v>302</v>
      </c>
      <c r="CG186" s="358">
        <v>309</v>
      </c>
      <c r="CH186" s="358">
        <v>311</v>
      </c>
      <c r="CI186" s="358">
        <v>315</v>
      </c>
      <c r="CJ186" s="358">
        <v>318</v>
      </c>
      <c r="CK186" s="358">
        <v>325</v>
      </c>
      <c r="CL186" s="358">
        <v>331</v>
      </c>
      <c r="CM186" s="358">
        <v>335</v>
      </c>
      <c r="CN186" s="358">
        <v>340</v>
      </c>
      <c r="CO186" s="358">
        <v>347</v>
      </c>
      <c r="CP186" s="358">
        <v>358</v>
      </c>
      <c r="CQ186" s="358">
        <v>371</v>
      </c>
      <c r="CR186" s="358">
        <v>376</v>
      </c>
      <c r="CS186" s="358">
        <v>265</v>
      </c>
      <c r="CT186" s="358">
        <v>270</v>
      </c>
      <c r="CU186" s="358">
        <v>276</v>
      </c>
      <c r="CV186" s="358">
        <v>282</v>
      </c>
      <c r="CW186" s="358">
        <v>288</v>
      </c>
      <c r="CX186" s="358">
        <v>293</v>
      </c>
      <c r="CY186" s="358">
        <v>300</v>
      </c>
      <c r="CZ186" s="358">
        <v>303</v>
      </c>
      <c r="DA186" s="358">
        <v>307</v>
      </c>
      <c r="DB186" s="358">
        <v>312</v>
      </c>
      <c r="DC186" s="358">
        <v>323</v>
      </c>
      <c r="DD186" s="358">
        <v>333</v>
      </c>
      <c r="DE186" s="358">
        <v>337</v>
      </c>
      <c r="DF186" s="358">
        <v>343</v>
      </c>
      <c r="DG186" s="358">
        <v>352</v>
      </c>
      <c r="DH186" s="358">
        <v>357</v>
      </c>
      <c r="DI186" s="358">
        <v>364</v>
      </c>
      <c r="DJ186" s="358">
        <v>373</v>
      </c>
      <c r="DK186" s="358">
        <v>380</v>
      </c>
      <c r="DL186" s="358">
        <v>388</v>
      </c>
      <c r="DM186" s="358">
        <v>400</v>
      </c>
      <c r="DN186" s="358">
        <v>403</v>
      </c>
      <c r="DO186" s="358">
        <v>414</v>
      </c>
      <c r="DP186" s="358">
        <v>423</v>
      </c>
      <c r="DQ186" s="358">
        <v>258</v>
      </c>
      <c r="DR186" s="358">
        <v>263</v>
      </c>
      <c r="DS186" s="358">
        <v>267</v>
      </c>
      <c r="DT186" s="358">
        <v>269</v>
      </c>
      <c r="DU186" s="358">
        <v>272</v>
      </c>
      <c r="DV186" s="358">
        <v>273</v>
      </c>
      <c r="DW186" s="358">
        <v>279</v>
      </c>
      <c r="DX186" s="358">
        <v>282</v>
      </c>
      <c r="DY186" s="358">
        <v>288</v>
      </c>
      <c r="DZ186" s="358">
        <v>293</v>
      </c>
      <c r="EA186" s="358">
        <v>297</v>
      </c>
      <c r="EB186" s="358">
        <v>301</v>
      </c>
      <c r="EC186" s="358">
        <v>306</v>
      </c>
      <c r="ED186" s="358">
        <v>312</v>
      </c>
      <c r="EE186" s="358">
        <v>318</v>
      </c>
      <c r="EF186" s="358">
        <v>321</v>
      </c>
      <c r="EG186" s="358">
        <v>325</v>
      </c>
      <c r="EH186" s="358">
        <v>330</v>
      </c>
      <c r="EI186" s="358">
        <v>335</v>
      </c>
      <c r="EJ186" s="358">
        <v>339</v>
      </c>
      <c r="EK186" s="358">
        <v>344</v>
      </c>
      <c r="EL186" s="358">
        <v>348</v>
      </c>
      <c r="EM186" s="358">
        <v>113</v>
      </c>
      <c r="EN186" s="358">
        <v>101</v>
      </c>
      <c r="EO186" s="358">
        <v>90</v>
      </c>
      <c r="EP186" s="358">
        <v>80</v>
      </c>
      <c r="EQ186" s="358">
        <v>73</v>
      </c>
      <c r="ES186" s="358">
        <v>61</v>
      </c>
      <c r="ET186" s="358">
        <v>56</v>
      </c>
      <c r="EU186" s="358">
        <v>47</v>
      </c>
      <c r="EV186" s="358">
        <v>41</v>
      </c>
      <c r="EW186" s="358">
        <v>143</v>
      </c>
      <c r="EX186" s="358">
        <v>154</v>
      </c>
      <c r="EY186" s="358">
        <v>165</v>
      </c>
      <c r="EZ186" s="358">
        <v>181</v>
      </c>
      <c r="FA186" s="358">
        <v>189</v>
      </c>
      <c r="FB186" s="358">
        <v>199</v>
      </c>
      <c r="FC186" s="358">
        <v>213</v>
      </c>
      <c r="FD186" s="358">
        <v>225</v>
      </c>
      <c r="FE186" s="358">
        <v>232</v>
      </c>
      <c r="FF186" s="358">
        <v>237</v>
      </c>
      <c r="FG186" s="358">
        <v>249</v>
      </c>
      <c r="FH186" s="358">
        <v>258</v>
      </c>
      <c r="FI186" s="358">
        <v>269</v>
      </c>
      <c r="FJ186" s="358">
        <v>275</v>
      </c>
      <c r="FK186" s="358">
        <v>280</v>
      </c>
      <c r="FL186" s="358">
        <v>156</v>
      </c>
      <c r="FM186" s="358">
        <v>166</v>
      </c>
      <c r="FN186" s="358">
        <v>172</v>
      </c>
      <c r="FO186" s="358">
        <v>179</v>
      </c>
      <c r="FP186" s="358">
        <v>192</v>
      </c>
      <c r="FQ186" s="358">
        <v>207</v>
      </c>
      <c r="FR186" s="358">
        <v>215</v>
      </c>
      <c r="FS186" s="358">
        <v>222</v>
      </c>
      <c r="FT186" s="358">
        <v>229</v>
      </c>
      <c r="FU186" s="358">
        <v>236</v>
      </c>
      <c r="FV186" s="358">
        <v>246</v>
      </c>
      <c r="FW186" s="358">
        <v>331</v>
      </c>
      <c r="FX186" s="358">
        <v>378</v>
      </c>
      <c r="FY186" s="358">
        <v>385</v>
      </c>
      <c r="FZ186" s="358">
        <v>413</v>
      </c>
      <c r="GA186" s="358">
        <v>482</v>
      </c>
      <c r="GC186" s="358">
        <v>370</v>
      </c>
      <c r="GD186" s="358">
        <v>406</v>
      </c>
      <c r="GE186" s="358">
        <v>435</v>
      </c>
      <c r="GF186" s="358">
        <v>427</v>
      </c>
      <c r="GG186" s="358">
        <v>351</v>
      </c>
      <c r="GH186" s="358">
        <v>363</v>
      </c>
      <c r="GI186" s="361">
        <v>389</v>
      </c>
    </row>
    <row r="187" spans="1:191">
      <c r="A187" s="336" t="s">
        <v>312</v>
      </c>
      <c r="B187" s="358">
        <v>111</v>
      </c>
      <c r="C187" s="358">
        <v>115</v>
      </c>
      <c r="D187" s="358">
        <v>117</v>
      </c>
      <c r="E187" s="358">
        <v>118</v>
      </c>
      <c r="F187" s="358">
        <v>121</v>
      </c>
      <c r="G187" s="358">
        <v>124</v>
      </c>
      <c r="H187" s="358">
        <v>127</v>
      </c>
      <c r="I187" s="358">
        <v>129</v>
      </c>
      <c r="J187" s="358">
        <v>132</v>
      </c>
      <c r="K187" s="358">
        <v>136</v>
      </c>
      <c r="L187" s="358">
        <v>138</v>
      </c>
      <c r="M187" s="358">
        <v>141</v>
      </c>
      <c r="N187" s="358">
        <v>143</v>
      </c>
      <c r="O187" s="358">
        <v>148</v>
      </c>
      <c r="P187" s="358">
        <v>154</v>
      </c>
      <c r="Q187" s="358">
        <v>156</v>
      </c>
      <c r="R187" s="358">
        <v>159</v>
      </c>
      <c r="S187" s="358">
        <v>161</v>
      </c>
      <c r="T187" s="358">
        <v>164</v>
      </c>
      <c r="U187" s="358">
        <v>167</v>
      </c>
      <c r="V187" s="358">
        <v>113</v>
      </c>
      <c r="W187" s="358">
        <v>115</v>
      </c>
      <c r="X187" s="358">
        <v>117</v>
      </c>
      <c r="Y187" s="358">
        <v>119</v>
      </c>
      <c r="Z187" s="358">
        <v>121</v>
      </c>
      <c r="AA187" s="358">
        <v>122</v>
      </c>
      <c r="AB187" s="358">
        <v>124</v>
      </c>
      <c r="AC187" s="358">
        <v>127</v>
      </c>
      <c r="AD187" s="358">
        <v>129</v>
      </c>
      <c r="AE187" s="358">
        <v>134</v>
      </c>
      <c r="AF187" s="358">
        <v>139</v>
      </c>
      <c r="AG187" s="358">
        <v>144</v>
      </c>
      <c r="AH187" s="358">
        <v>145</v>
      </c>
      <c r="AI187" s="358">
        <v>146</v>
      </c>
      <c r="AJ187" s="358">
        <v>150</v>
      </c>
      <c r="AK187" s="358">
        <v>156</v>
      </c>
      <c r="AL187" s="358">
        <v>162</v>
      </c>
      <c r="AM187" s="358">
        <v>167</v>
      </c>
      <c r="AN187" s="358">
        <v>173</v>
      </c>
      <c r="AO187" s="358">
        <v>177</v>
      </c>
      <c r="AP187" s="358">
        <v>183</v>
      </c>
      <c r="AQ187" s="358">
        <v>189</v>
      </c>
      <c r="AR187" s="358">
        <v>193</v>
      </c>
      <c r="AS187" s="358">
        <v>205</v>
      </c>
      <c r="AT187" s="358">
        <v>213</v>
      </c>
      <c r="AU187" s="358">
        <v>223</v>
      </c>
      <c r="AV187" s="358">
        <v>232</v>
      </c>
      <c r="AW187" s="358">
        <v>240</v>
      </c>
      <c r="AX187" s="358">
        <v>108</v>
      </c>
      <c r="AY187" s="358">
        <v>104</v>
      </c>
      <c r="AZ187" s="358">
        <v>103</v>
      </c>
      <c r="BA187" s="358">
        <v>102</v>
      </c>
      <c r="BB187" s="358">
        <v>101</v>
      </c>
      <c r="BC187" s="358">
        <v>98</v>
      </c>
      <c r="BD187" s="358">
        <v>94</v>
      </c>
      <c r="BE187" s="358">
        <v>92</v>
      </c>
      <c r="BF187" s="358">
        <v>91</v>
      </c>
      <c r="BG187" s="358">
        <v>88</v>
      </c>
      <c r="BH187" s="358">
        <v>87</v>
      </c>
      <c r="BI187" s="358">
        <v>86</v>
      </c>
      <c r="BJ187" s="358">
        <v>84</v>
      </c>
      <c r="BK187" s="358">
        <v>83</v>
      </c>
      <c r="BL187" s="358">
        <v>82</v>
      </c>
      <c r="BM187" s="358">
        <v>80</v>
      </c>
      <c r="BN187" s="358">
        <v>79</v>
      </c>
      <c r="BO187" s="358">
        <v>76</v>
      </c>
      <c r="BP187" s="358">
        <v>71</v>
      </c>
      <c r="BQ187" s="358">
        <v>67</v>
      </c>
      <c r="BR187" s="358">
        <v>57</v>
      </c>
      <c r="BS187" s="358">
        <v>50</v>
      </c>
      <c r="BT187" s="358">
        <v>46</v>
      </c>
      <c r="BU187" s="358">
        <v>43</v>
      </c>
      <c r="BV187" s="358">
        <v>110</v>
      </c>
      <c r="BW187" s="358">
        <v>111</v>
      </c>
      <c r="BX187" s="358">
        <v>114</v>
      </c>
      <c r="BY187" s="358">
        <v>118</v>
      </c>
      <c r="BZ187" s="358">
        <v>123</v>
      </c>
      <c r="CA187" s="358">
        <v>127</v>
      </c>
      <c r="CB187" s="358">
        <v>134</v>
      </c>
      <c r="CC187" s="358">
        <v>139</v>
      </c>
      <c r="CD187" s="358">
        <v>142</v>
      </c>
      <c r="CE187" s="358">
        <v>146</v>
      </c>
      <c r="CF187" s="358">
        <v>148</v>
      </c>
      <c r="CG187" s="358">
        <v>155</v>
      </c>
      <c r="CH187" s="358">
        <v>157</v>
      </c>
      <c r="CI187" s="358">
        <v>161</v>
      </c>
      <c r="CJ187" s="358">
        <v>164</v>
      </c>
      <c r="CK187" s="358">
        <v>171</v>
      </c>
      <c r="CL187" s="358">
        <v>177</v>
      </c>
      <c r="CM187" s="358">
        <v>181</v>
      </c>
      <c r="CN187" s="358">
        <v>186</v>
      </c>
      <c r="CO187" s="358">
        <v>193</v>
      </c>
      <c r="CP187" s="358">
        <v>204</v>
      </c>
      <c r="CQ187" s="358">
        <v>217</v>
      </c>
      <c r="CR187" s="358">
        <v>222</v>
      </c>
      <c r="CS187" s="358">
        <v>117</v>
      </c>
      <c r="CT187" s="358">
        <v>122</v>
      </c>
      <c r="CU187" s="358">
        <v>128</v>
      </c>
      <c r="CV187" s="358">
        <v>134</v>
      </c>
      <c r="CW187" s="358">
        <v>140</v>
      </c>
      <c r="CX187" s="358">
        <v>145</v>
      </c>
      <c r="CY187" s="358">
        <v>152</v>
      </c>
      <c r="CZ187" s="358">
        <v>155</v>
      </c>
      <c r="DA187" s="358">
        <v>159</v>
      </c>
      <c r="DB187" s="358">
        <v>164</v>
      </c>
      <c r="DC187" s="358">
        <v>175</v>
      </c>
      <c r="DD187" s="358">
        <v>185</v>
      </c>
      <c r="DE187" s="358">
        <v>189</v>
      </c>
      <c r="DF187" s="358">
        <v>195</v>
      </c>
      <c r="DG187" s="358">
        <v>204</v>
      </c>
      <c r="DH187" s="358">
        <v>209</v>
      </c>
      <c r="DI187" s="358">
        <v>216</v>
      </c>
      <c r="DJ187" s="358">
        <v>225</v>
      </c>
      <c r="DK187" s="358">
        <v>232</v>
      </c>
      <c r="DL187" s="358">
        <v>240</v>
      </c>
      <c r="DM187" s="358">
        <v>252</v>
      </c>
      <c r="DN187" s="358">
        <v>255</v>
      </c>
      <c r="DO187" s="358">
        <v>266</v>
      </c>
      <c r="DP187" s="358">
        <v>275</v>
      </c>
      <c r="DQ187" s="358">
        <v>118</v>
      </c>
      <c r="DR187" s="358">
        <v>123</v>
      </c>
      <c r="DS187" s="358">
        <v>127</v>
      </c>
      <c r="DT187" s="358">
        <v>129</v>
      </c>
      <c r="DU187" s="358">
        <v>132</v>
      </c>
      <c r="DV187" s="358">
        <v>133</v>
      </c>
      <c r="DW187" s="358">
        <v>139</v>
      </c>
      <c r="DX187" s="358">
        <v>142</v>
      </c>
      <c r="DY187" s="358">
        <v>148</v>
      </c>
      <c r="DZ187" s="358">
        <v>153</v>
      </c>
      <c r="EA187" s="358">
        <v>157</v>
      </c>
      <c r="EB187" s="358">
        <v>161</v>
      </c>
      <c r="EC187" s="358">
        <v>166</v>
      </c>
      <c r="ED187" s="358">
        <v>172</v>
      </c>
      <c r="EE187" s="358">
        <v>178</v>
      </c>
      <c r="EF187" s="358">
        <v>181</v>
      </c>
      <c r="EG187" s="358">
        <v>185</v>
      </c>
      <c r="EH187" s="358">
        <v>190</v>
      </c>
      <c r="EI187" s="358">
        <v>195</v>
      </c>
      <c r="EJ187" s="358">
        <v>199</v>
      </c>
      <c r="EK187" s="358">
        <v>204</v>
      </c>
      <c r="EL187" s="358">
        <v>208</v>
      </c>
      <c r="EM187" s="358">
        <v>257</v>
      </c>
      <c r="EN187" s="358">
        <v>269</v>
      </c>
      <c r="EO187" s="358">
        <v>280</v>
      </c>
      <c r="EP187" s="358">
        <v>290</v>
      </c>
      <c r="EQ187" s="358">
        <v>297</v>
      </c>
      <c r="ES187" s="358">
        <v>309</v>
      </c>
      <c r="ET187" s="358">
        <v>314</v>
      </c>
      <c r="EU187" s="358">
        <v>323</v>
      </c>
      <c r="EV187" s="358">
        <v>329</v>
      </c>
      <c r="EW187" s="358">
        <v>253</v>
      </c>
      <c r="EX187" s="358">
        <v>264</v>
      </c>
      <c r="EY187" s="358">
        <v>275</v>
      </c>
      <c r="EZ187" s="358">
        <v>291</v>
      </c>
      <c r="FA187" s="358">
        <v>299</v>
      </c>
      <c r="FB187" s="358">
        <v>309</v>
      </c>
      <c r="FC187" s="358">
        <v>323</v>
      </c>
      <c r="FD187" s="358">
        <v>335</v>
      </c>
      <c r="FE187" s="358">
        <v>342</v>
      </c>
      <c r="FF187" s="358">
        <v>347</v>
      </c>
      <c r="FG187" s="358">
        <v>359</v>
      </c>
      <c r="FH187" s="358">
        <v>368</v>
      </c>
      <c r="FI187" s="358">
        <v>379</v>
      </c>
      <c r="FJ187" s="358">
        <v>385</v>
      </c>
      <c r="FK187" s="358">
        <v>390</v>
      </c>
      <c r="FL187" s="358">
        <v>232</v>
      </c>
      <c r="FM187" s="358">
        <v>242</v>
      </c>
      <c r="FN187" s="358">
        <v>248</v>
      </c>
      <c r="FO187" s="358">
        <v>255</v>
      </c>
      <c r="FP187" s="358">
        <v>268</v>
      </c>
      <c r="FQ187" s="358">
        <v>283</v>
      </c>
      <c r="FR187" s="358">
        <v>291</v>
      </c>
      <c r="FS187" s="358">
        <v>298</v>
      </c>
      <c r="FT187" s="358">
        <v>305</v>
      </c>
      <c r="FU187" s="358">
        <v>312</v>
      </c>
      <c r="FV187" s="358">
        <v>322</v>
      </c>
      <c r="FW187" s="358">
        <v>183</v>
      </c>
      <c r="FX187" s="358">
        <v>230</v>
      </c>
      <c r="FY187" s="358">
        <v>237</v>
      </c>
      <c r="FZ187" s="358">
        <v>265</v>
      </c>
      <c r="GA187" s="358">
        <v>334</v>
      </c>
      <c r="GB187" s="358">
        <v>370</v>
      </c>
      <c r="GD187" s="358">
        <v>122</v>
      </c>
      <c r="GE187" s="358">
        <v>151</v>
      </c>
      <c r="GF187" s="358">
        <v>279</v>
      </c>
      <c r="GG187" s="358">
        <v>19</v>
      </c>
      <c r="GH187" s="358">
        <v>7</v>
      </c>
      <c r="GI187" s="361">
        <v>19</v>
      </c>
    </row>
    <row r="188" spans="1:191">
      <c r="A188" s="336" t="s">
        <v>311</v>
      </c>
      <c r="B188" s="358">
        <v>147</v>
      </c>
      <c r="C188" s="358">
        <v>151</v>
      </c>
      <c r="D188" s="358">
        <v>153</v>
      </c>
      <c r="E188" s="358">
        <v>154</v>
      </c>
      <c r="F188" s="358">
        <v>157</v>
      </c>
      <c r="G188" s="358">
        <v>160</v>
      </c>
      <c r="H188" s="358">
        <v>163</v>
      </c>
      <c r="I188" s="358">
        <v>165</v>
      </c>
      <c r="J188" s="358">
        <v>168</v>
      </c>
      <c r="K188" s="358">
        <v>172</v>
      </c>
      <c r="L188" s="358">
        <v>174</v>
      </c>
      <c r="M188" s="358">
        <v>177</v>
      </c>
      <c r="N188" s="358">
        <v>179</v>
      </c>
      <c r="O188" s="358">
        <v>184</v>
      </c>
      <c r="P188" s="358">
        <v>190</v>
      </c>
      <c r="Q188" s="358">
        <v>192</v>
      </c>
      <c r="R188" s="358">
        <v>195</v>
      </c>
      <c r="S188" s="358">
        <v>197</v>
      </c>
      <c r="T188" s="358">
        <v>200</v>
      </c>
      <c r="U188" s="358">
        <v>203</v>
      </c>
      <c r="V188" s="358">
        <v>149</v>
      </c>
      <c r="W188" s="358">
        <v>151</v>
      </c>
      <c r="X188" s="358">
        <v>153</v>
      </c>
      <c r="Y188" s="358">
        <v>155</v>
      </c>
      <c r="Z188" s="358">
        <v>157</v>
      </c>
      <c r="AA188" s="358">
        <v>158</v>
      </c>
      <c r="AB188" s="358">
        <v>160</v>
      </c>
      <c r="AC188" s="358">
        <v>163</v>
      </c>
      <c r="AD188" s="358">
        <v>165</v>
      </c>
      <c r="AE188" s="358">
        <v>170</v>
      </c>
      <c r="AF188" s="358">
        <v>175</v>
      </c>
      <c r="AG188" s="358">
        <v>180</v>
      </c>
      <c r="AH188" s="358">
        <v>181</v>
      </c>
      <c r="AI188" s="358">
        <v>182</v>
      </c>
      <c r="AJ188" s="358">
        <v>186</v>
      </c>
      <c r="AK188" s="358">
        <v>192</v>
      </c>
      <c r="AL188" s="358">
        <v>198</v>
      </c>
      <c r="AM188" s="358">
        <v>203</v>
      </c>
      <c r="AN188" s="358">
        <v>209</v>
      </c>
      <c r="AO188" s="358">
        <v>213</v>
      </c>
      <c r="AP188" s="358">
        <v>219</v>
      </c>
      <c r="AQ188" s="358">
        <v>225</v>
      </c>
      <c r="AR188" s="358">
        <v>229</v>
      </c>
      <c r="AS188" s="358">
        <v>241</v>
      </c>
      <c r="AT188" s="358">
        <v>249</v>
      </c>
      <c r="AU188" s="358">
        <v>259</v>
      </c>
      <c r="AV188" s="358">
        <v>268</v>
      </c>
      <c r="AW188" s="358">
        <v>276</v>
      </c>
      <c r="AX188" s="358">
        <v>144</v>
      </c>
      <c r="AY188" s="358">
        <v>140</v>
      </c>
      <c r="AZ188" s="358">
        <v>139</v>
      </c>
      <c r="BA188" s="358">
        <v>138</v>
      </c>
      <c r="BB188" s="358">
        <v>137</v>
      </c>
      <c r="BC188" s="358">
        <v>134</v>
      </c>
      <c r="BD188" s="358">
        <v>130</v>
      </c>
      <c r="BE188" s="358">
        <v>128</v>
      </c>
      <c r="BF188" s="358">
        <v>127</v>
      </c>
      <c r="BG188" s="358">
        <v>124</v>
      </c>
      <c r="BH188" s="358">
        <v>123</v>
      </c>
      <c r="BI188" s="358">
        <v>122</v>
      </c>
      <c r="BJ188" s="358">
        <v>120</v>
      </c>
      <c r="BK188" s="358">
        <v>119</v>
      </c>
      <c r="BL188" s="358">
        <v>118</v>
      </c>
      <c r="BM188" s="358">
        <v>116</v>
      </c>
      <c r="BN188" s="358">
        <v>115</v>
      </c>
      <c r="BO188" s="358">
        <v>112</v>
      </c>
      <c r="BP188" s="358">
        <v>107</v>
      </c>
      <c r="BQ188" s="358">
        <v>103</v>
      </c>
      <c r="BR188" s="358">
        <v>93</v>
      </c>
      <c r="BS188" s="358">
        <v>86</v>
      </c>
      <c r="BT188" s="358">
        <v>82</v>
      </c>
      <c r="BU188" s="358">
        <v>79</v>
      </c>
      <c r="BV188" s="358">
        <v>146</v>
      </c>
      <c r="BW188" s="358">
        <v>147</v>
      </c>
      <c r="BX188" s="358">
        <v>150</v>
      </c>
      <c r="BY188" s="358">
        <v>154</v>
      </c>
      <c r="BZ188" s="358">
        <v>159</v>
      </c>
      <c r="CA188" s="358">
        <v>163</v>
      </c>
      <c r="CB188" s="358">
        <v>170</v>
      </c>
      <c r="CC188" s="358">
        <v>175</v>
      </c>
      <c r="CD188" s="358">
        <v>178</v>
      </c>
      <c r="CE188" s="358">
        <v>182</v>
      </c>
      <c r="CF188" s="358">
        <v>184</v>
      </c>
      <c r="CG188" s="358">
        <v>191</v>
      </c>
      <c r="CH188" s="358">
        <v>193</v>
      </c>
      <c r="CI188" s="358">
        <v>197</v>
      </c>
      <c r="CJ188" s="358">
        <v>200</v>
      </c>
      <c r="CK188" s="358">
        <v>207</v>
      </c>
      <c r="CL188" s="358">
        <v>213</v>
      </c>
      <c r="CM188" s="358">
        <v>217</v>
      </c>
      <c r="CN188" s="358">
        <v>222</v>
      </c>
      <c r="CO188" s="358">
        <v>229</v>
      </c>
      <c r="CP188" s="358">
        <v>240</v>
      </c>
      <c r="CQ188" s="358">
        <v>253</v>
      </c>
      <c r="CR188" s="358">
        <v>258</v>
      </c>
      <c r="CS188" s="358">
        <v>153</v>
      </c>
      <c r="CT188" s="358">
        <v>158</v>
      </c>
      <c r="CU188" s="358">
        <v>164</v>
      </c>
      <c r="CV188" s="358">
        <v>170</v>
      </c>
      <c r="CW188" s="358">
        <v>176</v>
      </c>
      <c r="CX188" s="358">
        <v>181</v>
      </c>
      <c r="CY188" s="358">
        <v>188</v>
      </c>
      <c r="CZ188" s="358">
        <v>191</v>
      </c>
      <c r="DA188" s="358">
        <v>195</v>
      </c>
      <c r="DB188" s="358">
        <v>200</v>
      </c>
      <c r="DC188" s="358">
        <v>211</v>
      </c>
      <c r="DD188" s="358">
        <v>221</v>
      </c>
      <c r="DE188" s="358">
        <v>225</v>
      </c>
      <c r="DF188" s="358">
        <v>231</v>
      </c>
      <c r="DG188" s="358">
        <v>240</v>
      </c>
      <c r="DH188" s="358">
        <v>245</v>
      </c>
      <c r="DI188" s="358">
        <v>252</v>
      </c>
      <c r="DJ188" s="358">
        <v>261</v>
      </c>
      <c r="DK188" s="358">
        <v>268</v>
      </c>
      <c r="DL188" s="358">
        <v>276</v>
      </c>
      <c r="DM188" s="358">
        <v>288</v>
      </c>
      <c r="DN188" s="358">
        <v>291</v>
      </c>
      <c r="DO188" s="358">
        <v>302</v>
      </c>
      <c r="DP188" s="358">
        <v>311</v>
      </c>
      <c r="DQ188" s="358">
        <v>154</v>
      </c>
      <c r="DR188" s="358">
        <v>159</v>
      </c>
      <c r="DS188" s="358">
        <v>163</v>
      </c>
      <c r="DT188" s="358">
        <v>165</v>
      </c>
      <c r="DU188" s="358">
        <v>168</v>
      </c>
      <c r="DV188" s="358">
        <v>169</v>
      </c>
      <c r="DW188" s="358">
        <v>175</v>
      </c>
      <c r="DX188" s="358">
        <v>178</v>
      </c>
      <c r="DY188" s="358">
        <v>184</v>
      </c>
      <c r="DZ188" s="358">
        <v>189</v>
      </c>
      <c r="EA188" s="358">
        <v>193</v>
      </c>
      <c r="EB188" s="358">
        <v>197</v>
      </c>
      <c r="EC188" s="358">
        <v>202</v>
      </c>
      <c r="ED188" s="358">
        <v>208</v>
      </c>
      <c r="EE188" s="358">
        <v>214</v>
      </c>
      <c r="EF188" s="358">
        <v>217</v>
      </c>
      <c r="EG188" s="358">
        <v>221</v>
      </c>
      <c r="EH188" s="358">
        <v>226</v>
      </c>
      <c r="EI188" s="358">
        <v>231</v>
      </c>
      <c r="EJ188" s="358">
        <v>235</v>
      </c>
      <c r="EK188" s="358">
        <v>240</v>
      </c>
      <c r="EL188" s="358">
        <v>244</v>
      </c>
      <c r="EM188" s="358">
        <v>293</v>
      </c>
      <c r="EN188" s="358">
        <v>305</v>
      </c>
      <c r="EO188" s="358">
        <v>316</v>
      </c>
      <c r="EP188" s="358">
        <v>326</v>
      </c>
      <c r="EQ188" s="358">
        <v>333</v>
      </c>
      <c r="ES188" s="358">
        <v>345</v>
      </c>
      <c r="ET188" s="358">
        <v>350</v>
      </c>
      <c r="EU188" s="358">
        <v>359</v>
      </c>
      <c r="EV188" s="358">
        <v>365</v>
      </c>
      <c r="EW188" s="358">
        <v>289</v>
      </c>
      <c r="EX188" s="358">
        <v>300</v>
      </c>
      <c r="EY188" s="358">
        <v>311</v>
      </c>
      <c r="EZ188" s="358">
        <v>327</v>
      </c>
      <c r="FA188" s="358">
        <v>335</v>
      </c>
      <c r="FB188" s="358">
        <v>345</v>
      </c>
      <c r="FC188" s="358">
        <v>359</v>
      </c>
      <c r="FD188" s="358">
        <v>371</v>
      </c>
      <c r="FE188" s="358">
        <v>378</v>
      </c>
      <c r="FF188" s="358">
        <v>383</v>
      </c>
      <c r="FG188" s="358">
        <v>395</v>
      </c>
      <c r="FH188" s="358">
        <v>404</v>
      </c>
      <c r="FI188" s="358">
        <v>415</v>
      </c>
      <c r="FJ188" s="358">
        <v>421</v>
      </c>
      <c r="FK188" s="358">
        <v>426</v>
      </c>
      <c r="FL188" s="358">
        <v>268</v>
      </c>
      <c r="FM188" s="358">
        <v>278</v>
      </c>
      <c r="FN188" s="358">
        <v>284</v>
      </c>
      <c r="FO188" s="358">
        <v>291</v>
      </c>
      <c r="FP188" s="358">
        <v>304</v>
      </c>
      <c r="FQ188" s="358">
        <v>319</v>
      </c>
      <c r="FR188" s="358">
        <v>327</v>
      </c>
      <c r="FS188" s="358">
        <v>334</v>
      </c>
      <c r="FT188" s="358">
        <v>341</v>
      </c>
      <c r="FU188" s="358">
        <v>348</v>
      </c>
      <c r="FV188" s="358">
        <v>358</v>
      </c>
      <c r="FW188" s="358">
        <v>219</v>
      </c>
      <c r="FX188" s="358">
        <v>266</v>
      </c>
      <c r="FY188" s="358">
        <v>273</v>
      </c>
      <c r="FZ188" s="358">
        <v>301</v>
      </c>
      <c r="GA188" s="358">
        <v>370</v>
      </c>
      <c r="GB188" s="358">
        <v>406</v>
      </c>
      <c r="GC188" s="358">
        <v>122</v>
      </c>
      <c r="GE188" s="358">
        <v>187</v>
      </c>
      <c r="GF188" s="358">
        <v>315</v>
      </c>
      <c r="GG188" s="358">
        <v>55</v>
      </c>
      <c r="GH188" s="358">
        <v>43</v>
      </c>
      <c r="GI188" s="361">
        <v>17</v>
      </c>
    </row>
    <row r="189" spans="1:191">
      <c r="A189" s="336" t="s">
        <v>158</v>
      </c>
      <c r="B189" s="358">
        <v>176</v>
      </c>
      <c r="C189" s="358">
        <v>180</v>
      </c>
      <c r="D189" s="358">
        <v>182</v>
      </c>
      <c r="E189" s="358">
        <v>183</v>
      </c>
      <c r="F189" s="358">
        <v>186</v>
      </c>
      <c r="G189" s="358">
        <v>189</v>
      </c>
      <c r="H189" s="358">
        <v>192</v>
      </c>
      <c r="I189" s="358">
        <v>194</v>
      </c>
      <c r="J189" s="358">
        <v>197</v>
      </c>
      <c r="K189" s="358">
        <v>201</v>
      </c>
      <c r="L189" s="358">
        <v>203</v>
      </c>
      <c r="M189" s="358">
        <v>206</v>
      </c>
      <c r="N189" s="358">
        <v>208</v>
      </c>
      <c r="O189" s="358">
        <v>213</v>
      </c>
      <c r="P189" s="358">
        <v>219</v>
      </c>
      <c r="Q189" s="358">
        <v>221</v>
      </c>
      <c r="R189" s="358">
        <v>224</v>
      </c>
      <c r="S189" s="358">
        <v>226</v>
      </c>
      <c r="T189" s="358">
        <v>229</v>
      </c>
      <c r="U189" s="358">
        <v>232</v>
      </c>
      <c r="V189" s="358">
        <v>178</v>
      </c>
      <c r="W189" s="358">
        <v>180</v>
      </c>
      <c r="X189" s="358">
        <v>182</v>
      </c>
      <c r="Y189" s="358">
        <v>184</v>
      </c>
      <c r="Z189" s="358">
        <v>186</v>
      </c>
      <c r="AA189" s="358">
        <v>187</v>
      </c>
      <c r="AB189" s="358">
        <v>189</v>
      </c>
      <c r="AC189" s="358">
        <v>192</v>
      </c>
      <c r="AD189" s="358">
        <v>194</v>
      </c>
      <c r="AE189" s="358">
        <v>199</v>
      </c>
      <c r="AF189" s="358">
        <v>204</v>
      </c>
      <c r="AG189" s="358">
        <v>209</v>
      </c>
      <c r="AH189" s="358">
        <v>210</v>
      </c>
      <c r="AI189" s="358">
        <v>211</v>
      </c>
      <c r="AJ189" s="358">
        <v>215</v>
      </c>
      <c r="AK189" s="358">
        <v>221</v>
      </c>
      <c r="AL189" s="358">
        <v>227</v>
      </c>
      <c r="AM189" s="358">
        <v>232</v>
      </c>
      <c r="AN189" s="358">
        <v>238</v>
      </c>
      <c r="AO189" s="358">
        <v>242</v>
      </c>
      <c r="AP189" s="358">
        <v>248</v>
      </c>
      <c r="AQ189" s="358">
        <v>254</v>
      </c>
      <c r="AR189" s="358">
        <v>258</v>
      </c>
      <c r="AS189" s="358">
        <v>270</v>
      </c>
      <c r="AT189" s="358">
        <v>278</v>
      </c>
      <c r="AU189" s="358">
        <v>288</v>
      </c>
      <c r="AV189" s="358">
        <v>297</v>
      </c>
      <c r="AW189" s="358">
        <v>305</v>
      </c>
      <c r="AX189" s="358">
        <v>173</v>
      </c>
      <c r="AY189" s="358">
        <v>169</v>
      </c>
      <c r="AZ189" s="358">
        <v>168</v>
      </c>
      <c r="BA189" s="358">
        <v>167</v>
      </c>
      <c r="BB189" s="358">
        <v>166</v>
      </c>
      <c r="BC189" s="358">
        <v>163</v>
      </c>
      <c r="BD189" s="358">
        <v>159</v>
      </c>
      <c r="BE189" s="358">
        <v>157</v>
      </c>
      <c r="BF189" s="358">
        <v>156</v>
      </c>
      <c r="BG189" s="358">
        <v>153</v>
      </c>
      <c r="BH189" s="358">
        <v>152</v>
      </c>
      <c r="BI189" s="358">
        <v>151</v>
      </c>
      <c r="BJ189" s="358">
        <v>149</v>
      </c>
      <c r="BK189" s="358">
        <v>148</v>
      </c>
      <c r="BL189" s="358">
        <v>147</v>
      </c>
      <c r="BM189" s="358">
        <v>145</v>
      </c>
      <c r="BN189" s="358">
        <v>144</v>
      </c>
      <c r="BO189" s="358">
        <v>141</v>
      </c>
      <c r="BP189" s="358">
        <v>136</v>
      </c>
      <c r="BQ189" s="358">
        <v>132</v>
      </c>
      <c r="BR189" s="358">
        <v>122</v>
      </c>
      <c r="BS189" s="358">
        <v>115</v>
      </c>
      <c r="BT189" s="358">
        <v>111</v>
      </c>
      <c r="BU189" s="358">
        <v>108</v>
      </c>
      <c r="BV189" s="358">
        <v>175</v>
      </c>
      <c r="BW189" s="358">
        <v>176</v>
      </c>
      <c r="BX189" s="358">
        <v>179</v>
      </c>
      <c r="BY189" s="358">
        <v>183</v>
      </c>
      <c r="BZ189" s="358">
        <v>188</v>
      </c>
      <c r="CA189" s="358">
        <v>192</v>
      </c>
      <c r="CB189" s="358">
        <v>199</v>
      </c>
      <c r="CC189" s="358">
        <v>204</v>
      </c>
      <c r="CD189" s="358">
        <v>207</v>
      </c>
      <c r="CE189" s="358">
        <v>211</v>
      </c>
      <c r="CF189" s="358">
        <v>213</v>
      </c>
      <c r="CG189" s="358">
        <v>220</v>
      </c>
      <c r="CH189" s="358">
        <v>222</v>
      </c>
      <c r="CI189" s="358">
        <v>226</v>
      </c>
      <c r="CJ189" s="358">
        <v>229</v>
      </c>
      <c r="CK189" s="358">
        <v>236</v>
      </c>
      <c r="CL189" s="358">
        <v>242</v>
      </c>
      <c r="CM189" s="358">
        <v>246</v>
      </c>
      <c r="CN189" s="358">
        <v>251</v>
      </c>
      <c r="CO189" s="358">
        <v>258</v>
      </c>
      <c r="CP189" s="358">
        <v>269</v>
      </c>
      <c r="CQ189" s="358">
        <v>282</v>
      </c>
      <c r="CR189" s="358">
        <v>287</v>
      </c>
      <c r="CS189" s="358">
        <v>182</v>
      </c>
      <c r="CT189" s="358">
        <v>187</v>
      </c>
      <c r="CU189" s="358">
        <v>193</v>
      </c>
      <c r="CV189" s="358">
        <v>199</v>
      </c>
      <c r="CW189" s="358">
        <v>205</v>
      </c>
      <c r="CX189" s="358">
        <v>210</v>
      </c>
      <c r="CY189" s="358">
        <v>217</v>
      </c>
      <c r="CZ189" s="358">
        <v>220</v>
      </c>
      <c r="DA189" s="358">
        <v>224</v>
      </c>
      <c r="DB189" s="358">
        <v>229</v>
      </c>
      <c r="DC189" s="358">
        <v>240</v>
      </c>
      <c r="DD189" s="358">
        <v>250</v>
      </c>
      <c r="DE189" s="358">
        <v>254</v>
      </c>
      <c r="DF189" s="358">
        <v>260</v>
      </c>
      <c r="DG189" s="358">
        <v>269</v>
      </c>
      <c r="DH189" s="358">
        <v>274</v>
      </c>
      <c r="DI189" s="358">
        <v>281</v>
      </c>
      <c r="DJ189" s="358">
        <v>290</v>
      </c>
      <c r="DK189" s="358">
        <v>297</v>
      </c>
      <c r="DL189" s="358">
        <v>305</v>
      </c>
      <c r="DM189" s="358">
        <v>317</v>
      </c>
      <c r="DN189" s="358">
        <v>320</v>
      </c>
      <c r="DO189" s="358">
        <v>331</v>
      </c>
      <c r="DP189" s="358">
        <v>340</v>
      </c>
      <c r="DQ189" s="358">
        <v>183</v>
      </c>
      <c r="DR189" s="358">
        <v>188</v>
      </c>
      <c r="DS189" s="358">
        <v>192</v>
      </c>
      <c r="DT189" s="358">
        <v>194</v>
      </c>
      <c r="DU189" s="358">
        <v>197</v>
      </c>
      <c r="DV189" s="358">
        <v>198</v>
      </c>
      <c r="DW189" s="358">
        <v>204</v>
      </c>
      <c r="DX189" s="358">
        <v>207</v>
      </c>
      <c r="DY189" s="358">
        <v>213</v>
      </c>
      <c r="DZ189" s="358">
        <v>218</v>
      </c>
      <c r="EA189" s="358">
        <v>222</v>
      </c>
      <c r="EB189" s="358">
        <v>226</v>
      </c>
      <c r="EC189" s="358">
        <v>231</v>
      </c>
      <c r="ED189" s="358">
        <v>237</v>
      </c>
      <c r="EE189" s="358">
        <v>243</v>
      </c>
      <c r="EF189" s="358">
        <v>246</v>
      </c>
      <c r="EG189" s="358">
        <v>250</v>
      </c>
      <c r="EH189" s="358">
        <v>255</v>
      </c>
      <c r="EI189" s="358">
        <v>260</v>
      </c>
      <c r="EJ189" s="358">
        <v>264</v>
      </c>
      <c r="EK189" s="358">
        <v>269</v>
      </c>
      <c r="EL189" s="358">
        <v>273</v>
      </c>
      <c r="EM189" s="358">
        <v>322</v>
      </c>
      <c r="EN189" s="358">
        <v>334</v>
      </c>
      <c r="EO189" s="358">
        <v>345</v>
      </c>
      <c r="EP189" s="358">
        <v>355</v>
      </c>
      <c r="EQ189" s="358">
        <v>362</v>
      </c>
      <c r="ES189" s="358">
        <v>374</v>
      </c>
      <c r="ET189" s="358">
        <v>379</v>
      </c>
      <c r="EU189" s="358">
        <v>388</v>
      </c>
      <c r="EV189" s="358">
        <v>394</v>
      </c>
      <c r="EW189" s="358">
        <v>318</v>
      </c>
      <c r="EX189" s="358">
        <v>329</v>
      </c>
      <c r="EY189" s="358">
        <v>340</v>
      </c>
      <c r="EZ189" s="358">
        <v>356</v>
      </c>
      <c r="FA189" s="358">
        <v>364</v>
      </c>
      <c r="FB189" s="358">
        <v>374</v>
      </c>
      <c r="FC189" s="358">
        <v>388</v>
      </c>
      <c r="FD189" s="358">
        <v>400</v>
      </c>
      <c r="FE189" s="358">
        <v>407</v>
      </c>
      <c r="FF189" s="358">
        <v>412</v>
      </c>
      <c r="FG189" s="358">
        <v>424</v>
      </c>
      <c r="FH189" s="358">
        <v>433</v>
      </c>
      <c r="FI189" s="358">
        <v>444</v>
      </c>
      <c r="FJ189" s="358">
        <v>450</v>
      </c>
      <c r="FK189" s="358">
        <v>455</v>
      </c>
      <c r="FL189" s="358">
        <v>297</v>
      </c>
      <c r="FM189" s="358">
        <v>307</v>
      </c>
      <c r="FN189" s="358">
        <v>313</v>
      </c>
      <c r="FO189" s="358">
        <v>320</v>
      </c>
      <c r="FP189" s="358">
        <v>333</v>
      </c>
      <c r="FQ189" s="358">
        <v>348</v>
      </c>
      <c r="FR189" s="358">
        <v>356</v>
      </c>
      <c r="FS189" s="358">
        <v>363</v>
      </c>
      <c r="FT189" s="358">
        <v>370</v>
      </c>
      <c r="FU189" s="358">
        <v>377</v>
      </c>
      <c r="FV189" s="358">
        <v>387</v>
      </c>
      <c r="FW189" s="358">
        <v>248</v>
      </c>
      <c r="FX189" s="358">
        <v>295</v>
      </c>
      <c r="FY189" s="358">
        <v>302</v>
      </c>
      <c r="FZ189" s="358">
        <v>330</v>
      </c>
      <c r="GA189" s="358">
        <v>399</v>
      </c>
      <c r="GB189" s="358">
        <v>435</v>
      </c>
      <c r="GC189" s="358">
        <v>151</v>
      </c>
      <c r="GD189" s="358">
        <v>187</v>
      </c>
      <c r="GF189" s="358">
        <v>344</v>
      </c>
      <c r="GG189" s="358">
        <v>84</v>
      </c>
      <c r="GH189" s="358">
        <v>72</v>
      </c>
      <c r="GI189" s="361">
        <v>46</v>
      </c>
    </row>
    <row r="190" spans="1:191">
      <c r="A190" s="336" t="s">
        <v>310</v>
      </c>
      <c r="B190" s="358">
        <v>168</v>
      </c>
      <c r="C190" s="358">
        <v>164</v>
      </c>
      <c r="D190" s="358">
        <v>166</v>
      </c>
      <c r="E190" s="358">
        <v>167</v>
      </c>
      <c r="F190" s="358">
        <v>170</v>
      </c>
      <c r="G190" s="358">
        <v>173</v>
      </c>
      <c r="H190" s="358">
        <v>176</v>
      </c>
      <c r="I190" s="358">
        <v>178</v>
      </c>
      <c r="J190" s="358">
        <v>181</v>
      </c>
      <c r="K190" s="358">
        <v>185</v>
      </c>
      <c r="L190" s="358">
        <v>187</v>
      </c>
      <c r="M190" s="358">
        <v>190</v>
      </c>
      <c r="N190" s="358">
        <v>192</v>
      </c>
      <c r="O190" s="358">
        <v>197</v>
      </c>
      <c r="P190" s="358">
        <v>203</v>
      </c>
      <c r="Q190" s="358">
        <v>205</v>
      </c>
      <c r="R190" s="358">
        <v>208</v>
      </c>
      <c r="S190" s="358">
        <v>210</v>
      </c>
      <c r="T190" s="358">
        <v>213</v>
      </c>
      <c r="U190" s="358">
        <v>216</v>
      </c>
      <c r="V190" s="358">
        <v>170</v>
      </c>
      <c r="W190" s="358">
        <v>172</v>
      </c>
      <c r="X190" s="358">
        <v>174</v>
      </c>
      <c r="Y190" s="358">
        <v>176</v>
      </c>
      <c r="Z190" s="358">
        <v>178</v>
      </c>
      <c r="AA190" s="358">
        <v>179</v>
      </c>
      <c r="AB190" s="358">
        <v>181</v>
      </c>
      <c r="AC190" s="358">
        <v>184</v>
      </c>
      <c r="AD190" s="358">
        <v>186</v>
      </c>
      <c r="AE190" s="358">
        <v>191</v>
      </c>
      <c r="AF190" s="358">
        <v>196</v>
      </c>
      <c r="AG190" s="358">
        <v>201</v>
      </c>
      <c r="AH190" s="358">
        <v>202</v>
      </c>
      <c r="AI190" s="358">
        <v>203</v>
      </c>
      <c r="AJ190" s="358">
        <v>207</v>
      </c>
      <c r="AK190" s="358">
        <v>213</v>
      </c>
      <c r="AL190" s="358">
        <v>219</v>
      </c>
      <c r="AM190" s="358">
        <v>224</v>
      </c>
      <c r="AN190" s="358">
        <v>230</v>
      </c>
      <c r="AO190" s="358">
        <v>234</v>
      </c>
      <c r="AP190" s="358">
        <v>240</v>
      </c>
      <c r="AQ190" s="358">
        <v>246</v>
      </c>
      <c r="AR190" s="358">
        <v>250</v>
      </c>
      <c r="AS190" s="358">
        <v>262</v>
      </c>
      <c r="AT190" s="358">
        <v>270</v>
      </c>
      <c r="AU190" s="358">
        <v>280</v>
      </c>
      <c r="AV190" s="358">
        <v>289</v>
      </c>
      <c r="AW190" s="358">
        <v>297</v>
      </c>
      <c r="AX190" s="358">
        <v>171</v>
      </c>
      <c r="AY190" s="358">
        <v>175</v>
      </c>
      <c r="AZ190" s="358">
        <v>176</v>
      </c>
      <c r="BA190" s="358">
        <v>177</v>
      </c>
      <c r="BB190" s="358">
        <v>178</v>
      </c>
      <c r="BC190" s="358">
        <v>181</v>
      </c>
      <c r="BD190" s="358">
        <v>185</v>
      </c>
      <c r="BE190" s="358">
        <v>187</v>
      </c>
      <c r="BF190" s="358">
        <v>188</v>
      </c>
      <c r="BG190" s="358">
        <v>191</v>
      </c>
      <c r="BH190" s="358">
        <v>192</v>
      </c>
      <c r="BI190" s="358">
        <v>193</v>
      </c>
      <c r="BJ190" s="358">
        <v>195</v>
      </c>
      <c r="BK190" s="358">
        <v>196</v>
      </c>
      <c r="BL190" s="358">
        <v>197</v>
      </c>
      <c r="BM190" s="358">
        <v>199</v>
      </c>
      <c r="BN190" s="358">
        <v>200</v>
      </c>
      <c r="BO190" s="358">
        <v>203</v>
      </c>
      <c r="BP190" s="358">
        <v>208</v>
      </c>
      <c r="BQ190" s="358">
        <v>212</v>
      </c>
      <c r="BR190" s="358">
        <v>222</v>
      </c>
      <c r="BS190" s="358">
        <v>229</v>
      </c>
      <c r="BT190" s="358">
        <v>233</v>
      </c>
      <c r="BU190" s="358">
        <v>236</v>
      </c>
      <c r="BV190" s="358">
        <v>173</v>
      </c>
      <c r="BW190" s="358">
        <v>174</v>
      </c>
      <c r="BX190" s="358">
        <v>177</v>
      </c>
      <c r="BY190" s="358">
        <v>181</v>
      </c>
      <c r="BZ190" s="358">
        <v>186</v>
      </c>
      <c r="CA190" s="358">
        <v>190</v>
      </c>
      <c r="CB190" s="358">
        <v>197</v>
      </c>
      <c r="CC190" s="358">
        <v>202</v>
      </c>
      <c r="CD190" s="358">
        <v>205</v>
      </c>
      <c r="CE190" s="358">
        <v>209</v>
      </c>
      <c r="CF190" s="358">
        <v>211</v>
      </c>
      <c r="CG190" s="358">
        <v>218</v>
      </c>
      <c r="CH190" s="358">
        <v>220</v>
      </c>
      <c r="CI190" s="358">
        <v>224</v>
      </c>
      <c r="CJ190" s="358">
        <v>227</v>
      </c>
      <c r="CK190" s="358">
        <v>234</v>
      </c>
      <c r="CL190" s="358">
        <v>240</v>
      </c>
      <c r="CM190" s="358">
        <v>244</v>
      </c>
      <c r="CN190" s="358">
        <v>249</v>
      </c>
      <c r="CO190" s="358">
        <v>256</v>
      </c>
      <c r="CP190" s="358">
        <v>267</v>
      </c>
      <c r="CQ190" s="358">
        <v>280</v>
      </c>
      <c r="CR190" s="358">
        <v>285</v>
      </c>
      <c r="CS190" s="358">
        <v>162</v>
      </c>
      <c r="CT190" s="358">
        <v>157</v>
      </c>
      <c r="CU190" s="358">
        <v>151</v>
      </c>
      <c r="CV190" s="358">
        <v>145</v>
      </c>
      <c r="CW190" s="358">
        <v>139</v>
      </c>
      <c r="CX190" s="358">
        <v>134</v>
      </c>
      <c r="CY190" s="358">
        <v>127</v>
      </c>
      <c r="CZ190" s="358">
        <v>124</v>
      </c>
      <c r="DA190" s="358">
        <v>120</v>
      </c>
      <c r="DB190" s="358">
        <v>115</v>
      </c>
      <c r="DC190" s="358">
        <v>104</v>
      </c>
      <c r="DD190" s="358">
        <v>94</v>
      </c>
      <c r="DE190" s="358">
        <v>90</v>
      </c>
      <c r="DF190" s="358">
        <v>84</v>
      </c>
      <c r="DG190" s="358">
        <v>75</v>
      </c>
      <c r="DH190" s="358">
        <v>70</v>
      </c>
      <c r="DI190" s="358">
        <v>63</v>
      </c>
      <c r="DJ190" s="358">
        <v>54</v>
      </c>
      <c r="DK190" s="358">
        <v>47</v>
      </c>
      <c r="DL190" s="358">
        <v>39</v>
      </c>
      <c r="DM190" s="358">
        <v>27</v>
      </c>
      <c r="DN190" s="358">
        <v>24</v>
      </c>
      <c r="DO190" s="358">
        <v>13</v>
      </c>
      <c r="DP190" s="358">
        <v>4</v>
      </c>
      <c r="DQ190" s="358">
        <v>175</v>
      </c>
      <c r="DR190" s="358">
        <v>180</v>
      </c>
      <c r="DS190" s="358">
        <v>184</v>
      </c>
      <c r="DT190" s="358">
        <v>186</v>
      </c>
      <c r="DU190" s="358">
        <v>189</v>
      </c>
      <c r="DV190" s="358">
        <v>190</v>
      </c>
      <c r="DW190" s="358">
        <v>196</v>
      </c>
      <c r="DX190" s="358">
        <v>199</v>
      </c>
      <c r="DY190" s="358">
        <v>205</v>
      </c>
      <c r="DZ190" s="358">
        <v>210</v>
      </c>
      <c r="EA190" s="358">
        <v>214</v>
      </c>
      <c r="EB190" s="358">
        <v>218</v>
      </c>
      <c r="EC190" s="358">
        <v>223</v>
      </c>
      <c r="ED190" s="358">
        <v>229</v>
      </c>
      <c r="EE190" s="358">
        <v>235</v>
      </c>
      <c r="EF190" s="358">
        <v>238</v>
      </c>
      <c r="EG190" s="358">
        <v>242</v>
      </c>
      <c r="EH190" s="358">
        <v>247</v>
      </c>
      <c r="EI190" s="358">
        <v>252</v>
      </c>
      <c r="EJ190" s="358">
        <v>256</v>
      </c>
      <c r="EK190" s="358">
        <v>261</v>
      </c>
      <c r="EL190" s="358">
        <v>265</v>
      </c>
      <c r="EM190" s="358">
        <v>314</v>
      </c>
      <c r="EN190" s="358">
        <v>326</v>
      </c>
      <c r="EO190" s="358">
        <v>337</v>
      </c>
      <c r="EP190" s="358">
        <v>347</v>
      </c>
      <c r="EQ190" s="358">
        <v>354</v>
      </c>
      <c r="ES190" s="358">
        <v>366</v>
      </c>
      <c r="ET190" s="358">
        <v>371</v>
      </c>
      <c r="EU190" s="358">
        <v>380</v>
      </c>
      <c r="EV190" s="358">
        <v>386</v>
      </c>
      <c r="EW190" s="358">
        <v>310</v>
      </c>
      <c r="EX190" s="358">
        <v>321</v>
      </c>
      <c r="EY190" s="358">
        <v>332</v>
      </c>
      <c r="EZ190" s="358">
        <v>348</v>
      </c>
      <c r="FA190" s="358">
        <v>356</v>
      </c>
      <c r="FB190" s="358">
        <v>366</v>
      </c>
      <c r="FC190" s="358">
        <v>380</v>
      </c>
      <c r="FD190" s="358">
        <v>392</v>
      </c>
      <c r="FE190" s="358">
        <v>399</v>
      </c>
      <c r="FF190" s="358">
        <v>404</v>
      </c>
      <c r="FG190" s="358">
        <v>416</v>
      </c>
      <c r="FH190" s="358">
        <v>425</v>
      </c>
      <c r="FI190" s="358">
        <v>436</v>
      </c>
      <c r="FJ190" s="358">
        <v>442</v>
      </c>
      <c r="FK190" s="358">
        <v>447</v>
      </c>
      <c r="FL190" s="358">
        <v>289</v>
      </c>
      <c r="FM190" s="358">
        <v>299</v>
      </c>
      <c r="FN190" s="358">
        <v>305</v>
      </c>
      <c r="FO190" s="358">
        <v>312</v>
      </c>
      <c r="FP190" s="358">
        <v>325</v>
      </c>
      <c r="FQ190" s="358">
        <v>340</v>
      </c>
      <c r="FR190" s="358">
        <v>348</v>
      </c>
      <c r="FS190" s="358">
        <v>355</v>
      </c>
      <c r="FT190" s="358">
        <v>362</v>
      </c>
      <c r="FU190" s="358">
        <v>369</v>
      </c>
      <c r="FV190" s="358">
        <v>379</v>
      </c>
      <c r="FW190" s="358">
        <v>240</v>
      </c>
      <c r="FX190" s="358">
        <v>287</v>
      </c>
      <c r="FY190" s="358">
        <v>294</v>
      </c>
      <c r="FZ190" s="358">
        <v>322</v>
      </c>
      <c r="GA190" s="358">
        <v>391</v>
      </c>
      <c r="GB190" s="358">
        <v>427</v>
      </c>
      <c r="GC190" s="358">
        <v>279</v>
      </c>
      <c r="GD190" s="358">
        <v>315</v>
      </c>
      <c r="GE190" s="358">
        <v>344</v>
      </c>
      <c r="GG190" s="358">
        <v>260</v>
      </c>
      <c r="GH190" s="358">
        <v>272</v>
      </c>
      <c r="GI190" s="361">
        <v>298</v>
      </c>
    </row>
    <row r="191" spans="1:191">
      <c r="A191" s="336" t="s">
        <v>309</v>
      </c>
      <c r="B191" s="358">
        <v>92</v>
      </c>
      <c r="C191" s="358">
        <v>96</v>
      </c>
      <c r="D191" s="358">
        <v>98</v>
      </c>
      <c r="E191" s="358">
        <v>99</v>
      </c>
      <c r="F191" s="358">
        <v>102</v>
      </c>
      <c r="G191" s="358">
        <v>105</v>
      </c>
      <c r="H191" s="358">
        <v>108</v>
      </c>
      <c r="I191" s="358">
        <v>110</v>
      </c>
      <c r="J191" s="358">
        <v>113</v>
      </c>
      <c r="K191" s="358">
        <v>117</v>
      </c>
      <c r="L191" s="358">
        <v>119</v>
      </c>
      <c r="M191" s="358">
        <v>122</v>
      </c>
      <c r="N191" s="358">
        <v>124</v>
      </c>
      <c r="O191" s="358">
        <v>129</v>
      </c>
      <c r="P191" s="358">
        <v>135</v>
      </c>
      <c r="Q191" s="358">
        <v>137</v>
      </c>
      <c r="R191" s="358">
        <v>140</v>
      </c>
      <c r="S191" s="358">
        <v>142</v>
      </c>
      <c r="T191" s="358">
        <v>145</v>
      </c>
      <c r="U191" s="358">
        <v>148</v>
      </c>
      <c r="V191" s="358">
        <v>94</v>
      </c>
      <c r="W191" s="358">
        <v>96</v>
      </c>
      <c r="X191" s="358">
        <v>98</v>
      </c>
      <c r="Y191" s="358">
        <v>100</v>
      </c>
      <c r="Z191" s="358">
        <v>102</v>
      </c>
      <c r="AA191" s="358">
        <v>103</v>
      </c>
      <c r="AB191" s="358">
        <v>105</v>
      </c>
      <c r="AC191" s="358">
        <v>108</v>
      </c>
      <c r="AD191" s="358">
        <v>110</v>
      </c>
      <c r="AE191" s="358">
        <v>115</v>
      </c>
      <c r="AF191" s="358">
        <v>120</v>
      </c>
      <c r="AG191" s="358">
        <v>125</v>
      </c>
      <c r="AH191" s="358">
        <v>126</v>
      </c>
      <c r="AI191" s="358">
        <v>127</v>
      </c>
      <c r="AJ191" s="358">
        <v>131</v>
      </c>
      <c r="AK191" s="358">
        <v>137</v>
      </c>
      <c r="AL191" s="358">
        <v>143</v>
      </c>
      <c r="AM191" s="358">
        <v>148</v>
      </c>
      <c r="AN191" s="358">
        <v>154</v>
      </c>
      <c r="AO191" s="358">
        <v>158</v>
      </c>
      <c r="AP191" s="358">
        <v>164</v>
      </c>
      <c r="AQ191" s="358">
        <v>170</v>
      </c>
      <c r="AR191" s="358">
        <v>174</v>
      </c>
      <c r="AS191" s="358">
        <v>186</v>
      </c>
      <c r="AT191" s="358">
        <v>194</v>
      </c>
      <c r="AU191" s="358">
        <v>204</v>
      </c>
      <c r="AV191" s="358">
        <v>213</v>
      </c>
      <c r="AW191" s="358">
        <v>221</v>
      </c>
      <c r="AX191" s="358">
        <v>89</v>
      </c>
      <c r="AY191" s="358">
        <v>85</v>
      </c>
      <c r="AZ191" s="358">
        <v>84</v>
      </c>
      <c r="BA191" s="358">
        <v>83</v>
      </c>
      <c r="BB191" s="358">
        <v>82</v>
      </c>
      <c r="BC191" s="358">
        <v>79</v>
      </c>
      <c r="BD191" s="358">
        <v>75</v>
      </c>
      <c r="BE191" s="358">
        <v>73</v>
      </c>
      <c r="BF191" s="358">
        <v>72</v>
      </c>
      <c r="BG191" s="358">
        <v>69</v>
      </c>
      <c r="BH191" s="358">
        <v>68</v>
      </c>
      <c r="BI191" s="358">
        <v>67</v>
      </c>
      <c r="BJ191" s="358">
        <v>65</v>
      </c>
      <c r="BK191" s="358">
        <v>64</v>
      </c>
      <c r="BL191" s="358">
        <v>63</v>
      </c>
      <c r="BM191" s="358">
        <v>61</v>
      </c>
      <c r="BN191" s="358">
        <v>60</v>
      </c>
      <c r="BO191" s="358">
        <v>57</v>
      </c>
      <c r="BP191" s="358">
        <v>52</v>
      </c>
      <c r="BQ191" s="358">
        <v>48</v>
      </c>
      <c r="BR191" s="358">
        <v>38</v>
      </c>
      <c r="BS191" s="358">
        <v>31</v>
      </c>
      <c r="BT191" s="358">
        <v>27</v>
      </c>
      <c r="BU191" s="358">
        <v>24</v>
      </c>
      <c r="BV191" s="358">
        <v>91</v>
      </c>
      <c r="BW191" s="358">
        <v>92</v>
      </c>
      <c r="BX191" s="358">
        <v>95</v>
      </c>
      <c r="BY191" s="358">
        <v>99</v>
      </c>
      <c r="BZ191" s="358">
        <v>104</v>
      </c>
      <c r="CA191" s="358">
        <v>108</v>
      </c>
      <c r="CB191" s="358">
        <v>115</v>
      </c>
      <c r="CC191" s="358">
        <v>120</v>
      </c>
      <c r="CD191" s="358">
        <v>123</v>
      </c>
      <c r="CE191" s="358">
        <v>127</v>
      </c>
      <c r="CF191" s="358">
        <v>129</v>
      </c>
      <c r="CG191" s="358">
        <v>136</v>
      </c>
      <c r="CH191" s="358">
        <v>138</v>
      </c>
      <c r="CI191" s="358">
        <v>142</v>
      </c>
      <c r="CJ191" s="358">
        <v>145</v>
      </c>
      <c r="CK191" s="358">
        <v>152</v>
      </c>
      <c r="CL191" s="358">
        <v>158</v>
      </c>
      <c r="CM191" s="358">
        <v>162</v>
      </c>
      <c r="CN191" s="358">
        <v>167</v>
      </c>
      <c r="CO191" s="358">
        <v>174</v>
      </c>
      <c r="CP191" s="358">
        <v>185</v>
      </c>
      <c r="CQ191" s="358">
        <v>198</v>
      </c>
      <c r="CR191" s="358">
        <v>203</v>
      </c>
      <c r="CS191" s="358">
        <v>98</v>
      </c>
      <c r="CT191" s="358">
        <v>103</v>
      </c>
      <c r="CU191" s="358">
        <v>109</v>
      </c>
      <c r="CV191" s="358">
        <v>115</v>
      </c>
      <c r="CW191" s="358">
        <v>121</v>
      </c>
      <c r="CX191" s="358">
        <v>126</v>
      </c>
      <c r="CY191" s="358">
        <v>133</v>
      </c>
      <c r="CZ191" s="358">
        <v>136</v>
      </c>
      <c r="DA191" s="358">
        <v>140</v>
      </c>
      <c r="DB191" s="358">
        <v>145</v>
      </c>
      <c r="DC191" s="358">
        <v>156</v>
      </c>
      <c r="DD191" s="358">
        <v>166</v>
      </c>
      <c r="DE191" s="358">
        <v>170</v>
      </c>
      <c r="DF191" s="358">
        <v>176</v>
      </c>
      <c r="DG191" s="358">
        <v>185</v>
      </c>
      <c r="DH191" s="358">
        <v>190</v>
      </c>
      <c r="DI191" s="358">
        <v>197</v>
      </c>
      <c r="DJ191" s="358">
        <v>206</v>
      </c>
      <c r="DK191" s="358">
        <v>213</v>
      </c>
      <c r="DL191" s="358">
        <v>221</v>
      </c>
      <c r="DM191" s="358">
        <v>233</v>
      </c>
      <c r="DN191" s="358">
        <v>236</v>
      </c>
      <c r="DO191" s="358">
        <v>247</v>
      </c>
      <c r="DP191" s="358">
        <v>256</v>
      </c>
      <c r="DQ191" s="358">
        <v>99</v>
      </c>
      <c r="DR191" s="358">
        <v>104</v>
      </c>
      <c r="DS191" s="358">
        <v>108</v>
      </c>
      <c r="DT191" s="358">
        <v>110</v>
      </c>
      <c r="DU191" s="358">
        <v>113</v>
      </c>
      <c r="DV191" s="358">
        <v>114</v>
      </c>
      <c r="DW191" s="358">
        <v>120</v>
      </c>
      <c r="DX191" s="358">
        <v>123</v>
      </c>
      <c r="DY191" s="358">
        <v>129</v>
      </c>
      <c r="DZ191" s="358">
        <v>134</v>
      </c>
      <c r="EA191" s="358">
        <v>138</v>
      </c>
      <c r="EB191" s="358">
        <v>142</v>
      </c>
      <c r="EC191" s="358">
        <v>147</v>
      </c>
      <c r="ED191" s="358">
        <v>153</v>
      </c>
      <c r="EE191" s="358">
        <v>159</v>
      </c>
      <c r="EF191" s="358">
        <v>162</v>
      </c>
      <c r="EG191" s="358">
        <v>166</v>
      </c>
      <c r="EH191" s="358">
        <v>171</v>
      </c>
      <c r="EI191" s="358">
        <v>176</v>
      </c>
      <c r="EJ191" s="358">
        <v>180</v>
      </c>
      <c r="EK191" s="358">
        <v>185</v>
      </c>
      <c r="EL191" s="358">
        <v>189</v>
      </c>
      <c r="EM191" s="358">
        <v>238</v>
      </c>
      <c r="EN191" s="358">
        <v>250</v>
      </c>
      <c r="EO191" s="358">
        <v>261</v>
      </c>
      <c r="EP191" s="358">
        <v>271</v>
      </c>
      <c r="EQ191" s="358">
        <v>278</v>
      </c>
      <c r="ES191" s="358">
        <v>290</v>
      </c>
      <c r="ET191" s="358">
        <v>295</v>
      </c>
      <c r="EU191" s="358">
        <v>304</v>
      </c>
      <c r="EV191" s="358">
        <v>310</v>
      </c>
      <c r="EW191" s="358">
        <v>234</v>
      </c>
      <c r="EX191" s="358">
        <v>245</v>
      </c>
      <c r="EY191" s="358">
        <v>256</v>
      </c>
      <c r="EZ191" s="358">
        <v>272</v>
      </c>
      <c r="FA191" s="358">
        <v>280</v>
      </c>
      <c r="FB191" s="358">
        <v>290</v>
      </c>
      <c r="FC191" s="358">
        <v>304</v>
      </c>
      <c r="FD191" s="358">
        <v>316</v>
      </c>
      <c r="FE191" s="358">
        <v>323</v>
      </c>
      <c r="FF191" s="358">
        <v>328</v>
      </c>
      <c r="FG191" s="358">
        <v>340</v>
      </c>
      <c r="FH191" s="358">
        <v>349</v>
      </c>
      <c r="FI191" s="358">
        <v>360</v>
      </c>
      <c r="FJ191" s="358">
        <v>366</v>
      </c>
      <c r="FK191" s="358">
        <v>371</v>
      </c>
      <c r="FL191" s="358">
        <v>213</v>
      </c>
      <c r="FM191" s="358">
        <v>223</v>
      </c>
      <c r="FN191" s="358">
        <v>229</v>
      </c>
      <c r="FO191" s="358">
        <v>236</v>
      </c>
      <c r="FP191" s="358">
        <v>249</v>
      </c>
      <c r="FQ191" s="358">
        <v>264</v>
      </c>
      <c r="FR191" s="358">
        <v>272</v>
      </c>
      <c r="FS191" s="358">
        <v>279</v>
      </c>
      <c r="FT191" s="358">
        <v>286</v>
      </c>
      <c r="FU191" s="358">
        <v>293</v>
      </c>
      <c r="FV191" s="358">
        <v>303</v>
      </c>
      <c r="FW191" s="358">
        <v>164</v>
      </c>
      <c r="FX191" s="358">
        <v>211</v>
      </c>
      <c r="FY191" s="358">
        <v>218</v>
      </c>
      <c r="FZ191" s="358">
        <v>246</v>
      </c>
      <c r="GA191" s="358">
        <v>315</v>
      </c>
      <c r="GB191" s="358">
        <v>351</v>
      </c>
      <c r="GC191" s="358">
        <v>19</v>
      </c>
      <c r="GD191" s="358">
        <v>55</v>
      </c>
      <c r="GE191" s="358">
        <v>84</v>
      </c>
      <c r="GF191" s="358">
        <v>260</v>
      </c>
      <c r="GH191" s="358">
        <v>12</v>
      </c>
      <c r="GI191" s="361">
        <v>38</v>
      </c>
    </row>
    <row r="192" spans="1:191">
      <c r="A192" s="336" t="s">
        <v>308</v>
      </c>
      <c r="B192" s="358">
        <v>104</v>
      </c>
      <c r="C192" s="358">
        <v>108</v>
      </c>
      <c r="D192" s="358">
        <v>110</v>
      </c>
      <c r="E192" s="358">
        <v>111</v>
      </c>
      <c r="F192" s="358">
        <v>114</v>
      </c>
      <c r="G192" s="358">
        <v>117</v>
      </c>
      <c r="H192" s="358">
        <v>120</v>
      </c>
      <c r="I192" s="358">
        <v>122</v>
      </c>
      <c r="J192" s="358">
        <v>125</v>
      </c>
      <c r="K192" s="358">
        <v>129</v>
      </c>
      <c r="L192" s="358">
        <v>131</v>
      </c>
      <c r="M192" s="358">
        <v>134</v>
      </c>
      <c r="N192" s="358">
        <v>136</v>
      </c>
      <c r="O192" s="358">
        <v>141</v>
      </c>
      <c r="P192" s="358">
        <v>147</v>
      </c>
      <c r="Q192" s="358">
        <v>149</v>
      </c>
      <c r="R192" s="358">
        <v>152</v>
      </c>
      <c r="S192" s="358">
        <v>154</v>
      </c>
      <c r="T192" s="358">
        <v>157</v>
      </c>
      <c r="U192" s="358">
        <v>160</v>
      </c>
      <c r="V192" s="358">
        <v>106</v>
      </c>
      <c r="W192" s="358">
        <v>108</v>
      </c>
      <c r="X192" s="358">
        <v>110</v>
      </c>
      <c r="Y192" s="358">
        <v>112</v>
      </c>
      <c r="Z192" s="358">
        <v>114</v>
      </c>
      <c r="AA192" s="358">
        <v>115</v>
      </c>
      <c r="AB192" s="358">
        <v>117</v>
      </c>
      <c r="AC192" s="358">
        <v>120</v>
      </c>
      <c r="AD192" s="358">
        <v>122</v>
      </c>
      <c r="AE192" s="358">
        <v>127</v>
      </c>
      <c r="AF192" s="358">
        <v>132</v>
      </c>
      <c r="AG192" s="358">
        <v>137</v>
      </c>
      <c r="AH192" s="358">
        <v>138</v>
      </c>
      <c r="AI192" s="358">
        <v>139</v>
      </c>
      <c r="AJ192" s="358">
        <v>143</v>
      </c>
      <c r="AK192" s="358">
        <v>149</v>
      </c>
      <c r="AL192" s="358">
        <v>155</v>
      </c>
      <c r="AM192" s="358">
        <v>160</v>
      </c>
      <c r="AN192" s="358">
        <v>166</v>
      </c>
      <c r="AO192" s="358">
        <v>170</v>
      </c>
      <c r="AP192" s="358">
        <v>176</v>
      </c>
      <c r="AQ192" s="358">
        <v>182</v>
      </c>
      <c r="AR192" s="358">
        <v>186</v>
      </c>
      <c r="AS192" s="358">
        <v>198</v>
      </c>
      <c r="AT192" s="358">
        <v>206</v>
      </c>
      <c r="AU192" s="358">
        <v>216</v>
      </c>
      <c r="AV192" s="358">
        <v>225</v>
      </c>
      <c r="AW192" s="358">
        <v>233</v>
      </c>
      <c r="AX192" s="358">
        <v>101</v>
      </c>
      <c r="AY192" s="358">
        <v>97</v>
      </c>
      <c r="AZ192" s="358">
        <v>96</v>
      </c>
      <c r="BA192" s="358">
        <v>95</v>
      </c>
      <c r="BB192" s="358">
        <v>94</v>
      </c>
      <c r="BC192" s="358">
        <v>91</v>
      </c>
      <c r="BD192" s="358">
        <v>87</v>
      </c>
      <c r="BE192" s="358">
        <v>85</v>
      </c>
      <c r="BF192" s="358">
        <v>84</v>
      </c>
      <c r="BG192" s="358">
        <v>81</v>
      </c>
      <c r="BH192" s="358">
        <v>80</v>
      </c>
      <c r="BI192" s="358">
        <v>79</v>
      </c>
      <c r="BJ192" s="358">
        <v>77</v>
      </c>
      <c r="BK192" s="358">
        <v>76</v>
      </c>
      <c r="BL192" s="358">
        <v>75</v>
      </c>
      <c r="BM192" s="358">
        <v>73</v>
      </c>
      <c r="BN192" s="358">
        <v>72</v>
      </c>
      <c r="BO192" s="358">
        <v>69</v>
      </c>
      <c r="BP192" s="358">
        <v>64</v>
      </c>
      <c r="BQ192" s="358">
        <v>60</v>
      </c>
      <c r="BR192" s="358">
        <v>50</v>
      </c>
      <c r="BS192" s="358">
        <v>43</v>
      </c>
      <c r="BT192" s="358">
        <v>39</v>
      </c>
      <c r="BU192" s="358">
        <v>36</v>
      </c>
      <c r="BV192" s="358">
        <v>103</v>
      </c>
      <c r="BW192" s="358">
        <v>104</v>
      </c>
      <c r="BX192" s="358">
        <v>107</v>
      </c>
      <c r="BY192" s="358">
        <v>111</v>
      </c>
      <c r="BZ192" s="358">
        <v>116</v>
      </c>
      <c r="CA192" s="358">
        <v>120</v>
      </c>
      <c r="CB192" s="358">
        <v>127</v>
      </c>
      <c r="CC192" s="358">
        <v>132</v>
      </c>
      <c r="CD192" s="358">
        <v>135</v>
      </c>
      <c r="CE192" s="358">
        <v>139</v>
      </c>
      <c r="CF192" s="358">
        <v>141</v>
      </c>
      <c r="CG192" s="358">
        <v>148</v>
      </c>
      <c r="CH192" s="358">
        <v>150</v>
      </c>
      <c r="CI192" s="358">
        <v>154</v>
      </c>
      <c r="CJ192" s="358">
        <v>157</v>
      </c>
      <c r="CK192" s="358">
        <v>164</v>
      </c>
      <c r="CL192" s="358">
        <v>170</v>
      </c>
      <c r="CM192" s="358">
        <v>174</v>
      </c>
      <c r="CN192" s="358">
        <v>179</v>
      </c>
      <c r="CO192" s="358">
        <v>186</v>
      </c>
      <c r="CP192" s="358">
        <v>197</v>
      </c>
      <c r="CQ192" s="358">
        <v>210</v>
      </c>
      <c r="CR192" s="358">
        <v>215</v>
      </c>
      <c r="CS192" s="358">
        <v>110</v>
      </c>
      <c r="CT192" s="358">
        <v>115</v>
      </c>
      <c r="CU192" s="358">
        <v>121</v>
      </c>
      <c r="CV192" s="358">
        <v>127</v>
      </c>
      <c r="CW192" s="358">
        <v>133</v>
      </c>
      <c r="CX192" s="358">
        <v>138</v>
      </c>
      <c r="CY192" s="358">
        <v>145</v>
      </c>
      <c r="CZ192" s="358">
        <v>148</v>
      </c>
      <c r="DA192" s="358">
        <v>152</v>
      </c>
      <c r="DB192" s="358">
        <v>157</v>
      </c>
      <c r="DC192" s="358">
        <v>168</v>
      </c>
      <c r="DD192" s="358">
        <v>178</v>
      </c>
      <c r="DE192" s="358">
        <v>182</v>
      </c>
      <c r="DF192" s="358">
        <v>188</v>
      </c>
      <c r="DG192" s="358">
        <v>197</v>
      </c>
      <c r="DH192" s="358">
        <v>202</v>
      </c>
      <c r="DI192" s="358">
        <v>209</v>
      </c>
      <c r="DJ192" s="358">
        <v>218</v>
      </c>
      <c r="DK192" s="358">
        <v>225</v>
      </c>
      <c r="DL192" s="358">
        <v>233</v>
      </c>
      <c r="DM192" s="358">
        <v>245</v>
      </c>
      <c r="DN192" s="358">
        <v>248</v>
      </c>
      <c r="DO192" s="358">
        <v>259</v>
      </c>
      <c r="DP192" s="358">
        <v>268</v>
      </c>
      <c r="DQ192" s="358">
        <v>111</v>
      </c>
      <c r="DR192" s="358">
        <v>116</v>
      </c>
      <c r="DS192" s="358">
        <v>120</v>
      </c>
      <c r="DT192" s="358">
        <v>122</v>
      </c>
      <c r="DU192" s="358">
        <v>125</v>
      </c>
      <c r="DV192" s="358">
        <v>126</v>
      </c>
      <c r="DW192" s="358">
        <v>132</v>
      </c>
      <c r="DX192" s="358">
        <v>135</v>
      </c>
      <c r="DY192" s="358">
        <v>141</v>
      </c>
      <c r="DZ192" s="358">
        <v>146</v>
      </c>
      <c r="EA192" s="358">
        <v>150</v>
      </c>
      <c r="EB192" s="358">
        <v>154</v>
      </c>
      <c r="EC192" s="358">
        <v>159</v>
      </c>
      <c r="ED192" s="358">
        <v>165</v>
      </c>
      <c r="EE192" s="358">
        <v>171</v>
      </c>
      <c r="EF192" s="358">
        <v>174</v>
      </c>
      <c r="EG192" s="358">
        <v>178</v>
      </c>
      <c r="EH192" s="358">
        <v>183</v>
      </c>
      <c r="EI192" s="358">
        <v>188</v>
      </c>
      <c r="EJ192" s="358">
        <v>192</v>
      </c>
      <c r="EK192" s="358">
        <v>197</v>
      </c>
      <c r="EL192" s="358">
        <v>201</v>
      </c>
      <c r="EM192" s="358">
        <v>250</v>
      </c>
      <c r="EN192" s="358">
        <v>262</v>
      </c>
      <c r="EO192" s="358">
        <v>273</v>
      </c>
      <c r="EP192" s="358">
        <v>283</v>
      </c>
      <c r="EQ192" s="358">
        <v>290</v>
      </c>
      <c r="ES192" s="358">
        <v>302</v>
      </c>
      <c r="ET192" s="358">
        <v>307</v>
      </c>
      <c r="EU192" s="358">
        <v>316</v>
      </c>
      <c r="EV192" s="358">
        <v>322</v>
      </c>
      <c r="EW192" s="358">
        <v>246</v>
      </c>
      <c r="EX192" s="358">
        <v>257</v>
      </c>
      <c r="EY192" s="358">
        <v>268</v>
      </c>
      <c r="EZ192" s="358">
        <v>284</v>
      </c>
      <c r="FA192" s="358">
        <v>292</v>
      </c>
      <c r="FB192" s="358">
        <v>302</v>
      </c>
      <c r="FC192" s="358">
        <v>316</v>
      </c>
      <c r="FD192" s="358">
        <v>328</v>
      </c>
      <c r="FE192" s="358">
        <v>335</v>
      </c>
      <c r="FF192" s="358">
        <v>340</v>
      </c>
      <c r="FG192" s="358">
        <v>352</v>
      </c>
      <c r="FH192" s="358">
        <v>361</v>
      </c>
      <c r="FI192" s="358">
        <v>372</v>
      </c>
      <c r="FJ192" s="358">
        <v>378</v>
      </c>
      <c r="FK192" s="358">
        <v>383</v>
      </c>
      <c r="FL192" s="358">
        <v>225</v>
      </c>
      <c r="FM192" s="358">
        <v>235</v>
      </c>
      <c r="FN192" s="358">
        <v>241</v>
      </c>
      <c r="FO192" s="358">
        <v>248</v>
      </c>
      <c r="FP192" s="358">
        <v>261</v>
      </c>
      <c r="FQ192" s="358">
        <v>276</v>
      </c>
      <c r="FR192" s="358">
        <v>284</v>
      </c>
      <c r="FS192" s="358">
        <v>291</v>
      </c>
      <c r="FT192" s="358">
        <v>298</v>
      </c>
      <c r="FU192" s="358">
        <v>305</v>
      </c>
      <c r="FV192" s="358">
        <v>315</v>
      </c>
      <c r="FW192" s="358">
        <v>176</v>
      </c>
      <c r="FX192" s="358">
        <v>223</v>
      </c>
      <c r="FY192" s="358">
        <v>230</v>
      </c>
      <c r="FZ192" s="358">
        <v>258</v>
      </c>
      <c r="GA192" s="358">
        <v>327</v>
      </c>
      <c r="GB192" s="358">
        <v>363</v>
      </c>
      <c r="GC192" s="358">
        <v>7</v>
      </c>
      <c r="GD192" s="358">
        <v>43</v>
      </c>
      <c r="GE192" s="358">
        <v>72</v>
      </c>
      <c r="GF192" s="358">
        <v>272</v>
      </c>
      <c r="GG192" s="358">
        <v>12</v>
      </c>
      <c r="GI192" s="361">
        <v>26</v>
      </c>
    </row>
    <row r="193" spans="1:191">
      <c r="A193" s="332" t="s">
        <v>307</v>
      </c>
      <c r="B193" s="360">
        <v>130</v>
      </c>
      <c r="C193" s="360">
        <v>134</v>
      </c>
      <c r="D193" s="360">
        <v>136</v>
      </c>
      <c r="E193" s="360">
        <v>137</v>
      </c>
      <c r="F193" s="360">
        <v>140</v>
      </c>
      <c r="G193" s="360">
        <v>143</v>
      </c>
      <c r="H193" s="360">
        <v>146</v>
      </c>
      <c r="I193" s="360">
        <v>148</v>
      </c>
      <c r="J193" s="360">
        <v>151</v>
      </c>
      <c r="K193" s="360">
        <v>155</v>
      </c>
      <c r="L193" s="360">
        <v>157</v>
      </c>
      <c r="M193" s="360">
        <v>160</v>
      </c>
      <c r="N193" s="360">
        <v>162</v>
      </c>
      <c r="O193" s="360">
        <v>167</v>
      </c>
      <c r="P193" s="360">
        <v>173</v>
      </c>
      <c r="Q193" s="360">
        <v>175</v>
      </c>
      <c r="R193" s="360">
        <v>178</v>
      </c>
      <c r="S193" s="360">
        <v>180</v>
      </c>
      <c r="T193" s="360">
        <v>183</v>
      </c>
      <c r="U193" s="360">
        <v>186</v>
      </c>
      <c r="V193" s="360">
        <v>132</v>
      </c>
      <c r="W193" s="360">
        <v>134</v>
      </c>
      <c r="X193" s="360">
        <v>136</v>
      </c>
      <c r="Y193" s="360">
        <v>138</v>
      </c>
      <c r="Z193" s="360">
        <v>140</v>
      </c>
      <c r="AA193" s="360">
        <v>141</v>
      </c>
      <c r="AB193" s="360">
        <v>143</v>
      </c>
      <c r="AC193" s="360">
        <v>146</v>
      </c>
      <c r="AD193" s="360">
        <v>148</v>
      </c>
      <c r="AE193" s="360">
        <v>153</v>
      </c>
      <c r="AF193" s="360">
        <v>158</v>
      </c>
      <c r="AG193" s="360">
        <v>163</v>
      </c>
      <c r="AH193" s="360">
        <v>164</v>
      </c>
      <c r="AI193" s="360">
        <v>165</v>
      </c>
      <c r="AJ193" s="360">
        <v>169</v>
      </c>
      <c r="AK193" s="360">
        <v>175</v>
      </c>
      <c r="AL193" s="360">
        <v>181</v>
      </c>
      <c r="AM193" s="360">
        <v>186</v>
      </c>
      <c r="AN193" s="360">
        <v>192</v>
      </c>
      <c r="AO193" s="360">
        <v>196</v>
      </c>
      <c r="AP193" s="360">
        <v>202</v>
      </c>
      <c r="AQ193" s="360">
        <v>208</v>
      </c>
      <c r="AR193" s="360">
        <v>212</v>
      </c>
      <c r="AS193" s="360">
        <v>224</v>
      </c>
      <c r="AT193" s="360">
        <v>232</v>
      </c>
      <c r="AU193" s="360">
        <v>242</v>
      </c>
      <c r="AV193" s="360">
        <v>251</v>
      </c>
      <c r="AW193" s="360">
        <v>259</v>
      </c>
      <c r="AX193" s="360">
        <v>127</v>
      </c>
      <c r="AY193" s="360">
        <v>123</v>
      </c>
      <c r="AZ193" s="360">
        <v>122</v>
      </c>
      <c r="BA193" s="360">
        <v>121</v>
      </c>
      <c r="BB193" s="360">
        <v>120</v>
      </c>
      <c r="BC193" s="360">
        <v>117</v>
      </c>
      <c r="BD193" s="360">
        <v>113</v>
      </c>
      <c r="BE193" s="360">
        <v>111</v>
      </c>
      <c r="BF193" s="360">
        <v>110</v>
      </c>
      <c r="BG193" s="360">
        <v>107</v>
      </c>
      <c r="BH193" s="360">
        <v>106</v>
      </c>
      <c r="BI193" s="360">
        <v>105</v>
      </c>
      <c r="BJ193" s="360">
        <v>103</v>
      </c>
      <c r="BK193" s="360">
        <v>102</v>
      </c>
      <c r="BL193" s="360">
        <v>101</v>
      </c>
      <c r="BM193" s="360">
        <v>99</v>
      </c>
      <c r="BN193" s="360">
        <v>98</v>
      </c>
      <c r="BO193" s="360">
        <v>95</v>
      </c>
      <c r="BP193" s="360">
        <v>90</v>
      </c>
      <c r="BQ193" s="360">
        <v>86</v>
      </c>
      <c r="BR193" s="360">
        <v>76</v>
      </c>
      <c r="BS193" s="360">
        <v>69</v>
      </c>
      <c r="BT193" s="360">
        <v>65</v>
      </c>
      <c r="BU193" s="360">
        <v>62</v>
      </c>
      <c r="BV193" s="360">
        <v>129</v>
      </c>
      <c r="BW193" s="360">
        <v>130</v>
      </c>
      <c r="BX193" s="360">
        <v>133</v>
      </c>
      <c r="BY193" s="360">
        <v>137</v>
      </c>
      <c r="BZ193" s="360">
        <v>142</v>
      </c>
      <c r="CA193" s="360">
        <v>146</v>
      </c>
      <c r="CB193" s="360">
        <v>153</v>
      </c>
      <c r="CC193" s="360">
        <v>158</v>
      </c>
      <c r="CD193" s="360">
        <v>161</v>
      </c>
      <c r="CE193" s="360">
        <v>165</v>
      </c>
      <c r="CF193" s="360">
        <v>167</v>
      </c>
      <c r="CG193" s="360">
        <v>174</v>
      </c>
      <c r="CH193" s="360">
        <v>176</v>
      </c>
      <c r="CI193" s="360">
        <v>180</v>
      </c>
      <c r="CJ193" s="360">
        <v>183</v>
      </c>
      <c r="CK193" s="360">
        <v>190</v>
      </c>
      <c r="CL193" s="360">
        <v>196</v>
      </c>
      <c r="CM193" s="360">
        <v>200</v>
      </c>
      <c r="CN193" s="360">
        <v>205</v>
      </c>
      <c r="CO193" s="360">
        <v>212</v>
      </c>
      <c r="CP193" s="360">
        <v>223</v>
      </c>
      <c r="CQ193" s="360">
        <v>236</v>
      </c>
      <c r="CR193" s="360">
        <v>241</v>
      </c>
      <c r="CS193" s="360">
        <v>136</v>
      </c>
      <c r="CT193" s="360">
        <v>141</v>
      </c>
      <c r="CU193" s="360">
        <v>147</v>
      </c>
      <c r="CV193" s="360">
        <v>153</v>
      </c>
      <c r="CW193" s="360">
        <v>159</v>
      </c>
      <c r="CX193" s="360">
        <v>164</v>
      </c>
      <c r="CY193" s="360">
        <v>171</v>
      </c>
      <c r="CZ193" s="360">
        <v>174</v>
      </c>
      <c r="DA193" s="360">
        <v>178</v>
      </c>
      <c r="DB193" s="360">
        <v>183</v>
      </c>
      <c r="DC193" s="360">
        <v>194</v>
      </c>
      <c r="DD193" s="360">
        <v>204</v>
      </c>
      <c r="DE193" s="360">
        <v>208</v>
      </c>
      <c r="DF193" s="360">
        <v>214</v>
      </c>
      <c r="DG193" s="360">
        <v>223</v>
      </c>
      <c r="DH193" s="360">
        <v>228</v>
      </c>
      <c r="DI193" s="360">
        <v>235</v>
      </c>
      <c r="DJ193" s="360">
        <v>244</v>
      </c>
      <c r="DK193" s="360">
        <v>251</v>
      </c>
      <c r="DL193" s="360">
        <v>259</v>
      </c>
      <c r="DM193" s="360">
        <v>271</v>
      </c>
      <c r="DN193" s="360">
        <v>274</v>
      </c>
      <c r="DO193" s="360">
        <v>285</v>
      </c>
      <c r="DP193" s="360">
        <v>294</v>
      </c>
      <c r="DQ193" s="360">
        <v>137</v>
      </c>
      <c r="DR193" s="360">
        <v>142</v>
      </c>
      <c r="DS193" s="360">
        <v>146</v>
      </c>
      <c r="DT193" s="360">
        <v>148</v>
      </c>
      <c r="DU193" s="360">
        <v>151</v>
      </c>
      <c r="DV193" s="360">
        <v>152</v>
      </c>
      <c r="DW193" s="360">
        <v>158</v>
      </c>
      <c r="DX193" s="360">
        <v>161</v>
      </c>
      <c r="DY193" s="360">
        <v>167</v>
      </c>
      <c r="DZ193" s="360">
        <v>172</v>
      </c>
      <c r="EA193" s="360">
        <v>176</v>
      </c>
      <c r="EB193" s="360">
        <v>180</v>
      </c>
      <c r="EC193" s="360">
        <v>185</v>
      </c>
      <c r="ED193" s="360">
        <v>191</v>
      </c>
      <c r="EE193" s="360">
        <v>197</v>
      </c>
      <c r="EF193" s="360">
        <v>200</v>
      </c>
      <c r="EG193" s="360">
        <v>204</v>
      </c>
      <c r="EH193" s="360">
        <v>209</v>
      </c>
      <c r="EI193" s="360">
        <v>214</v>
      </c>
      <c r="EJ193" s="360">
        <v>218</v>
      </c>
      <c r="EK193" s="360">
        <v>223</v>
      </c>
      <c r="EL193" s="360">
        <v>227</v>
      </c>
      <c r="EM193" s="360">
        <v>276</v>
      </c>
      <c r="EN193" s="360">
        <v>288</v>
      </c>
      <c r="EO193" s="360">
        <v>299</v>
      </c>
      <c r="EP193" s="360">
        <v>309</v>
      </c>
      <c r="EQ193" s="360">
        <v>316</v>
      </c>
      <c r="ER193" s="360"/>
      <c r="ES193" s="360">
        <v>328</v>
      </c>
      <c r="ET193" s="360">
        <v>333</v>
      </c>
      <c r="EU193" s="360">
        <v>342</v>
      </c>
      <c r="EV193" s="360">
        <v>348</v>
      </c>
      <c r="EW193" s="360">
        <v>272</v>
      </c>
      <c r="EX193" s="360">
        <v>283</v>
      </c>
      <c r="EY193" s="360">
        <v>294</v>
      </c>
      <c r="EZ193" s="360">
        <v>310</v>
      </c>
      <c r="FA193" s="360">
        <v>318</v>
      </c>
      <c r="FB193" s="360">
        <v>328</v>
      </c>
      <c r="FC193" s="360">
        <v>342</v>
      </c>
      <c r="FD193" s="360">
        <v>354</v>
      </c>
      <c r="FE193" s="360">
        <v>361</v>
      </c>
      <c r="FF193" s="360">
        <v>366</v>
      </c>
      <c r="FG193" s="360">
        <v>378</v>
      </c>
      <c r="FH193" s="360">
        <v>387</v>
      </c>
      <c r="FI193" s="360">
        <v>398</v>
      </c>
      <c r="FJ193" s="360">
        <v>404</v>
      </c>
      <c r="FK193" s="360">
        <v>409</v>
      </c>
      <c r="FL193" s="360">
        <v>251</v>
      </c>
      <c r="FM193" s="360">
        <v>261</v>
      </c>
      <c r="FN193" s="360">
        <v>267</v>
      </c>
      <c r="FO193" s="360">
        <v>274</v>
      </c>
      <c r="FP193" s="360">
        <v>287</v>
      </c>
      <c r="FQ193" s="360">
        <v>302</v>
      </c>
      <c r="FR193" s="360">
        <v>310</v>
      </c>
      <c r="FS193" s="360">
        <v>317</v>
      </c>
      <c r="FT193" s="360">
        <v>324</v>
      </c>
      <c r="FU193" s="360">
        <v>331</v>
      </c>
      <c r="FV193" s="360">
        <v>341</v>
      </c>
      <c r="FW193" s="360">
        <v>202</v>
      </c>
      <c r="FX193" s="360">
        <v>249</v>
      </c>
      <c r="FY193" s="360">
        <v>256</v>
      </c>
      <c r="FZ193" s="360">
        <v>284</v>
      </c>
      <c r="GA193" s="360">
        <v>353</v>
      </c>
      <c r="GB193" s="360">
        <v>389</v>
      </c>
      <c r="GC193" s="360">
        <v>19</v>
      </c>
      <c r="GD193" s="360">
        <v>17</v>
      </c>
      <c r="GE193" s="360">
        <v>46</v>
      </c>
      <c r="GF193" s="360">
        <v>298</v>
      </c>
      <c r="GG193" s="360">
        <v>38</v>
      </c>
      <c r="GH193" s="360">
        <v>26</v>
      </c>
      <c r="GI193" s="359"/>
    </row>
  </sheetData>
  <autoFilter ref="A3:GI193"/>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dimension ref="A1:T34"/>
  <sheetViews>
    <sheetView workbookViewId="0">
      <selection activeCell="H12" sqref="H12"/>
    </sheetView>
  </sheetViews>
  <sheetFormatPr defaultRowHeight="12.75"/>
  <cols>
    <col min="1" max="1" width="11.85546875" style="366" customWidth="1"/>
    <col min="2" max="16" width="7" style="366" customWidth="1"/>
    <col min="17" max="20" width="7.28515625" style="366" customWidth="1"/>
    <col min="21" max="16384" width="9.140625" style="366"/>
  </cols>
  <sheetData>
    <row r="1" spans="1:20">
      <c r="A1" s="377" t="s">
        <v>527</v>
      </c>
    </row>
    <row r="2" spans="1:20">
      <c r="A2" s="370" t="s">
        <v>526</v>
      </c>
      <c r="B2" s="376" t="s">
        <v>525</v>
      </c>
      <c r="C2" s="376" t="s">
        <v>524</v>
      </c>
      <c r="D2" s="376" t="s">
        <v>523</v>
      </c>
      <c r="E2" s="376" t="s">
        <v>522</v>
      </c>
      <c r="F2" s="376" t="s">
        <v>521</v>
      </c>
      <c r="G2" s="376" t="s">
        <v>520</v>
      </c>
      <c r="H2" s="376" t="s">
        <v>519</v>
      </c>
      <c r="I2" s="376" t="s">
        <v>518</v>
      </c>
      <c r="J2" s="376" t="s">
        <v>517</v>
      </c>
      <c r="K2" s="376" t="s">
        <v>516</v>
      </c>
      <c r="L2" s="376" t="s">
        <v>515</v>
      </c>
      <c r="M2" s="376" t="s">
        <v>514</v>
      </c>
      <c r="N2" s="376" t="s">
        <v>513</v>
      </c>
      <c r="O2" s="376" t="s">
        <v>512</v>
      </c>
      <c r="P2" s="376" t="s">
        <v>511</v>
      </c>
      <c r="Q2" s="376" t="s">
        <v>510</v>
      </c>
      <c r="R2" s="376" t="s">
        <v>509</v>
      </c>
      <c r="S2" s="376" t="s">
        <v>508</v>
      </c>
      <c r="T2" s="376" t="s">
        <v>507</v>
      </c>
    </row>
    <row r="3" spans="1:20">
      <c r="A3" s="370" t="s">
        <v>506</v>
      </c>
      <c r="B3" s="371">
        <v>549.30949850072648</v>
      </c>
      <c r="C3" s="371">
        <v>693.77789660641758</v>
      </c>
      <c r="D3" s="371">
        <v>854.04059072250004</v>
      </c>
      <c r="E3" s="371">
        <v>971.79524778682116</v>
      </c>
      <c r="F3" s="371">
        <v>1039.8209151318986</v>
      </c>
      <c r="G3" s="371">
        <v>1134.7438349999998</v>
      </c>
      <c r="H3" s="371">
        <v>1229.3770137600002</v>
      </c>
      <c r="I3" s="371">
        <v>1256.2073205866495</v>
      </c>
      <c r="J3" s="372">
        <v>1286</v>
      </c>
      <c r="K3" s="372">
        <v>1331.9407273061886</v>
      </c>
      <c r="L3" s="372">
        <v>1372.1989802120074</v>
      </c>
      <c r="M3" s="372">
        <v>1408</v>
      </c>
      <c r="N3" s="372">
        <v>1563.6285455746738</v>
      </c>
      <c r="O3" s="371">
        <v>1604.796097813813</v>
      </c>
      <c r="P3" s="371">
        <v>1831.0723476055605</v>
      </c>
      <c r="Q3" s="371">
        <v>2320.6126255046402</v>
      </c>
      <c r="R3" s="371">
        <v>2435.6420641051945</v>
      </c>
      <c r="S3" s="371">
        <v>2377.7846763710845</v>
      </c>
      <c r="T3" s="371">
        <v>2392</v>
      </c>
    </row>
    <row r="4" spans="1:20">
      <c r="A4" s="375" t="s">
        <v>505</v>
      </c>
      <c r="B4" s="374">
        <v>1033.4714912913814</v>
      </c>
      <c r="C4" s="374">
        <v>1354.3788569626279</v>
      </c>
      <c r="D4" s="374">
        <v>1768.1653943318508</v>
      </c>
      <c r="E4" s="374">
        <v>2095.6779299833302</v>
      </c>
      <c r="F4" s="374">
        <v>2270.4120387917374</v>
      </c>
      <c r="G4" s="374">
        <v>3044.3426707385734</v>
      </c>
      <c r="H4" s="374">
        <v>3153.2599815238937</v>
      </c>
      <c r="I4" s="374">
        <v>3328.4157218400455</v>
      </c>
      <c r="J4" s="373">
        <v>3534</v>
      </c>
      <c r="K4" s="373">
        <v>4010</v>
      </c>
      <c r="L4" s="373">
        <v>4046</v>
      </c>
      <c r="M4" s="373">
        <v>4000</v>
      </c>
      <c r="N4" s="373">
        <v>3458</v>
      </c>
      <c r="O4" s="371">
        <v>3894</v>
      </c>
      <c r="P4" s="371">
        <v>5101.7910416133227</v>
      </c>
      <c r="Q4" s="371">
        <v>4305.3276926718763</v>
      </c>
      <c r="R4" s="371">
        <v>3036.0709727522253</v>
      </c>
      <c r="S4" s="371">
        <v>4100.5199647387763</v>
      </c>
      <c r="T4" s="371">
        <v>4263</v>
      </c>
    </row>
    <row r="5" spans="1:20">
      <c r="A5" s="370" t="s">
        <v>504</v>
      </c>
      <c r="B5" s="371">
        <v>48280.648020176632</v>
      </c>
      <c r="C5" s="371">
        <v>65623.5813612286</v>
      </c>
      <c r="D5" s="371">
        <v>79574.303797889443</v>
      </c>
      <c r="E5" s="371">
        <v>96900.9612060543</v>
      </c>
      <c r="F5" s="371">
        <v>118047.06775465702</v>
      </c>
      <c r="G5" s="371">
        <v>134857.25903241037</v>
      </c>
      <c r="H5" s="371">
        <v>150891.61216229308</v>
      </c>
      <c r="I5" s="371">
        <v>160134.12643854655</v>
      </c>
      <c r="J5" s="372">
        <v>220727</v>
      </c>
      <c r="K5" s="372">
        <v>230927.61319072955</v>
      </c>
      <c r="L5" s="372">
        <v>229360.9547738283</v>
      </c>
      <c r="M5" s="372">
        <v>244744</v>
      </c>
      <c r="N5" s="372">
        <v>264591.01335317589</v>
      </c>
      <c r="O5" s="371">
        <v>276326.6069513259</v>
      </c>
      <c r="P5" s="370">
        <v>286830.83170617145</v>
      </c>
      <c r="Q5" s="370">
        <v>338646.17183950334</v>
      </c>
      <c r="R5" s="370">
        <v>308753.78952901124</v>
      </c>
      <c r="S5" s="370">
        <v>308838.01868986717</v>
      </c>
      <c r="T5" s="370">
        <v>352618.16767475917</v>
      </c>
    </row>
    <row r="6" spans="1:20">
      <c r="A6" s="368" t="s">
        <v>503</v>
      </c>
      <c r="B6" s="367">
        <v>11969.385335561694</v>
      </c>
      <c r="C6" s="367">
        <v>15543.929392834441</v>
      </c>
      <c r="D6" s="367">
        <v>15910.855818935966</v>
      </c>
      <c r="E6" s="367">
        <v>18891.571420047192</v>
      </c>
      <c r="F6" s="367">
        <v>20509.445015364665</v>
      </c>
      <c r="G6" s="367">
        <v>24833.361613455843</v>
      </c>
      <c r="H6" s="367">
        <v>27060.818097463773</v>
      </c>
      <c r="I6" s="367">
        <v>27941.542296413591</v>
      </c>
      <c r="J6" s="369">
        <v>31441</v>
      </c>
      <c r="K6" s="369">
        <v>31672.08174012569</v>
      </c>
      <c r="L6" s="369">
        <v>29027.112158648557</v>
      </c>
      <c r="M6" s="369">
        <v>31314</v>
      </c>
      <c r="N6" s="369">
        <v>32085.928708700558</v>
      </c>
      <c r="O6" s="367">
        <v>32638.489624314596</v>
      </c>
      <c r="P6" s="368">
        <v>33465.002978483564</v>
      </c>
      <c r="Q6" s="367">
        <v>33372.901105784083</v>
      </c>
      <c r="R6" s="367">
        <v>32459.521311823188</v>
      </c>
      <c r="S6" s="367">
        <v>28744.146300672233</v>
      </c>
      <c r="T6" s="367">
        <v>26350.662755203401</v>
      </c>
    </row>
    <row r="9" spans="1:20" ht="14.25">
      <c r="A9" s="366" t="s">
        <v>502</v>
      </c>
    </row>
    <row r="10" spans="1:20">
      <c r="A10" s="366" t="s">
        <v>501</v>
      </c>
    </row>
    <row r="11" spans="1:20" ht="14.25">
      <c r="A11" s="366" t="s">
        <v>500</v>
      </c>
    </row>
    <row r="12" spans="1:20" ht="14.25">
      <c r="A12" s="366" t="s">
        <v>499</v>
      </c>
    </row>
    <row r="15" spans="1:20">
      <c r="A15"/>
      <c r="B15" t="s">
        <v>498</v>
      </c>
    </row>
    <row r="16" spans="1:20">
      <c r="A16">
        <v>1993</v>
      </c>
      <c r="B16" s="357">
        <v>44.846114</v>
      </c>
    </row>
    <row r="17" spans="1:2">
      <c r="A17">
        <v>1994</v>
      </c>
      <c r="B17" s="357">
        <v>65.997541999999996</v>
      </c>
    </row>
    <row r="18" spans="1:2">
      <c r="A18">
        <v>1995</v>
      </c>
      <c r="B18" s="357">
        <v>73.262726000000001</v>
      </c>
    </row>
    <row r="19" spans="1:2">
      <c r="A19">
        <v>1996</v>
      </c>
      <c r="B19" s="357">
        <v>79.771124999999998</v>
      </c>
    </row>
    <row r="20" spans="1:2">
      <c r="A20">
        <v>1997</v>
      </c>
      <c r="B20" s="357">
        <v>94.436290999999997</v>
      </c>
    </row>
    <row r="21" spans="1:2">
      <c r="A21">
        <v>1998</v>
      </c>
      <c r="B21" s="357">
        <v>136.71492499999999</v>
      </c>
    </row>
    <row r="22" spans="1:2">
      <c r="A22">
        <v>1999</v>
      </c>
      <c r="B22" s="357">
        <v>152.4</v>
      </c>
    </row>
    <row r="23" spans="1:2">
      <c r="A23">
        <v>2000</v>
      </c>
      <c r="B23">
        <v>157.9</v>
      </c>
    </row>
    <row r="24" spans="1:2">
      <c r="A24">
        <v>2001</v>
      </c>
      <c r="B24" s="357">
        <v>190.6</v>
      </c>
    </row>
    <row r="25" spans="1:2">
      <c r="A25">
        <v>2002</v>
      </c>
      <c r="B25" s="357">
        <v>207</v>
      </c>
    </row>
    <row r="26" spans="1:2">
      <c r="A26">
        <v>2003</v>
      </c>
      <c r="B26" s="357">
        <v>211.3</v>
      </c>
    </row>
    <row r="27" spans="1:2">
      <c r="A27">
        <v>2004</v>
      </c>
      <c r="B27" s="357">
        <v>220.8</v>
      </c>
    </row>
    <row r="28" spans="1:2">
      <c r="A28">
        <v>2005</v>
      </c>
      <c r="B28" s="357">
        <v>210.4</v>
      </c>
    </row>
    <row r="29" spans="1:2">
      <c r="A29">
        <v>2006</v>
      </c>
      <c r="B29" s="357">
        <v>217.1</v>
      </c>
    </row>
    <row r="30" spans="1:2">
      <c r="A30">
        <v>2007</v>
      </c>
      <c r="B30" s="357">
        <v>263.60000000000002</v>
      </c>
    </row>
    <row r="31" spans="1:2">
      <c r="A31">
        <v>2008</v>
      </c>
      <c r="B31" s="357">
        <v>256.35804211854111</v>
      </c>
    </row>
    <row r="32" spans="1:2">
      <c r="A32">
        <v>2009</v>
      </c>
      <c r="B32" s="357">
        <v>175.74396094668501</v>
      </c>
    </row>
    <row r="33" spans="1:2">
      <c r="A33">
        <v>2010</v>
      </c>
      <c r="B33" s="357">
        <v>175.35919051249002</v>
      </c>
    </row>
    <row r="34" spans="1:2">
      <c r="A34">
        <v>2011</v>
      </c>
      <c r="B34" s="357">
        <v>165.27409078791106</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Q367"/>
  <sheetViews>
    <sheetView tabSelected="1" zoomScale="70" zoomScaleNormal="70" zoomScaleSheetLayoutView="100" workbookViewId="0">
      <selection activeCell="F105" sqref="F105:F108"/>
    </sheetView>
  </sheetViews>
  <sheetFormatPr defaultRowHeight="12.75"/>
  <cols>
    <col min="1" max="1" width="6.42578125" style="777" customWidth="1"/>
    <col min="2" max="2" width="49.140625" style="777" customWidth="1"/>
    <col min="3" max="3" width="14.42578125" style="777" customWidth="1"/>
    <col min="4" max="4" width="15.28515625" style="777" customWidth="1"/>
    <col min="5" max="5" width="15.42578125" style="777" customWidth="1"/>
    <col min="6" max="6" width="14.7109375" style="777" customWidth="1"/>
    <col min="7" max="7" width="13.7109375" style="777" customWidth="1"/>
    <col min="8" max="17" width="13.5703125" style="777" bestFit="1" customWidth="1"/>
    <col min="18" max="16384" width="9.140625" style="777"/>
  </cols>
  <sheetData>
    <row r="1" spans="1:17" ht="22.5" customHeight="1">
      <c r="A1" s="2148" t="s">
        <v>977</v>
      </c>
      <c r="B1" s="2148"/>
      <c r="C1" s="2148"/>
      <c r="D1" s="2148"/>
      <c r="E1" s="2148"/>
      <c r="F1" s="808"/>
      <c r="G1" s="808"/>
      <c r="H1" s="808"/>
      <c r="I1" s="808"/>
      <c r="J1" s="808"/>
    </row>
    <row r="2" spans="1:17" s="1766" customFormat="1">
      <c r="A2" s="1764"/>
      <c r="B2" s="1764"/>
      <c r="C2" s="1765"/>
      <c r="D2" s="1765"/>
      <c r="E2" s="1765"/>
      <c r="F2" s="1765"/>
      <c r="G2" s="1765"/>
      <c r="H2" s="1765"/>
      <c r="I2" s="1765"/>
      <c r="J2" s="1765"/>
    </row>
    <row r="3" spans="1:17" ht="30.75" customHeight="1">
      <c r="A3" s="1767" t="s">
        <v>3</v>
      </c>
      <c r="B3" s="1767" t="s">
        <v>1157</v>
      </c>
      <c r="C3" s="2166" t="s">
        <v>1113</v>
      </c>
      <c r="D3" s="2166"/>
      <c r="E3" s="2166"/>
      <c r="F3" s="808"/>
      <c r="G3" s="808"/>
      <c r="H3" s="808"/>
      <c r="I3" s="808"/>
      <c r="J3" s="808"/>
      <c r="N3" s="1768"/>
      <c r="O3" s="1768"/>
    </row>
    <row r="4" spans="1:17" ht="30" customHeight="1">
      <c r="A4" s="1769" t="s">
        <v>5</v>
      </c>
      <c r="B4" s="1769" t="s">
        <v>1114</v>
      </c>
      <c r="C4" s="2169"/>
      <c r="D4" s="2169"/>
      <c r="E4" s="2169"/>
      <c r="F4" s="808"/>
      <c r="G4" s="808"/>
      <c r="H4" s="808"/>
      <c r="I4" s="808"/>
      <c r="J4" s="808"/>
      <c r="N4" s="1770">
        <v>0.3</v>
      </c>
      <c r="O4" s="1771"/>
    </row>
    <row r="5" spans="1:17" ht="24" customHeight="1">
      <c r="A5" s="1767" t="s">
        <v>7</v>
      </c>
      <c r="B5" s="1767" t="s">
        <v>1115</v>
      </c>
      <c r="C5" s="2170"/>
      <c r="D5" s="2170"/>
      <c r="E5" s="2170"/>
      <c r="F5" s="1772"/>
      <c r="G5" s="808"/>
      <c r="H5" s="808"/>
      <c r="I5" s="808"/>
      <c r="J5" s="808"/>
      <c r="N5" s="1770">
        <v>0.15</v>
      </c>
      <c r="O5" s="1771"/>
    </row>
    <row r="6" spans="1:17" ht="34.5" customHeight="1">
      <c r="A6" s="1773" t="s">
        <v>9</v>
      </c>
      <c r="B6" s="1774" t="s">
        <v>1001</v>
      </c>
      <c r="C6" s="2171" t="str">
        <f>IF('12. RL Investīciju n.pl.'!T19&gt;0,IF('12. RL Investīciju n.pl.'!T19+'12. RL Investīciju n.pl.'!T20+'12. RL Investīciju n.pl.'!T25&gt;0,"IEŅĒMUMUS GŪSTOŠS","IEŅĒMUMUS NEGŪSTOŠS PROJEKTS"),"IEŅĒMUMUS NEGŪSTOŠS PROJEKTS")</f>
        <v>IEŅĒMUMUS GŪSTOŠS</v>
      </c>
      <c r="D6" s="2171"/>
      <c r="E6" s="2171"/>
      <c r="F6" s="808"/>
      <c r="G6" s="808"/>
      <c r="H6" s="808"/>
      <c r="I6" s="808"/>
      <c r="J6" s="808"/>
      <c r="N6" s="1770">
        <v>0</v>
      </c>
      <c r="O6" s="1771"/>
    </row>
    <row r="7" spans="1:17" ht="29.25" customHeight="1">
      <c r="A7" s="1773" t="s">
        <v>11</v>
      </c>
      <c r="B7" s="1774" t="s">
        <v>1130</v>
      </c>
      <c r="C7" s="1842">
        <v>6</v>
      </c>
      <c r="D7" s="1842" t="s">
        <v>1119</v>
      </c>
      <c r="E7" s="1842">
        <v>2016</v>
      </c>
      <c r="F7" s="808"/>
      <c r="G7" s="808"/>
      <c r="H7" s="808"/>
      <c r="I7" s="808"/>
      <c r="J7" s="808"/>
      <c r="N7" s="1770"/>
      <c r="O7" s="1771"/>
    </row>
    <row r="8" spans="1:17" ht="29.25" customHeight="1">
      <c r="A8" s="1773" t="s">
        <v>47</v>
      </c>
      <c r="B8" s="1774" t="s">
        <v>1163</v>
      </c>
      <c r="C8" s="1842">
        <v>6</v>
      </c>
      <c r="D8" s="1842" t="s">
        <v>1128</v>
      </c>
      <c r="E8" s="1842">
        <v>2017</v>
      </c>
      <c r="F8" s="808"/>
      <c r="G8" s="808"/>
      <c r="H8" s="808"/>
      <c r="I8" s="808"/>
      <c r="J8" s="808"/>
      <c r="N8" s="1770"/>
      <c r="O8" s="1771"/>
    </row>
    <row r="9" spans="1:17" ht="33" customHeight="1">
      <c r="A9" s="1773" t="s">
        <v>48</v>
      </c>
      <c r="B9" s="1775" t="s">
        <v>1131</v>
      </c>
      <c r="C9" s="2172">
        <v>15</v>
      </c>
      <c r="D9" s="2172"/>
      <c r="E9" s="2172"/>
      <c r="F9" s="808"/>
      <c r="G9" s="808"/>
      <c r="H9" s="808"/>
      <c r="I9" s="808"/>
      <c r="J9" s="808"/>
      <c r="N9" s="1771"/>
      <c r="O9" s="1771"/>
    </row>
    <row r="10" spans="1:17" ht="39" customHeight="1">
      <c r="A10" s="1773" t="s">
        <v>49</v>
      </c>
      <c r="B10" s="1776" t="s">
        <v>1167</v>
      </c>
      <c r="C10" s="2158" t="s">
        <v>1189</v>
      </c>
      <c r="D10" s="2158"/>
      <c r="E10" s="2158"/>
      <c r="F10" s="808"/>
      <c r="G10" s="808"/>
      <c r="H10" s="808"/>
      <c r="I10" s="808"/>
      <c r="J10" s="808"/>
      <c r="N10" s="1771"/>
      <c r="O10" s="1771"/>
    </row>
    <row r="11" spans="1:17" ht="31.5">
      <c r="A11" s="1777" t="s">
        <v>134</v>
      </c>
      <c r="B11" s="1778" t="s">
        <v>1181</v>
      </c>
      <c r="C11" s="2167"/>
      <c r="D11" s="2167"/>
      <c r="E11" s="2167"/>
      <c r="F11" s="808"/>
      <c r="G11" s="808"/>
      <c r="H11" s="808"/>
      <c r="I11" s="808"/>
      <c r="J11" s="808"/>
      <c r="N11" s="1771"/>
      <c r="O11" s="1771"/>
    </row>
    <row r="12" spans="1:17" ht="42.75" customHeight="1">
      <c r="A12" s="1773" t="s">
        <v>135</v>
      </c>
      <c r="B12" s="1776" t="s">
        <v>1182</v>
      </c>
      <c r="C12" s="2158"/>
      <c r="D12" s="2158"/>
      <c r="E12" s="2158"/>
      <c r="F12" s="808"/>
      <c r="G12" s="808"/>
      <c r="H12" s="808"/>
      <c r="I12" s="808"/>
      <c r="J12" s="808"/>
      <c r="N12" s="1771"/>
      <c r="O12" s="1771"/>
    </row>
    <row r="13" spans="1:17" ht="31.5">
      <c r="A13" s="1777" t="s">
        <v>1121</v>
      </c>
      <c r="B13" s="1778" t="s">
        <v>1183</v>
      </c>
      <c r="C13" s="2168"/>
      <c r="D13" s="2158"/>
      <c r="E13" s="2158"/>
      <c r="F13" s="808"/>
      <c r="G13" s="808"/>
      <c r="H13" s="808"/>
      <c r="I13" s="808"/>
      <c r="J13" s="808"/>
      <c r="N13" s="1771"/>
      <c r="O13" s="1771"/>
    </row>
    <row r="14" spans="1:17" ht="63">
      <c r="A14" s="1779" t="s">
        <v>1122</v>
      </c>
      <c r="B14" s="1780" t="s">
        <v>1184</v>
      </c>
      <c r="C14" s="2155"/>
      <c r="D14" s="2155"/>
      <c r="E14" s="2155"/>
      <c r="F14" s="816"/>
      <c r="G14" s="816"/>
      <c r="H14" s="816"/>
      <c r="I14" s="816"/>
      <c r="J14" s="816"/>
      <c r="N14" s="1771"/>
      <c r="O14" s="1771"/>
    </row>
    <row r="15" spans="1:17" ht="15.75">
      <c r="A15" s="1777"/>
      <c r="B15" s="2164" t="s">
        <v>1123</v>
      </c>
      <c r="C15" s="2164"/>
      <c r="D15" s="2164"/>
      <c r="E15" s="2164"/>
      <c r="F15" s="2165"/>
      <c r="G15" s="2165"/>
      <c r="H15" s="2165"/>
      <c r="I15" s="2165"/>
      <c r="J15" s="2165"/>
      <c r="K15" s="1781"/>
      <c r="L15" s="1781"/>
      <c r="M15" s="1781"/>
      <c r="N15" s="1781"/>
      <c r="O15" s="1781"/>
      <c r="P15" s="1781"/>
      <c r="Q15" s="1781"/>
    </row>
    <row r="16" spans="1:17" s="1783" customFormat="1" ht="15.75">
      <c r="A16" s="1777"/>
      <c r="B16" s="1782"/>
      <c r="C16" s="1737">
        <f>E8</f>
        <v>2017</v>
      </c>
      <c r="D16" s="1738">
        <f>1+C16</f>
        <v>2018</v>
      </c>
      <c r="E16" s="1738">
        <f t="shared" ref="E16" si="0">1+D16</f>
        <v>2019</v>
      </c>
      <c r="F16" s="1738">
        <f t="shared" ref="F16" si="1">1+E16</f>
        <v>2020</v>
      </c>
      <c r="G16" s="1738">
        <f t="shared" ref="G16" si="2">1+F16</f>
        <v>2021</v>
      </c>
      <c r="H16" s="1738">
        <f t="shared" ref="H16" si="3">1+G16</f>
        <v>2022</v>
      </c>
      <c r="I16" s="1738">
        <f t="shared" ref="I16" si="4">1+H16</f>
        <v>2023</v>
      </c>
      <c r="J16" s="1738">
        <f t="shared" ref="J16" si="5">1+I16</f>
        <v>2024</v>
      </c>
      <c r="K16" s="1738">
        <f t="shared" ref="K16" si="6">1+J16</f>
        <v>2025</v>
      </c>
      <c r="L16" s="1738">
        <f t="shared" ref="L16" si="7">1+K16</f>
        <v>2026</v>
      </c>
      <c r="M16" s="1738">
        <f t="shared" ref="M16" si="8">1+L16</f>
        <v>2027</v>
      </c>
      <c r="N16" s="1738">
        <f t="shared" ref="N16" si="9">1+M16</f>
        <v>2028</v>
      </c>
      <c r="O16" s="1738">
        <f t="shared" ref="O16" si="10">1+N16</f>
        <v>2029</v>
      </c>
      <c r="P16" s="1738">
        <f t="shared" ref="P16" si="11">1+O16</f>
        <v>2030</v>
      </c>
      <c r="Q16" s="1747">
        <f t="shared" ref="Q16" si="12">1+P16</f>
        <v>2031</v>
      </c>
    </row>
    <row r="17" spans="1:17" s="1783" customFormat="1" ht="15.75">
      <c r="A17" s="2149" t="s">
        <v>1124</v>
      </c>
      <c r="B17" s="2150"/>
      <c r="C17" s="1739"/>
      <c r="D17" s="1739"/>
      <c r="E17" s="1739"/>
      <c r="F17" s="1739"/>
      <c r="G17" s="1739"/>
      <c r="H17" s="1739"/>
      <c r="I17" s="1739"/>
      <c r="J17" s="1739"/>
      <c r="K17" s="1739"/>
      <c r="L17" s="1739"/>
      <c r="M17" s="1739"/>
      <c r="N17" s="1739"/>
      <c r="O17" s="1739"/>
      <c r="P17" s="1739"/>
      <c r="Q17" s="1739"/>
    </row>
    <row r="18" spans="1:17" s="1783" customFormat="1" ht="15.75">
      <c r="A18" s="2151" t="s">
        <v>1125</v>
      </c>
      <c r="B18" s="2152"/>
      <c r="C18" s="1784">
        <f>SUM(C20:C31,C33:C43)</f>
        <v>0</v>
      </c>
      <c r="D18" s="1784">
        <f t="shared" ref="D18:Q18" si="13">SUM(D20:D31,D33:D43)</f>
        <v>0</v>
      </c>
      <c r="E18" s="1784">
        <f t="shared" si="13"/>
        <v>0</v>
      </c>
      <c r="F18" s="1784">
        <f t="shared" si="13"/>
        <v>0</v>
      </c>
      <c r="G18" s="1784">
        <f t="shared" si="13"/>
        <v>0</v>
      </c>
      <c r="H18" s="1784">
        <f t="shared" si="13"/>
        <v>0</v>
      </c>
      <c r="I18" s="1784">
        <f t="shared" si="13"/>
        <v>0</v>
      </c>
      <c r="J18" s="1784">
        <f t="shared" si="13"/>
        <v>0</v>
      </c>
      <c r="K18" s="1784">
        <f t="shared" si="13"/>
        <v>0</v>
      </c>
      <c r="L18" s="1784">
        <f t="shared" si="13"/>
        <v>0</v>
      </c>
      <c r="M18" s="1784">
        <f t="shared" si="13"/>
        <v>0</v>
      </c>
      <c r="N18" s="1784">
        <f t="shared" si="13"/>
        <v>0</v>
      </c>
      <c r="O18" s="1784">
        <f t="shared" si="13"/>
        <v>0</v>
      </c>
      <c r="P18" s="1784">
        <f t="shared" si="13"/>
        <v>0</v>
      </c>
      <c r="Q18" s="1784">
        <f t="shared" si="13"/>
        <v>0</v>
      </c>
    </row>
    <row r="19" spans="1:17" s="1783" customFormat="1" ht="15.75">
      <c r="A19" s="2153" t="s">
        <v>1132</v>
      </c>
      <c r="B19" s="2154"/>
      <c r="C19" s="1785"/>
      <c r="D19" s="1785"/>
      <c r="E19" s="1785"/>
      <c r="F19" s="1785"/>
      <c r="G19" s="1785"/>
      <c r="H19" s="1785"/>
      <c r="I19" s="1785"/>
      <c r="J19" s="1785"/>
      <c r="K19" s="1785"/>
      <c r="L19" s="1785"/>
      <c r="M19" s="1785"/>
      <c r="N19" s="1785"/>
      <c r="O19" s="1785"/>
      <c r="P19" s="1785"/>
      <c r="Q19" s="1785"/>
    </row>
    <row r="20" spans="1:17" s="1846" customFormat="1" ht="15.75">
      <c r="A20" s="1845"/>
      <c r="B20" s="1740"/>
      <c r="C20" s="1741"/>
      <c r="D20" s="1741"/>
      <c r="E20" s="1741"/>
      <c r="F20" s="1741"/>
      <c r="G20" s="1741"/>
      <c r="H20" s="1741"/>
      <c r="I20" s="1741"/>
      <c r="J20" s="1741"/>
      <c r="K20" s="1741"/>
      <c r="L20" s="1741"/>
      <c r="M20" s="1741"/>
      <c r="N20" s="1741"/>
      <c r="O20" s="1741"/>
      <c r="P20" s="1741"/>
      <c r="Q20" s="1741"/>
    </row>
    <row r="21" spans="1:17" s="1846" customFormat="1" ht="15.75">
      <c r="A21" s="1845"/>
      <c r="B21" s="1740"/>
      <c r="C21" s="1742"/>
      <c r="D21" s="1742"/>
      <c r="E21" s="1742"/>
      <c r="F21" s="1742"/>
      <c r="G21" s="1742"/>
      <c r="H21" s="1742"/>
      <c r="I21" s="1742"/>
      <c r="J21" s="1742"/>
      <c r="K21" s="1742"/>
      <c r="L21" s="1743"/>
      <c r="M21" s="1743"/>
      <c r="N21" s="1743"/>
      <c r="O21" s="1743"/>
      <c r="P21" s="1743"/>
      <c r="Q21" s="1743"/>
    </row>
    <row r="22" spans="1:17" s="1846" customFormat="1" ht="15.75">
      <c r="A22" s="1845"/>
      <c r="B22" s="1740"/>
      <c r="C22" s="1742"/>
      <c r="D22" s="1742"/>
      <c r="E22" s="1742"/>
      <c r="F22" s="1742"/>
      <c r="G22" s="1742"/>
      <c r="H22" s="1742"/>
      <c r="I22" s="1742"/>
      <c r="J22" s="1742"/>
      <c r="K22" s="1742"/>
      <c r="L22" s="1743"/>
      <c r="M22" s="1743"/>
      <c r="N22" s="1743"/>
      <c r="O22" s="1743"/>
      <c r="P22" s="1743"/>
      <c r="Q22" s="1743"/>
    </row>
    <row r="23" spans="1:17" s="1846" customFormat="1" ht="15.75">
      <c r="A23" s="1845"/>
      <c r="B23" s="1740"/>
      <c r="C23" s="1742"/>
      <c r="D23" s="1742"/>
      <c r="E23" s="1742"/>
      <c r="F23" s="1742"/>
      <c r="G23" s="1742"/>
      <c r="H23" s="1742"/>
      <c r="I23" s="1742"/>
      <c r="J23" s="1742"/>
      <c r="K23" s="1742"/>
      <c r="L23" s="1743"/>
      <c r="M23" s="1743"/>
      <c r="N23" s="1743"/>
      <c r="O23" s="1743"/>
      <c r="P23" s="1743"/>
      <c r="Q23" s="1743"/>
    </row>
    <row r="24" spans="1:17" s="1846" customFormat="1" ht="15.75">
      <c r="A24" s="1845"/>
      <c r="B24" s="1740"/>
      <c r="C24" s="1742"/>
      <c r="D24" s="1742"/>
      <c r="E24" s="1742"/>
      <c r="F24" s="1742"/>
      <c r="G24" s="1742"/>
      <c r="H24" s="1742"/>
      <c r="I24" s="1742"/>
      <c r="J24" s="1742"/>
      <c r="K24" s="1742"/>
      <c r="L24" s="1742"/>
      <c r="M24" s="1742"/>
      <c r="N24" s="1742"/>
      <c r="O24" s="1742"/>
      <c r="P24" s="1742"/>
      <c r="Q24" s="1742"/>
    </row>
    <row r="25" spans="1:17" s="1846" customFormat="1" ht="15.75">
      <c r="A25" s="1845"/>
      <c r="B25" s="1740"/>
      <c r="C25" s="1742"/>
      <c r="D25" s="1742"/>
      <c r="E25" s="1742"/>
      <c r="F25" s="1742"/>
      <c r="G25" s="1742"/>
      <c r="H25" s="1742"/>
      <c r="I25" s="1742"/>
      <c r="J25" s="1742"/>
      <c r="K25" s="1742"/>
      <c r="L25" s="1742"/>
      <c r="M25" s="1742"/>
      <c r="N25" s="1742"/>
      <c r="O25" s="1742"/>
      <c r="P25" s="1742"/>
      <c r="Q25" s="1742"/>
    </row>
    <row r="26" spans="1:17" s="1846" customFormat="1" ht="15.75">
      <c r="A26" s="1845"/>
      <c r="B26" s="1740"/>
      <c r="C26" s="1742"/>
      <c r="D26" s="1742"/>
      <c r="E26" s="1742"/>
      <c r="F26" s="1742"/>
      <c r="G26" s="1742"/>
      <c r="H26" s="1742"/>
      <c r="I26" s="1742"/>
      <c r="J26" s="1742"/>
      <c r="K26" s="1742"/>
      <c r="L26" s="1742"/>
      <c r="M26" s="1742"/>
      <c r="N26" s="1742"/>
      <c r="O26" s="1742"/>
      <c r="P26" s="1742"/>
      <c r="Q26" s="1742"/>
    </row>
    <row r="27" spans="1:17" s="1846" customFormat="1" ht="15.75">
      <c r="A27" s="1845"/>
      <c r="B27" s="1740"/>
      <c r="C27" s="1742"/>
      <c r="D27" s="1742"/>
      <c r="E27" s="1742"/>
      <c r="F27" s="1742"/>
      <c r="G27" s="1742"/>
      <c r="H27" s="1742"/>
      <c r="I27" s="1742"/>
      <c r="J27" s="1742"/>
      <c r="K27" s="1742"/>
      <c r="L27" s="1742"/>
      <c r="M27" s="1742"/>
      <c r="N27" s="1742"/>
      <c r="O27" s="1742"/>
      <c r="P27" s="1742"/>
      <c r="Q27" s="1742"/>
    </row>
    <row r="28" spans="1:17" s="1846" customFormat="1" ht="15.75">
      <c r="A28" s="1845"/>
      <c r="B28" s="1740"/>
      <c r="C28" s="1742"/>
      <c r="D28" s="1742"/>
      <c r="E28" s="1742"/>
      <c r="F28" s="1742"/>
      <c r="G28" s="1742"/>
      <c r="H28" s="1742"/>
      <c r="I28" s="1742"/>
      <c r="J28" s="1742"/>
      <c r="K28" s="1742"/>
      <c r="L28" s="1742"/>
      <c r="M28" s="1742"/>
      <c r="N28" s="1742"/>
      <c r="O28" s="1742"/>
      <c r="P28" s="1742"/>
      <c r="Q28" s="1742"/>
    </row>
    <row r="29" spans="1:17" s="1846" customFormat="1" ht="15.75">
      <c r="A29" s="1845"/>
      <c r="B29" s="1740"/>
      <c r="C29" s="1742"/>
      <c r="D29" s="1742"/>
      <c r="E29" s="1742"/>
      <c r="F29" s="1742"/>
      <c r="G29" s="1742"/>
      <c r="H29" s="1742"/>
      <c r="I29" s="1742"/>
      <c r="J29" s="1742"/>
      <c r="K29" s="1742"/>
      <c r="L29" s="1742"/>
      <c r="M29" s="1742"/>
      <c r="N29" s="1742"/>
      <c r="O29" s="1742"/>
      <c r="P29" s="1742"/>
      <c r="Q29" s="1742"/>
    </row>
    <row r="30" spans="1:17" s="1846" customFormat="1" ht="15.75">
      <c r="A30" s="1845"/>
      <c r="B30" s="1740"/>
      <c r="C30" s="1742"/>
      <c r="D30" s="1742"/>
      <c r="E30" s="1742"/>
      <c r="F30" s="1742"/>
      <c r="G30" s="1742"/>
      <c r="H30" s="1742"/>
      <c r="I30" s="1742"/>
      <c r="J30" s="1742"/>
      <c r="K30" s="1742"/>
      <c r="L30" s="1742"/>
      <c r="M30" s="1742"/>
      <c r="N30" s="1742"/>
      <c r="O30" s="1742"/>
      <c r="P30" s="1742"/>
      <c r="Q30" s="1742"/>
    </row>
    <row r="31" spans="1:17" s="1846" customFormat="1" ht="15.75">
      <c r="A31" s="1845"/>
      <c r="B31" s="1843"/>
      <c r="C31" s="1844"/>
      <c r="D31" s="1844"/>
      <c r="E31" s="1844"/>
      <c r="F31" s="1844"/>
      <c r="G31" s="1844"/>
      <c r="H31" s="1844"/>
      <c r="I31" s="1844"/>
      <c r="J31" s="1844"/>
      <c r="K31" s="1844"/>
      <c r="L31" s="1844"/>
      <c r="M31" s="1844"/>
      <c r="N31" s="1844"/>
      <c r="O31" s="1844"/>
      <c r="P31" s="1844"/>
      <c r="Q31" s="1844"/>
    </row>
    <row r="32" spans="1:17" s="1783" customFormat="1" ht="15.75">
      <c r="A32" s="2153" t="s">
        <v>1126</v>
      </c>
      <c r="B32" s="2154"/>
      <c r="C32" s="1786"/>
      <c r="D32" s="1786"/>
      <c r="E32" s="1786"/>
      <c r="F32" s="1786"/>
      <c r="G32" s="1786"/>
      <c r="H32" s="1786"/>
      <c r="I32" s="1786"/>
      <c r="J32" s="1786"/>
      <c r="K32" s="1786"/>
      <c r="L32" s="1786"/>
      <c r="M32" s="1786"/>
      <c r="N32" s="1786"/>
      <c r="O32" s="1786"/>
      <c r="P32" s="1786"/>
      <c r="Q32" s="1786"/>
    </row>
    <row r="33" spans="1:17" s="1846" customFormat="1" ht="15.75">
      <c r="A33" s="1845"/>
      <c r="B33" s="1740"/>
      <c r="C33" s="1742"/>
      <c r="D33" s="1742"/>
      <c r="E33" s="1742"/>
      <c r="F33" s="1742"/>
      <c r="G33" s="1742"/>
      <c r="H33" s="1742"/>
      <c r="I33" s="1742"/>
      <c r="J33" s="1742"/>
      <c r="K33" s="1742"/>
      <c r="L33" s="1742"/>
      <c r="M33" s="1742"/>
      <c r="N33" s="1742"/>
      <c r="O33" s="1742"/>
      <c r="P33" s="1742"/>
      <c r="Q33" s="1742"/>
    </row>
    <row r="34" spans="1:17" s="1846" customFormat="1" ht="15.75">
      <c r="A34" s="1845"/>
      <c r="B34" s="1744"/>
      <c r="C34" s="1844"/>
      <c r="D34" s="1844"/>
      <c r="E34" s="1844"/>
      <c r="F34" s="1844"/>
      <c r="G34" s="1844"/>
      <c r="H34" s="1844"/>
      <c r="I34" s="1844"/>
      <c r="J34" s="1844"/>
      <c r="K34" s="1844"/>
      <c r="L34" s="1844"/>
      <c r="M34" s="1844"/>
      <c r="N34" s="1844"/>
      <c r="O34" s="1844"/>
      <c r="P34" s="1844"/>
      <c r="Q34" s="1844"/>
    </row>
    <row r="35" spans="1:17" s="1846" customFormat="1" ht="15.75">
      <c r="A35" s="1845"/>
      <c r="B35" s="1745"/>
      <c r="C35" s="1844"/>
      <c r="D35" s="1844"/>
      <c r="E35" s="1844"/>
      <c r="F35" s="1844"/>
      <c r="G35" s="1844"/>
      <c r="H35" s="1844"/>
      <c r="I35" s="1844"/>
      <c r="J35" s="1844"/>
      <c r="K35" s="1844"/>
      <c r="L35" s="1844"/>
      <c r="M35" s="1844"/>
      <c r="N35" s="1844"/>
      <c r="O35" s="1844"/>
      <c r="P35" s="1844"/>
      <c r="Q35" s="1844"/>
    </row>
    <row r="36" spans="1:17" s="1846" customFormat="1" ht="15.75">
      <c r="A36" s="1845"/>
      <c r="B36" s="1843"/>
      <c r="C36" s="1844"/>
      <c r="D36" s="1844"/>
      <c r="E36" s="1844"/>
      <c r="F36" s="1844"/>
      <c r="G36" s="1844"/>
      <c r="H36" s="1844"/>
      <c r="I36" s="1844"/>
      <c r="J36" s="1844"/>
      <c r="K36" s="1844"/>
      <c r="L36" s="1844"/>
      <c r="M36" s="1844"/>
      <c r="N36" s="1844"/>
      <c r="O36" s="1844"/>
      <c r="P36" s="1844"/>
      <c r="Q36" s="1844"/>
    </row>
    <row r="37" spans="1:17" s="1846" customFormat="1" ht="15.75">
      <c r="A37" s="1845"/>
      <c r="B37" s="1843"/>
      <c r="C37" s="1844"/>
      <c r="D37" s="1844"/>
      <c r="E37" s="1844"/>
      <c r="F37" s="1844"/>
      <c r="G37" s="1844"/>
      <c r="H37" s="1844"/>
      <c r="I37" s="1844"/>
      <c r="J37" s="1844"/>
      <c r="K37" s="1844"/>
      <c r="L37" s="1844"/>
      <c r="M37" s="1844"/>
      <c r="N37" s="1844"/>
      <c r="O37" s="1844"/>
      <c r="P37" s="1844"/>
      <c r="Q37" s="1844"/>
    </row>
    <row r="38" spans="1:17" s="1846" customFormat="1" ht="15.75">
      <c r="A38" s="1845"/>
      <c r="B38" s="1843"/>
      <c r="C38" s="1844"/>
      <c r="D38" s="1844"/>
      <c r="E38" s="1844"/>
      <c r="F38" s="1844"/>
      <c r="G38" s="1844"/>
      <c r="H38" s="1844"/>
      <c r="I38" s="1844"/>
      <c r="J38" s="1844"/>
      <c r="K38" s="1844"/>
      <c r="L38" s="1844"/>
      <c r="M38" s="1844"/>
      <c r="N38" s="1844"/>
      <c r="O38" s="1844"/>
      <c r="P38" s="1844"/>
      <c r="Q38" s="1844"/>
    </row>
    <row r="39" spans="1:17" s="1846" customFormat="1" ht="15.75">
      <c r="A39" s="1845"/>
      <c r="B39" s="1843"/>
      <c r="C39" s="1844"/>
      <c r="D39" s="1844"/>
      <c r="E39" s="1844"/>
      <c r="F39" s="1844"/>
      <c r="G39" s="1844"/>
      <c r="H39" s="1844"/>
      <c r="I39" s="1844"/>
      <c r="J39" s="1844"/>
      <c r="K39" s="1844"/>
      <c r="L39" s="1844"/>
      <c r="M39" s="1844"/>
      <c r="N39" s="1844"/>
      <c r="O39" s="1844"/>
      <c r="P39" s="1844"/>
      <c r="Q39" s="1844"/>
    </row>
    <row r="40" spans="1:17" s="1846" customFormat="1" ht="15.75">
      <c r="A40" s="1845"/>
      <c r="B40" s="1843"/>
      <c r="C40" s="1844"/>
      <c r="D40" s="1844"/>
      <c r="E40" s="1844"/>
      <c r="F40" s="1844"/>
      <c r="G40" s="1844"/>
      <c r="H40" s="1844"/>
      <c r="I40" s="1844"/>
      <c r="J40" s="1844"/>
      <c r="K40" s="1844"/>
      <c r="L40" s="1844"/>
      <c r="M40" s="1844"/>
      <c r="N40" s="1844"/>
      <c r="O40" s="1844"/>
      <c r="P40" s="1844"/>
      <c r="Q40" s="1844"/>
    </row>
    <row r="41" spans="1:17" s="1846" customFormat="1" ht="15.75">
      <c r="A41" s="1845"/>
      <c r="B41" s="1843"/>
      <c r="C41" s="1844"/>
      <c r="D41" s="1844"/>
      <c r="E41" s="1844"/>
      <c r="F41" s="1844"/>
      <c r="G41" s="1844"/>
      <c r="H41" s="1844"/>
      <c r="I41" s="1844"/>
      <c r="J41" s="1844"/>
      <c r="K41" s="1844"/>
      <c r="L41" s="1844"/>
      <c r="M41" s="1844"/>
      <c r="N41" s="1844"/>
      <c r="O41" s="1844"/>
      <c r="P41" s="1844"/>
      <c r="Q41" s="1844"/>
    </row>
    <row r="42" spans="1:17" s="1846" customFormat="1" ht="15.75">
      <c r="A42" s="1845"/>
      <c r="B42" s="1843"/>
      <c r="C42" s="1844"/>
      <c r="D42" s="1844"/>
      <c r="E42" s="1844"/>
      <c r="F42" s="1844"/>
      <c r="G42" s="1844"/>
      <c r="H42" s="1844"/>
      <c r="I42" s="1844"/>
      <c r="J42" s="1844"/>
      <c r="K42" s="1844"/>
      <c r="L42" s="1844"/>
      <c r="M42" s="1844"/>
      <c r="N42" s="1844"/>
      <c r="O42" s="1844"/>
      <c r="P42" s="1844"/>
      <c r="Q42" s="1844"/>
    </row>
    <row r="43" spans="1:17" s="1846" customFormat="1" ht="15.75">
      <c r="A43" s="1845"/>
      <c r="B43" s="1843"/>
      <c r="C43" s="1844"/>
      <c r="D43" s="1844"/>
      <c r="E43" s="1844"/>
      <c r="F43" s="1844"/>
      <c r="G43" s="1844"/>
      <c r="H43" s="1844"/>
      <c r="I43" s="1844"/>
      <c r="J43" s="1844"/>
      <c r="K43" s="1844"/>
      <c r="L43" s="1844"/>
      <c r="M43" s="1844"/>
      <c r="N43" s="1844"/>
      <c r="O43" s="1844"/>
      <c r="P43" s="1844"/>
      <c r="Q43" s="1844"/>
    </row>
    <row r="44" spans="1:17" s="1783" customFormat="1" ht="15.75">
      <c r="A44" s="1777"/>
      <c r="B44" s="1787" t="s">
        <v>1127</v>
      </c>
      <c r="C44" s="1788" t="e">
        <f>C18/C17</f>
        <v>#DIV/0!</v>
      </c>
      <c r="D44" s="1788" t="e">
        <f t="shared" ref="D44:Q44" si="14">D18/D17</f>
        <v>#DIV/0!</v>
      </c>
      <c r="E44" s="1788" t="e">
        <f t="shared" si="14"/>
        <v>#DIV/0!</v>
      </c>
      <c r="F44" s="1788" t="e">
        <f t="shared" si="14"/>
        <v>#DIV/0!</v>
      </c>
      <c r="G44" s="1788" t="e">
        <f t="shared" si="14"/>
        <v>#DIV/0!</v>
      </c>
      <c r="H44" s="1788" t="e">
        <f t="shared" si="14"/>
        <v>#DIV/0!</v>
      </c>
      <c r="I44" s="1788" t="e">
        <f t="shared" si="14"/>
        <v>#DIV/0!</v>
      </c>
      <c r="J44" s="1788" t="e">
        <f t="shared" si="14"/>
        <v>#DIV/0!</v>
      </c>
      <c r="K44" s="1788" t="e">
        <f t="shared" si="14"/>
        <v>#DIV/0!</v>
      </c>
      <c r="L44" s="1788" t="e">
        <f t="shared" si="14"/>
        <v>#DIV/0!</v>
      </c>
      <c r="M44" s="1788" t="e">
        <f t="shared" si="14"/>
        <v>#DIV/0!</v>
      </c>
      <c r="N44" s="1788" t="e">
        <f t="shared" si="14"/>
        <v>#DIV/0!</v>
      </c>
      <c r="O44" s="1788" t="e">
        <f t="shared" si="14"/>
        <v>#DIV/0!</v>
      </c>
      <c r="P44" s="1788" t="e">
        <f t="shared" si="14"/>
        <v>#DIV/0!</v>
      </c>
      <c r="Q44" s="1788" t="e">
        <f t="shared" si="14"/>
        <v>#DIV/0!</v>
      </c>
    </row>
    <row r="45" spans="1:17" s="1783" customFormat="1" ht="15.75">
      <c r="A45" s="1777"/>
      <c r="B45" s="1789"/>
      <c r="C45" s="1790"/>
      <c r="D45" s="1790"/>
      <c r="E45" s="1790"/>
      <c r="F45" s="1790"/>
      <c r="G45" s="1790"/>
      <c r="H45" s="1790"/>
      <c r="I45" s="1790"/>
      <c r="J45" s="1790"/>
      <c r="K45" s="1790"/>
      <c r="L45" s="1790"/>
      <c r="M45" s="1790"/>
      <c r="N45" s="1790"/>
      <c r="O45" s="1790"/>
      <c r="P45" s="1790"/>
      <c r="Q45" s="1790"/>
    </row>
    <row r="46" spans="1:17" s="1783" customFormat="1" ht="15.75">
      <c r="A46" s="1773" t="s">
        <v>1151</v>
      </c>
      <c r="B46" s="1775" t="s">
        <v>1187</v>
      </c>
      <c r="C46" s="2158" t="s">
        <v>1164</v>
      </c>
      <c r="D46" s="2158"/>
      <c r="E46" s="2158"/>
      <c r="F46" s="1790"/>
      <c r="G46" s="1790"/>
      <c r="H46" s="1790"/>
      <c r="I46" s="1790"/>
      <c r="J46" s="1790"/>
      <c r="K46" s="1790"/>
      <c r="L46" s="1790"/>
      <c r="M46" s="1790"/>
      <c r="N46" s="1790"/>
      <c r="O46" s="1790"/>
      <c r="P46" s="1790"/>
      <c r="Q46" s="1790"/>
    </row>
    <row r="47" spans="1:17" s="1783" customFormat="1" ht="15.75">
      <c r="A47" s="1767" t="s">
        <v>1152</v>
      </c>
      <c r="B47" s="1767" t="s">
        <v>1165</v>
      </c>
      <c r="C47" s="2166" t="s">
        <v>1180</v>
      </c>
      <c r="D47" s="2166"/>
      <c r="E47" s="2166"/>
      <c r="F47" s="1790"/>
      <c r="G47" s="1790"/>
      <c r="H47" s="1790"/>
      <c r="I47" s="1790"/>
      <c r="J47" s="1790"/>
      <c r="K47" s="1790"/>
      <c r="L47" s="1790"/>
      <c r="M47" s="1790"/>
      <c r="N47" s="1790"/>
      <c r="O47" s="1790"/>
      <c r="P47" s="1790"/>
      <c r="Q47" s="1790"/>
    </row>
    <row r="48" spans="1:17" s="1783" customFormat="1" ht="31.5">
      <c r="A48" s="1767" t="s">
        <v>1168</v>
      </c>
      <c r="B48" s="1791" t="s">
        <v>1166</v>
      </c>
      <c r="C48" s="2158" t="s">
        <v>1164</v>
      </c>
      <c r="D48" s="2158"/>
      <c r="E48" s="2158"/>
      <c r="F48" s="1790"/>
      <c r="G48" s="1790"/>
      <c r="H48" s="1790"/>
      <c r="I48" s="1790"/>
      <c r="J48" s="1790"/>
      <c r="K48" s="1790"/>
      <c r="L48" s="1790"/>
      <c r="M48" s="1790"/>
      <c r="N48" s="1790"/>
      <c r="O48" s="1790"/>
      <c r="P48" s="1790"/>
      <c r="Q48" s="1790"/>
    </row>
    <row r="49" spans="1:17" s="1783" customFormat="1" ht="47.25">
      <c r="A49" s="1767" t="s">
        <v>1169</v>
      </c>
      <c r="B49" s="1791" t="s">
        <v>1185</v>
      </c>
      <c r="C49" s="2158" t="s">
        <v>1164</v>
      </c>
      <c r="D49" s="2158"/>
      <c r="E49" s="2158"/>
      <c r="F49" s="1790"/>
      <c r="G49" s="1790"/>
      <c r="H49" s="1790"/>
      <c r="I49" s="1790"/>
      <c r="J49" s="1790"/>
      <c r="K49" s="1790"/>
      <c r="L49" s="1790"/>
      <c r="M49" s="1790"/>
      <c r="N49" s="1790"/>
      <c r="O49" s="1790"/>
      <c r="P49" s="1790"/>
      <c r="Q49" s="1790"/>
    </row>
    <row r="50" spans="1:17" ht="78.75">
      <c r="A50" s="1779" t="s">
        <v>1176</v>
      </c>
      <c r="B50" s="1780" t="s">
        <v>1186</v>
      </c>
      <c r="C50" s="2155"/>
      <c r="D50" s="2155"/>
      <c r="E50" s="2155"/>
      <c r="F50" s="1792"/>
      <c r="G50" s="1792"/>
      <c r="H50" s="1792"/>
      <c r="I50" s="1792"/>
      <c r="J50" s="1792"/>
      <c r="K50" s="1781"/>
      <c r="L50" s="1781"/>
      <c r="M50" s="1781"/>
      <c r="N50" s="1781"/>
      <c r="O50" s="1781"/>
      <c r="P50" s="1781"/>
      <c r="Q50" s="1781"/>
    </row>
    <row r="51" spans="1:17" s="1783" customFormat="1" ht="15.75">
      <c r="A51" s="1777"/>
      <c r="B51" s="1782"/>
      <c r="C51" s="1737">
        <f>E8</f>
        <v>2017</v>
      </c>
      <c r="D51" s="1738">
        <f>1+C51</f>
        <v>2018</v>
      </c>
      <c r="E51" s="1738">
        <f t="shared" ref="E51:Q51" si="15">1+D51</f>
        <v>2019</v>
      </c>
      <c r="F51" s="1738">
        <f t="shared" si="15"/>
        <v>2020</v>
      </c>
      <c r="G51" s="1738">
        <f t="shared" si="15"/>
        <v>2021</v>
      </c>
      <c r="H51" s="1738">
        <f t="shared" si="15"/>
        <v>2022</v>
      </c>
      <c r="I51" s="1738">
        <f t="shared" si="15"/>
        <v>2023</v>
      </c>
      <c r="J51" s="1738">
        <f t="shared" si="15"/>
        <v>2024</v>
      </c>
      <c r="K51" s="1738">
        <f t="shared" si="15"/>
        <v>2025</v>
      </c>
      <c r="L51" s="1738">
        <f t="shared" si="15"/>
        <v>2026</v>
      </c>
      <c r="M51" s="1738">
        <f t="shared" si="15"/>
        <v>2027</v>
      </c>
      <c r="N51" s="1738">
        <f t="shared" si="15"/>
        <v>2028</v>
      </c>
      <c r="O51" s="1738">
        <f t="shared" si="15"/>
        <v>2029</v>
      </c>
      <c r="P51" s="1738">
        <f t="shared" si="15"/>
        <v>2030</v>
      </c>
      <c r="Q51" s="1747">
        <f t="shared" si="15"/>
        <v>2031</v>
      </c>
    </row>
    <row r="52" spans="1:17" s="1783" customFormat="1" ht="15.75">
      <c r="A52" s="2149" t="s">
        <v>1172</v>
      </c>
      <c r="B52" s="2150"/>
      <c r="C52" s="1739"/>
      <c r="D52" s="1739"/>
      <c r="E52" s="1739"/>
      <c r="F52" s="1739"/>
      <c r="G52" s="1739"/>
      <c r="H52" s="1739"/>
      <c r="I52" s="1739"/>
      <c r="J52" s="1739"/>
      <c r="K52" s="1739"/>
      <c r="L52" s="1739"/>
      <c r="M52" s="1739"/>
      <c r="N52" s="1739"/>
      <c r="O52" s="1739"/>
      <c r="P52" s="1739"/>
      <c r="Q52" s="1739"/>
    </row>
    <row r="53" spans="1:17" s="1783" customFormat="1" ht="15.75">
      <c r="A53" s="2151" t="s">
        <v>1173</v>
      </c>
      <c r="B53" s="2152"/>
      <c r="C53" s="1784">
        <f>SUM(C55:C66,C68:C78)</f>
        <v>0</v>
      </c>
      <c r="D53" s="1784">
        <f t="shared" ref="D53:Q53" si="16">SUM(D55:D66,D68:D78)</f>
        <v>0</v>
      </c>
      <c r="E53" s="1784">
        <f t="shared" si="16"/>
        <v>0</v>
      </c>
      <c r="F53" s="1784">
        <f t="shared" si="16"/>
        <v>0</v>
      </c>
      <c r="G53" s="1784">
        <f t="shared" si="16"/>
        <v>0</v>
      </c>
      <c r="H53" s="1784">
        <f t="shared" si="16"/>
        <v>0</v>
      </c>
      <c r="I53" s="1784">
        <f t="shared" si="16"/>
        <v>0</v>
      </c>
      <c r="J53" s="1784">
        <f t="shared" si="16"/>
        <v>0</v>
      </c>
      <c r="K53" s="1784">
        <f t="shared" si="16"/>
        <v>0</v>
      </c>
      <c r="L53" s="1784">
        <f t="shared" si="16"/>
        <v>0</v>
      </c>
      <c r="M53" s="1784">
        <f t="shared" si="16"/>
        <v>0</v>
      </c>
      <c r="N53" s="1784">
        <f t="shared" si="16"/>
        <v>0</v>
      </c>
      <c r="O53" s="1784">
        <f t="shared" si="16"/>
        <v>0</v>
      </c>
      <c r="P53" s="1784">
        <f t="shared" si="16"/>
        <v>0</v>
      </c>
      <c r="Q53" s="1784">
        <f t="shared" si="16"/>
        <v>0</v>
      </c>
    </row>
    <row r="54" spans="1:17" s="1783" customFormat="1" ht="15.75">
      <c r="A54" s="2153" t="s">
        <v>1174</v>
      </c>
      <c r="B54" s="2154"/>
      <c r="C54" s="1785"/>
      <c r="D54" s="1785"/>
      <c r="E54" s="1785"/>
      <c r="F54" s="1785"/>
      <c r="G54" s="1785"/>
      <c r="H54" s="1785"/>
      <c r="I54" s="1785"/>
      <c r="J54" s="1785"/>
      <c r="K54" s="1785"/>
      <c r="L54" s="1785"/>
      <c r="M54" s="1785"/>
      <c r="N54" s="1785"/>
      <c r="O54" s="1785"/>
      <c r="P54" s="1785"/>
      <c r="Q54" s="1785"/>
    </row>
    <row r="55" spans="1:17" s="1846" customFormat="1" ht="15.75">
      <c r="A55" s="1845"/>
      <c r="B55" s="1740"/>
      <c r="C55" s="1741"/>
      <c r="D55" s="1741"/>
      <c r="E55" s="1741"/>
      <c r="F55" s="1741"/>
      <c r="G55" s="1741"/>
      <c r="H55" s="1741"/>
      <c r="I55" s="1741"/>
      <c r="J55" s="1741"/>
      <c r="K55" s="1741"/>
      <c r="L55" s="1741"/>
      <c r="M55" s="1741"/>
      <c r="N55" s="1741"/>
      <c r="O55" s="1741"/>
      <c r="P55" s="1741"/>
      <c r="Q55" s="1741"/>
    </row>
    <row r="56" spans="1:17" s="1846" customFormat="1" ht="15.75">
      <c r="A56" s="1845"/>
      <c r="B56" s="1740"/>
      <c r="C56" s="1742"/>
      <c r="D56" s="1742"/>
      <c r="E56" s="1742"/>
      <c r="F56" s="1742"/>
      <c r="G56" s="1742"/>
      <c r="H56" s="1742"/>
      <c r="I56" s="1742"/>
      <c r="J56" s="1742"/>
      <c r="K56" s="1742"/>
      <c r="L56" s="1743"/>
      <c r="M56" s="1743"/>
      <c r="N56" s="1743"/>
      <c r="O56" s="1743"/>
      <c r="P56" s="1743"/>
      <c r="Q56" s="1743"/>
    </row>
    <row r="57" spans="1:17" s="1846" customFormat="1" ht="15.75">
      <c r="A57" s="1845"/>
      <c r="B57" s="1740"/>
      <c r="C57" s="1742"/>
      <c r="D57" s="1742"/>
      <c r="E57" s="1742"/>
      <c r="F57" s="1742"/>
      <c r="G57" s="1742"/>
      <c r="H57" s="1742"/>
      <c r="I57" s="1742"/>
      <c r="J57" s="1742"/>
      <c r="K57" s="1742"/>
      <c r="L57" s="1743"/>
      <c r="M57" s="1743"/>
      <c r="N57" s="1743"/>
      <c r="O57" s="1743"/>
      <c r="P57" s="1743"/>
      <c r="Q57" s="1743"/>
    </row>
    <row r="58" spans="1:17" s="1846" customFormat="1" ht="15.75">
      <c r="A58" s="1845"/>
      <c r="B58" s="1740"/>
      <c r="C58" s="1742"/>
      <c r="D58" s="1742"/>
      <c r="E58" s="1742"/>
      <c r="F58" s="1742"/>
      <c r="G58" s="1742"/>
      <c r="H58" s="1742"/>
      <c r="I58" s="1742"/>
      <c r="J58" s="1742"/>
      <c r="K58" s="1742"/>
      <c r="L58" s="1743"/>
      <c r="M58" s="1743"/>
      <c r="N58" s="1743"/>
      <c r="O58" s="1743"/>
      <c r="P58" s="1743"/>
      <c r="Q58" s="1743"/>
    </row>
    <row r="59" spans="1:17" s="1846" customFormat="1" ht="15.75">
      <c r="A59" s="1845"/>
      <c r="B59" s="1740"/>
      <c r="C59" s="1742"/>
      <c r="D59" s="1742"/>
      <c r="E59" s="1742"/>
      <c r="F59" s="1742"/>
      <c r="G59" s="1742"/>
      <c r="H59" s="1742"/>
      <c r="I59" s="1742"/>
      <c r="J59" s="1742"/>
      <c r="K59" s="1742"/>
      <c r="L59" s="1742"/>
      <c r="M59" s="1742"/>
      <c r="N59" s="1742"/>
      <c r="O59" s="1742"/>
      <c r="P59" s="1742"/>
      <c r="Q59" s="1742"/>
    </row>
    <row r="60" spans="1:17" s="1846" customFormat="1" ht="15.75">
      <c r="A60" s="1845"/>
      <c r="B60" s="1740"/>
      <c r="C60" s="1742"/>
      <c r="D60" s="1742"/>
      <c r="E60" s="1742"/>
      <c r="F60" s="1742"/>
      <c r="G60" s="1742"/>
      <c r="H60" s="1742"/>
      <c r="I60" s="1742"/>
      <c r="J60" s="1742"/>
      <c r="K60" s="1742"/>
      <c r="L60" s="1742"/>
      <c r="M60" s="1742"/>
      <c r="N60" s="1742"/>
      <c r="O60" s="1742"/>
      <c r="P60" s="1742"/>
      <c r="Q60" s="1742"/>
    </row>
    <row r="61" spans="1:17" s="1846" customFormat="1" ht="15.75">
      <c r="A61" s="1845"/>
      <c r="B61" s="1740"/>
      <c r="C61" s="1742"/>
      <c r="D61" s="1742"/>
      <c r="E61" s="1742"/>
      <c r="F61" s="1742"/>
      <c r="G61" s="1742"/>
      <c r="H61" s="1742"/>
      <c r="I61" s="1742"/>
      <c r="J61" s="1742"/>
      <c r="K61" s="1742"/>
      <c r="L61" s="1742"/>
      <c r="M61" s="1742"/>
      <c r="N61" s="1742"/>
      <c r="O61" s="1742"/>
      <c r="P61" s="1742"/>
      <c r="Q61" s="1742"/>
    </row>
    <row r="62" spans="1:17" s="1846" customFormat="1" ht="15.75">
      <c r="A62" s="1845"/>
      <c r="B62" s="1740"/>
      <c r="C62" s="1742"/>
      <c r="D62" s="1742"/>
      <c r="E62" s="1742"/>
      <c r="F62" s="1742"/>
      <c r="G62" s="1742"/>
      <c r="H62" s="1742"/>
      <c r="I62" s="1742"/>
      <c r="J62" s="1742"/>
      <c r="K62" s="1742"/>
      <c r="L62" s="1742"/>
      <c r="M62" s="1742"/>
      <c r="N62" s="1742"/>
      <c r="O62" s="1742"/>
      <c r="P62" s="1742"/>
      <c r="Q62" s="1742"/>
    </row>
    <row r="63" spans="1:17" s="1846" customFormat="1" ht="15.75">
      <c r="A63" s="1845"/>
      <c r="B63" s="1740"/>
      <c r="C63" s="1742"/>
      <c r="D63" s="1742"/>
      <c r="E63" s="1742"/>
      <c r="F63" s="1742"/>
      <c r="G63" s="1742"/>
      <c r="H63" s="1742"/>
      <c r="I63" s="1742"/>
      <c r="J63" s="1742"/>
      <c r="K63" s="1742"/>
      <c r="L63" s="1742"/>
      <c r="M63" s="1742"/>
      <c r="N63" s="1742"/>
      <c r="O63" s="1742"/>
      <c r="P63" s="1742"/>
      <c r="Q63" s="1742"/>
    </row>
    <row r="64" spans="1:17" s="1846" customFormat="1" ht="15.75">
      <c r="A64" s="1845"/>
      <c r="B64" s="1740"/>
      <c r="C64" s="1742"/>
      <c r="D64" s="1742"/>
      <c r="E64" s="1742"/>
      <c r="F64" s="1742"/>
      <c r="G64" s="1742"/>
      <c r="H64" s="1742"/>
      <c r="I64" s="1742"/>
      <c r="J64" s="1742"/>
      <c r="K64" s="1742"/>
      <c r="L64" s="1742"/>
      <c r="M64" s="1742"/>
      <c r="N64" s="1742"/>
      <c r="O64" s="1742"/>
      <c r="P64" s="1742"/>
      <c r="Q64" s="1742"/>
    </row>
    <row r="65" spans="1:17" s="1846" customFormat="1" ht="15.75">
      <c r="A65" s="1845"/>
      <c r="B65" s="1740"/>
      <c r="C65" s="1742"/>
      <c r="D65" s="1742"/>
      <c r="E65" s="1742"/>
      <c r="F65" s="1742"/>
      <c r="G65" s="1742"/>
      <c r="H65" s="1742"/>
      <c r="I65" s="1742"/>
      <c r="J65" s="1742"/>
      <c r="K65" s="1742"/>
      <c r="L65" s="1742"/>
      <c r="M65" s="1742"/>
      <c r="N65" s="1742"/>
      <c r="O65" s="1742"/>
      <c r="P65" s="1742"/>
      <c r="Q65" s="1742"/>
    </row>
    <row r="66" spans="1:17" s="1846" customFormat="1" ht="15.75">
      <c r="A66" s="1845"/>
      <c r="B66" s="1843"/>
      <c r="C66" s="1844"/>
      <c r="D66" s="1844"/>
      <c r="E66" s="1844"/>
      <c r="F66" s="1844"/>
      <c r="G66" s="1844"/>
      <c r="H66" s="1844"/>
      <c r="I66" s="1844"/>
      <c r="J66" s="1844"/>
      <c r="K66" s="1844"/>
      <c r="L66" s="1844"/>
      <c r="M66" s="1844"/>
      <c r="N66" s="1844"/>
      <c r="O66" s="1844"/>
      <c r="P66" s="1844"/>
      <c r="Q66" s="1844"/>
    </row>
    <row r="67" spans="1:17" s="1783" customFormat="1" ht="15.75">
      <c r="A67" s="2153" t="s">
        <v>1175</v>
      </c>
      <c r="B67" s="2154"/>
      <c r="C67" s="1786"/>
      <c r="D67" s="1786"/>
      <c r="E67" s="1786"/>
      <c r="F67" s="1786"/>
      <c r="G67" s="1786"/>
      <c r="H67" s="1786"/>
      <c r="I67" s="1786"/>
      <c r="J67" s="1786"/>
      <c r="K67" s="1786"/>
      <c r="L67" s="1786"/>
      <c r="M67" s="1786"/>
      <c r="N67" s="1786"/>
      <c r="O67" s="1786"/>
      <c r="P67" s="1786"/>
      <c r="Q67" s="1786"/>
    </row>
    <row r="68" spans="1:17" s="1846" customFormat="1" ht="15.75">
      <c r="A68" s="1845"/>
      <c r="B68" s="1740"/>
      <c r="C68" s="1742"/>
      <c r="D68" s="1742"/>
      <c r="E68" s="1742"/>
      <c r="F68" s="1742"/>
      <c r="G68" s="1742"/>
      <c r="H68" s="1742"/>
      <c r="I68" s="1742"/>
      <c r="J68" s="1742"/>
      <c r="K68" s="1742"/>
      <c r="L68" s="1742"/>
      <c r="M68" s="1742"/>
      <c r="N68" s="1742"/>
      <c r="O68" s="1742"/>
      <c r="P68" s="1742"/>
      <c r="Q68" s="1742"/>
    </row>
    <row r="69" spans="1:17" s="1846" customFormat="1" ht="15.75">
      <c r="A69" s="1845"/>
      <c r="B69" s="1744"/>
      <c r="C69" s="1844"/>
      <c r="D69" s="1844"/>
      <c r="E69" s="1844"/>
      <c r="F69" s="1844"/>
      <c r="G69" s="1844"/>
      <c r="H69" s="1844"/>
      <c r="I69" s="1844"/>
      <c r="J69" s="1844"/>
      <c r="K69" s="1844"/>
      <c r="L69" s="1844"/>
      <c r="M69" s="1844"/>
      <c r="N69" s="1844"/>
      <c r="O69" s="1844"/>
      <c r="P69" s="1844"/>
      <c r="Q69" s="1844"/>
    </row>
    <row r="70" spans="1:17" s="1846" customFormat="1" ht="15.75">
      <c r="A70" s="1845"/>
      <c r="B70" s="1745"/>
      <c r="C70" s="1844"/>
      <c r="D70" s="1844"/>
      <c r="E70" s="1844"/>
      <c r="F70" s="1844"/>
      <c r="G70" s="1844"/>
      <c r="H70" s="1844"/>
      <c r="I70" s="1844"/>
      <c r="J70" s="1844"/>
      <c r="K70" s="1844"/>
      <c r="L70" s="1844"/>
      <c r="M70" s="1844"/>
      <c r="N70" s="1844"/>
      <c r="O70" s="1844"/>
      <c r="P70" s="1844"/>
      <c r="Q70" s="1844"/>
    </row>
    <row r="71" spans="1:17" s="1846" customFormat="1" ht="15.75">
      <c r="A71" s="1845"/>
      <c r="B71" s="1843"/>
      <c r="C71" s="1844"/>
      <c r="D71" s="1844"/>
      <c r="E71" s="1844"/>
      <c r="F71" s="1844"/>
      <c r="G71" s="1844"/>
      <c r="H71" s="1844"/>
      <c r="I71" s="1844"/>
      <c r="J71" s="1844"/>
      <c r="K71" s="1844"/>
      <c r="L71" s="1844"/>
      <c r="M71" s="1844"/>
      <c r="N71" s="1844"/>
      <c r="O71" s="1844"/>
      <c r="P71" s="1844"/>
      <c r="Q71" s="1844"/>
    </row>
    <row r="72" spans="1:17" s="1846" customFormat="1" ht="15.75">
      <c r="A72" s="1845"/>
      <c r="B72" s="1843"/>
      <c r="C72" s="1844"/>
      <c r="D72" s="1844"/>
      <c r="E72" s="1844"/>
      <c r="F72" s="1844"/>
      <c r="G72" s="1844"/>
      <c r="H72" s="1844"/>
      <c r="I72" s="1844"/>
      <c r="J72" s="1844"/>
      <c r="K72" s="1844"/>
      <c r="L72" s="1844"/>
      <c r="M72" s="1844"/>
      <c r="N72" s="1844"/>
      <c r="O72" s="1844"/>
      <c r="P72" s="1844"/>
      <c r="Q72" s="1844"/>
    </row>
    <row r="73" spans="1:17" s="1846" customFormat="1" ht="15.75">
      <c r="A73" s="1845"/>
      <c r="B73" s="1843"/>
      <c r="C73" s="1844"/>
      <c r="D73" s="1844"/>
      <c r="E73" s="1844"/>
      <c r="F73" s="1844"/>
      <c r="G73" s="1844"/>
      <c r="H73" s="1844"/>
      <c r="I73" s="1844"/>
      <c r="J73" s="1844"/>
      <c r="K73" s="1844"/>
      <c r="L73" s="1844"/>
      <c r="M73" s="1844"/>
      <c r="N73" s="1844"/>
      <c r="O73" s="1844"/>
      <c r="P73" s="1844"/>
      <c r="Q73" s="1844"/>
    </row>
    <row r="74" spans="1:17" s="1846" customFormat="1" ht="15.75">
      <c r="A74" s="1845"/>
      <c r="B74" s="1843"/>
      <c r="C74" s="1844"/>
      <c r="D74" s="1844"/>
      <c r="E74" s="1844"/>
      <c r="F74" s="1844"/>
      <c r="G74" s="1844"/>
      <c r="H74" s="1844"/>
      <c r="I74" s="1844"/>
      <c r="J74" s="1844"/>
      <c r="K74" s="1844"/>
      <c r="L74" s="1844"/>
      <c r="M74" s="1844"/>
      <c r="N74" s="1844"/>
      <c r="O74" s="1844"/>
      <c r="P74" s="1844"/>
      <c r="Q74" s="1844"/>
    </row>
    <row r="75" spans="1:17" s="1846" customFormat="1" ht="15.75">
      <c r="A75" s="1845"/>
      <c r="B75" s="1843"/>
      <c r="C75" s="1844"/>
      <c r="D75" s="1844"/>
      <c r="E75" s="1844"/>
      <c r="F75" s="1844"/>
      <c r="G75" s="1844"/>
      <c r="H75" s="1844"/>
      <c r="I75" s="1844"/>
      <c r="J75" s="1844"/>
      <c r="K75" s="1844"/>
      <c r="L75" s="1844"/>
      <c r="M75" s="1844"/>
      <c r="N75" s="1844"/>
      <c r="O75" s="1844"/>
      <c r="P75" s="1844"/>
      <c r="Q75" s="1844"/>
    </row>
    <row r="76" spans="1:17" s="1846" customFormat="1" ht="15.75">
      <c r="A76" s="1845"/>
      <c r="B76" s="1843"/>
      <c r="C76" s="1844"/>
      <c r="D76" s="1844"/>
      <c r="E76" s="1844"/>
      <c r="F76" s="1844"/>
      <c r="G76" s="1844"/>
      <c r="H76" s="1844"/>
      <c r="I76" s="1844"/>
      <c r="J76" s="1844"/>
      <c r="K76" s="1844"/>
      <c r="L76" s="1844"/>
      <c r="M76" s="1844"/>
      <c r="N76" s="1844"/>
      <c r="O76" s="1844"/>
      <c r="P76" s="1844"/>
      <c r="Q76" s="1844"/>
    </row>
    <row r="77" spans="1:17" s="1846" customFormat="1" ht="15.75">
      <c r="A77" s="1845"/>
      <c r="B77" s="1843"/>
      <c r="C77" s="1844"/>
      <c r="D77" s="1844"/>
      <c r="E77" s="1844"/>
      <c r="F77" s="1844"/>
      <c r="G77" s="1844"/>
      <c r="H77" s="1844"/>
      <c r="I77" s="1844"/>
      <c r="J77" s="1844"/>
      <c r="K77" s="1844"/>
      <c r="L77" s="1844"/>
      <c r="M77" s="1844"/>
      <c r="N77" s="1844"/>
      <c r="O77" s="1844"/>
      <c r="P77" s="1844"/>
      <c r="Q77" s="1844"/>
    </row>
    <row r="78" spans="1:17" s="1846" customFormat="1" ht="15.75">
      <c r="A78" s="1845"/>
      <c r="B78" s="1843"/>
      <c r="C78" s="1844"/>
      <c r="D78" s="1844"/>
      <c r="E78" s="1844"/>
      <c r="F78" s="1844"/>
      <c r="G78" s="1844"/>
      <c r="H78" s="1844"/>
      <c r="I78" s="1844"/>
      <c r="J78" s="1844"/>
      <c r="K78" s="1844"/>
      <c r="L78" s="1844"/>
      <c r="M78" s="1844"/>
      <c r="N78" s="1844"/>
      <c r="O78" s="1844"/>
      <c r="P78" s="1844"/>
      <c r="Q78" s="1844"/>
    </row>
    <row r="79" spans="1:17" s="1783" customFormat="1" ht="15.75">
      <c r="A79" s="1777"/>
      <c r="B79" s="1787" t="s">
        <v>1127</v>
      </c>
      <c r="C79" s="1788" t="e">
        <f>C53/C52</f>
        <v>#DIV/0!</v>
      </c>
      <c r="D79" s="1788" t="e">
        <f t="shared" ref="D79:Q79" si="17">D53/D52</f>
        <v>#DIV/0!</v>
      </c>
      <c r="E79" s="1788" t="e">
        <f t="shared" si="17"/>
        <v>#DIV/0!</v>
      </c>
      <c r="F79" s="1788" t="e">
        <f t="shared" si="17"/>
        <v>#DIV/0!</v>
      </c>
      <c r="G79" s="1788" t="e">
        <f t="shared" si="17"/>
        <v>#DIV/0!</v>
      </c>
      <c r="H79" s="1788" t="e">
        <f t="shared" si="17"/>
        <v>#DIV/0!</v>
      </c>
      <c r="I79" s="1788" t="e">
        <f t="shared" si="17"/>
        <v>#DIV/0!</v>
      </c>
      <c r="J79" s="1788" t="e">
        <f t="shared" si="17"/>
        <v>#DIV/0!</v>
      </c>
      <c r="K79" s="1788" t="e">
        <f t="shared" si="17"/>
        <v>#DIV/0!</v>
      </c>
      <c r="L79" s="1788" t="e">
        <f t="shared" si="17"/>
        <v>#DIV/0!</v>
      </c>
      <c r="M79" s="1788" t="e">
        <f t="shared" si="17"/>
        <v>#DIV/0!</v>
      </c>
      <c r="N79" s="1788" t="e">
        <f t="shared" si="17"/>
        <v>#DIV/0!</v>
      </c>
      <c r="O79" s="1788" t="e">
        <f t="shared" si="17"/>
        <v>#DIV/0!</v>
      </c>
      <c r="P79" s="1788" t="e">
        <f t="shared" si="17"/>
        <v>#DIV/0!</v>
      </c>
      <c r="Q79" s="1788" t="e">
        <f t="shared" si="17"/>
        <v>#DIV/0!</v>
      </c>
    </row>
    <row r="80" spans="1:17" s="1783" customFormat="1" ht="15.75">
      <c r="A80" s="1777"/>
      <c r="B80" s="1789"/>
      <c r="C80" s="1790"/>
      <c r="D80" s="1790"/>
      <c r="E80" s="1790"/>
      <c r="F80" s="1790"/>
      <c r="G80" s="1790"/>
      <c r="H80" s="1790"/>
      <c r="I80" s="1790"/>
      <c r="J80" s="1790"/>
      <c r="K80" s="1790"/>
      <c r="L80" s="1790"/>
      <c r="M80" s="1790"/>
      <c r="N80" s="1790"/>
      <c r="O80" s="1790"/>
      <c r="P80" s="1790"/>
      <c r="Q80" s="1790"/>
    </row>
    <row r="81" spans="1:17" s="1783" customFormat="1" ht="15.75">
      <c r="A81" s="1793" t="s">
        <v>1170</v>
      </c>
      <c r="B81" s="1794" t="s">
        <v>154</v>
      </c>
      <c r="C81" s="2157">
        <v>0.05</v>
      </c>
      <c r="D81" s="2157"/>
      <c r="E81" s="2157"/>
      <c r="F81" s="1790"/>
      <c r="G81" s="1790"/>
      <c r="H81" s="1790"/>
      <c r="I81" s="1790"/>
      <c r="J81" s="1790"/>
      <c r="K81" s="1790"/>
      <c r="L81" s="1790"/>
      <c r="M81" s="1790"/>
      <c r="N81" s="1790"/>
      <c r="O81" s="1790"/>
      <c r="P81" s="1790"/>
      <c r="Q81" s="1790"/>
    </row>
    <row r="82" spans="1:17" s="1783" customFormat="1" ht="15.75">
      <c r="A82" s="1795" t="s">
        <v>1171</v>
      </c>
      <c r="B82" s="1794" t="s">
        <v>153</v>
      </c>
      <c r="C82" s="2157">
        <v>0.04</v>
      </c>
      <c r="D82" s="2157"/>
      <c r="E82" s="2157"/>
      <c r="F82" s="1790"/>
      <c r="G82" s="1790"/>
      <c r="H82" s="1790"/>
      <c r="I82" s="1790"/>
      <c r="J82" s="1790"/>
      <c r="K82" s="1790"/>
      <c r="L82" s="1790"/>
      <c r="M82" s="1790"/>
      <c r="N82" s="1790"/>
      <c r="O82" s="1790"/>
      <c r="P82" s="1790"/>
      <c r="Q82" s="1790"/>
    </row>
    <row r="83" spans="1:17" ht="16.5" customHeight="1">
      <c r="A83" s="1777"/>
      <c r="B83" s="2156" t="s">
        <v>1153</v>
      </c>
      <c r="C83" s="2156"/>
      <c r="D83" s="2156"/>
      <c r="E83" s="2156"/>
      <c r="F83" s="2156"/>
      <c r="G83" s="2156"/>
      <c r="H83" s="2156"/>
      <c r="I83" s="2156"/>
      <c r="J83" s="2156"/>
      <c r="N83" s="1771"/>
      <c r="O83" s="1771"/>
    </row>
    <row r="84" spans="1:17" ht="16.5" customHeight="1">
      <c r="A84" s="1777"/>
      <c r="B84" s="1796"/>
      <c r="C84" s="1796"/>
      <c r="D84" s="1796"/>
      <c r="E84" s="1796"/>
      <c r="F84" s="1796"/>
      <c r="G84" s="1796"/>
      <c r="H84" s="1796"/>
      <c r="I84" s="1796"/>
      <c r="J84" s="1796"/>
      <c r="N84" s="1771"/>
      <c r="O84" s="1771"/>
    </row>
    <row r="85" spans="1:17" ht="21">
      <c r="A85" s="2148" t="s">
        <v>978</v>
      </c>
      <c r="B85" s="2148"/>
      <c r="C85" s="2148"/>
      <c r="D85" s="2148"/>
      <c r="E85" s="2148"/>
      <c r="F85" s="808"/>
      <c r="G85" s="808"/>
      <c r="H85" s="808"/>
      <c r="I85" s="808"/>
      <c r="J85" s="808"/>
      <c r="N85" s="1771"/>
      <c r="O85" s="1771"/>
    </row>
    <row r="86" spans="1:17">
      <c r="A86" s="808"/>
      <c r="B86" s="1797" t="s">
        <v>970</v>
      </c>
      <c r="C86" s="808"/>
      <c r="D86" s="808"/>
      <c r="E86" s="808"/>
      <c r="F86" s="808"/>
      <c r="G86" s="808"/>
      <c r="H86" s="808"/>
      <c r="I86" s="808"/>
      <c r="J86" s="808"/>
      <c r="N86" s="1771"/>
      <c r="O86" s="1771"/>
    </row>
    <row r="87" spans="1:17">
      <c r="A87" s="808"/>
      <c r="B87" s="808" t="s">
        <v>1013</v>
      </c>
      <c r="C87" s="808"/>
      <c r="D87" s="808"/>
      <c r="E87" s="808"/>
      <c r="F87" s="808"/>
      <c r="G87" s="808"/>
      <c r="H87" s="808"/>
      <c r="I87" s="808"/>
      <c r="J87" s="808"/>
      <c r="N87" s="1768"/>
      <c r="O87" s="1768"/>
    </row>
    <row r="88" spans="1:17">
      <c r="A88" s="808"/>
      <c r="B88" s="808" t="s">
        <v>1014</v>
      </c>
      <c r="C88" s="808"/>
      <c r="D88" s="808"/>
      <c r="E88" s="808"/>
      <c r="F88" s="808"/>
      <c r="G88" s="808"/>
      <c r="H88" s="808"/>
      <c r="I88" s="808"/>
      <c r="J88" s="808"/>
      <c r="N88" s="1768"/>
      <c r="O88" s="1768"/>
    </row>
    <row r="89" spans="1:17">
      <c r="A89" s="808"/>
      <c r="B89" s="808" t="s">
        <v>888</v>
      </c>
      <c r="C89" s="808"/>
      <c r="D89" s="808"/>
      <c r="E89" s="808"/>
      <c r="F89" s="808"/>
      <c r="G89" s="808"/>
      <c r="H89" s="808"/>
      <c r="I89" s="808"/>
      <c r="J89" s="808"/>
    </row>
    <row r="90" spans="1:17">
      <c r="A90" s="808"/>
      <c r="B90" s="808"/>
      <c r="C90" s="808"/>
      <c r="D90" s="808"/>
      <c r="E90" s="808"/>
      <c r="F90" s="808"/>
      <c r="G90" s="808"/>
      <c r="H90" s="808"/>
      <c r="I90" s="808"/>
      <c r="J90" s="808"/>
    </row>
    <row r="91" spans="1:17" ht="21">
      <c r="A91" s="2148" t="s">
        <v>1133</v>
      </c>
      <c r="B91" s="2148"/>
      <c r="C91" s="2148"/>
      <c r="D91" s="2148"/>
      <c r="E91" s="2148"/>
      <c r="F91" s="808"/>
      <c r="G91" s="808"/>
      <c r="H91" s="1798"/>
      <c r="I91" s="1798"/>
      <c r="J91" s="1798"/>
      <c r="K91" s="1799"/>
      <c r="L91" s="1799"/>
    </row>
    <row r="92" spans="1:17" ht="38.25">
      <c r="A92" s="808"/>
      <c r="B92" s="1800" t="s">
        <v>958</v>
      </c>
      <c r="C92" s="1801" t="s">
        <v>999</v>
      </c>
      <c r="D92" s="1802" t="s">
        <v>1000</v>
      </c>
      <c r="E92" s="808"/>
      <c r="F92" s="1803" t="s">
        <v>959</v>
      </c>
      <c r="G92" s="1798"/>
      <c r="H92" s="1798"/>
      <c r="I92" s="1798"/>
      <c r="J92" s="1798"/>
      <c r="K92" s="1799"/>
      <c r="L92" s="1799"/>
    </row>
    <row r="93" spans="1:17">
      <c r="A93" s="808"/>
      <c r="B93" s="2159" t="s">
        <v>1041</v>
      </c>
      <c r="C93" s="2160"/>
      <c r="D93" s="2161"/>
      <c r="E93" s="808"/>
      <c r="F93" s="2162" t="s">
        <v>887</v>
      </c>
      <c r="G93" s="1804"/>
      <c r="H93" s="1804"/>
      <c r="I93" s="1804"/>
      <c r="J93" s="1804"/>
      <c r="K93" s="1805"/>
      <c r="L93" s="1805"/>
    </row>
    <row r="94" spans="1:17">
      <c r="A94" s="808"/>
      <c r="B94" s="1806" t="s">
        <v>1110</v>
      </c>
      <c r="C94" s="1807"/>
      <c r="D94" s="1808"/>
      <c r="E94" s="808"/>
      <c r="F94" s="2162"/>
      <c r="G94" s="808"/>
      <c r="H94" s="808"/>
      <c r="I94" s="808"/>
      <c r="J94" s="808"/>
    </row>
    <row r="95" spans="1:17">
      <c r="A95" s="808"/>
      <c r="B95" s="1809" t="s">
        <v>961</v>
      </c>
      <c r="C95" s="1810"/>
      <c r="D95" s="1811"/>
      <c r="E95" s="808"/>
      <c r="F95" s="2162"/>
      <c r="G95" s="808"/>
      <c r="H95" s="808"/>
      <c r="I95" s="808"/>
      <c r="J95" s="808"/>
    </row>
    <row r="96" spans="1:17">
      <c r="A96" s="808"/>
      <c r="B96" s="1809" t="s">
        <v>962</v>
      </c>
      <c r="C96" s="1810"/>
      <c r="D96" s="1811"/>
      <c r="E96" s="808"/>
      <c r="F96" s="2162"/>
      <c r="G96" s="808"/>
      <c r="H96" s="808"/>
      <c r="I96" s="808"/>
      <c r="J96" s="808"/>
    </row>
    <row r="97" spans="1:10">
      <c r="A97" s="808"/>
      <c r="B97" s="1809" t="s">
        <v>1100</v>
      </c>
      <c r="C97" s="1810"/>
      <c r="D97" s="1811"/>
      <c r="E97" s="808"/>
      <c r="F97" s="2162"/>
      <c r="G97" s="808"/>
      <c r="H97" s="808"/>
      <c r="I97" s="808"/>
      <c r="J97" s="808"/>
    </row>
    <row r="98" spans="1:10">
      <c r="A98" s="808"/>
      <c r="B98" s="1809" t="s">
        <v>963</v>
      </c>
      <c r="C98" s="1810"/>
      <c r="D98" s="1811"/>
      <c r="E98" s="808"/>
      <c r="F98" s="2162"/>
      <c r="G98" s="808"/>
      <c r="H98" s="808"/>
      <c r="I98" s="808"/>
      <c r="J98" s="808"/>
    </row>
    <row r="99" spans="1:10">
      <c r="A99" s="808"/>
      <c r="B99" s="1809" t="s">
        <v>964</v>
      </c>
      <c r="C99" s="1810"/>
      <c r="D99" s="1811"/>
      <c r="E99" s="808"/>
      <c r="F99" s="2162"/>
      <c r="G99" s="808"/>
      <c r="H99" s="808"/>
      <c r="I99" s="808"/>
      <c r="J99" s="808"/>
    </row>
    <row r="100" spans="1:10">
      <c r="A100" s="808"/>
      <c r="B100" s="1812" t="s">
        <v>965</v>
      </c>
      <c r="C100" s="1813"/>
      <c r="D100" s="1811"/>
      <c r="E100" s="808"/>
      <c r="F100" s="2162"/>
      <c r="G100" s="808"/>
      <c r="H100" s="808"/>
      <c r="I100" s="808"/>
      <c r="J100" s="808"/>
    </row>
    <row r="101" spans="1:10">
      <c r="A101" s="808"/>
      <c r="B101" s="2159" t="s">
        <v>1042</v>
      </c>
      <c r="C101" s="2160"/>
      <c r="D101" s="2161"/>
      <c r="E101" s="808"/>
      <c r="F101" s="2162" t="s">
        <v>1009</v>
      </c>
      <c r="G101" s="808"/>
      <c r="H101" s="808"/>
      <c r="I101" s="808"/>
      <c r="J101" s="808"/>
    </row>
    <row r="102" spans="1:10">
      <c r="A102" s="808"/>
      <c r="B102" s="1812" t="s">
        <v>1048</v>
      </c>
      <c r="C102" s="1814"/>
      <c r="D102" s="1815"/>
      <c r="E102" s="808"/>
      <c r="F102" s="2162"/>
      <c r="G102" s="808"/>
      <c r="H102" s="808"/>
      <c r="I102" s="808"/>
      <c r="J102" s="808"/>
    </row>
    <row r="103" spans="1:10">
      <c r="A103" s="808"/>
      <c r="B103" s="1806" t="s">
        <v>1049</v>
      </c>
      <c r="C103" s="1816"/>
      <c r="D103" s="1817"/>
      <c r="E103" s="808"/>
      <c r="F103" s="2162"/>
      <c r="G103" s="808"/>
      <c r="H103" s="808"/>
      <c r="I103" s="808"/>
      <c r="J103" s="808"/>
    </row>
    <row r="104" spans="1:10" ht="14.25" customHeight="1">
      <c r="A104" s="808"/>
      <c r="B104" s="1812" t="s">
        <v>1050</v>
      </c>
      <c r="C104" s="1814"/>
      <c r="D104" s="1815"/>
      <c r="E104" s="808"/>
      <c r="F104" s="2162"/>
      <c r="G104" s="808"/>
      <c r="H104" s="808"/>
      <c r="I104" s="808"/>
      <c r="J104" s="808"/>
    </row>
    <row r="105" spans="1:10">
      <c r="A105" s="808"/>
      <c r="B105" s="2159" t="s">
        <v>1043</v>
      </c>
      <c r="C105" s="2160"/>
      <c r="D105" s="2161"/>
      <c r="E105" s="808"/>
      <c r="F105" s="2162" t="s">
        <v>1010</v>
      </c>
      <c r="G105" s="808"/>
      <c r="H105" s="808"/>
      <c r="I105" s="808"/>
      <c r="J105" s="808"/>
    </row>
    <row r="106" spans="1:10">
      <c r="A106" s="808"/>
      <c r="B106" s="1806" t="s">
        <v>1051</v>
      </c>
      <c r="C106" s="1818"/>
      <c r="D106" s="1819"/>
      <c r="E106" s="808"/>
      <c r="F106" s="2162"/>
      <c r="G106" s="808"/>
      <c r="H106" s="808"/>
      <c r="I106" s="808"/>
      <c r="J106" s="808"/>
    </row>
    <row r="107" spans="1:10">
      <c r="A107" s="808"/>
      <c r="B107" s="1809" t="s">
        <v>1052</v>
      </c>
      <c r="C107" s="1820"/>
      <c r="D107" s="1821"/>
      <c r="E107" s="808"/>
      <c r="F107" s="2162"/>
      <c r="G107" s="808"/>
      <c r="H107" s="808"/>
      <c r="I107" s="808"/>
      <c r="J107" s="808"/>
    </row>
    <row r="108" spans="1:10">
      <c r="A108" s="808"/>
      <c r="B108" s="1809" t="s">
        <v>1053</v>
      </c>
      <c r="C108" s="1820"/>
      <c r="D108" s="1821"/>
      <c r="E108" s="808"/>
      <c r="F108" s="2162"/>
      <c r="G108" s="808"/>
      <c r="H108" s="808"/>
      <c r="I108" s="808"/>
      <c r="J108" s="808"/>
    </row>
    <row r="109" spans="1:10">
      <c r="A109" s="808"/>
      <c r="B109" s="2159" t="s">
        <v>960</v>
      </c>
      <c r="C109" s="2160"/>
      <c r="D109" s="2161"/>
      <c r="E109" s="808"/>
      <c r="F109" s="2162" t="s">
        <v>1011</v>
      </c>
      <c r="G109" s="808"/>
      <c r="H109" s="808"/>
      <c r="I109" s="808"/>
      <c r="J109" s="808"/>
    </row>
    <row r="110" spans="1:10" ht="34.5" customHeight="1">
      <c r="A110" s="808"/>
      <c r="B110" s="1822" t="s">
        <v>1101</v>
      </c>
      <c r="C110" s="1823"/>
      <c r="D110" s="1824"/>
      <c r="E110" s="808"/>
      <c r="F110" s="2162"/>
      <c r="G110" s="808"/>
      <c r="H110" s="808"/>
      <c r="I110" s="808"/>
      <c r="J110" s="808"/>
    </row>
    <row r="111" spans="1:10">
      <c r="A111" s="808"/>
      <c r="B111" s="2159" t="s">
        <v>1044</v>
      </c>
      <c r="C111" s="2160"/>
      <c r="D111" s="2161"/>
      <c r="E111" s="808"/>
      <c r="F111" s="2163" t="s">
        <v>893</v>
      </c>
      <c r="G111" s="808"/>
      <c r="H111" s="808"/>
      <c r="I111" s="808"/>
      <c r="J111" s="808"/>
    </row>
    <row r="112" spans="1:10">
      <c r="A112" s="808"/>
      <c r="B112" s="1825" t="s">
        <v>1102</v>
      </c>
      <c r="C112" s="1807"/>
      <c r="D112" s="1808"/>
      <c r="E112" s="808"/>
      <c r="F112" s="2163"/>
      <c r="G112" s="808"/>
      <c r="H112" s="808"/>
      <c r="I112" s="808"/>
      <c r="J112" s="808"/>
    </row>
    <row r="113" spans="1:12">
      <c r="A113" s="808"/>
      <c r="B113" s="1826" t="s">
        <v>1103</v>
      </c>
      <c r="C113" s="1810"/>
      <c r="D113" s="1811"/>
      <c r="E113" s="808"/>
      <c r="F113" s="2163"/>
      <c r="G113" s="808"/>
      <c r="H113" s="808"/>
      <c r="I113" s="808"/>
      <c r="J113" s="808"/>
    </row>
    <row r="114" spans="1:12">
      <c r="A114" s="808"/>
      <c r="B114" s="1826" t="s">
        <v>1104</v>
      </c>
      <c r="C114" s="1810"/>
      <c r="D114" s="1821"/>
      <c r="E114" s="808"/>
      <c r="F114" s="2163"/>
      <c r="G114" s="808"/>
      <c r="H114" s="808"/>
      <c r="I114" s="808"/>
      <c r="J114" s="808"/>
    </row>
    <row r="115" spans="1:12">
      <c r="A115" s="808"/>
      <c r="B115" s="1827" t="s">
        <v>1105</v>
      </c>
      <c r="C115" s="1813"/>
      <c r="D115" s="1828"/>
      <c r="E115" s="808"/>
      <c r="F115" s="2163"/>
      <c r="G115" s="808"/>
      <c r="H115" s="808"/>
      <c r="I115" s="808"/>
      <c r="J115" s="808"/>
    </row>
    <row r="116" spans="1:12">
      <c r="A116" s="808"/>
      <c r="B116" s="808"/>
      <c r="C116" s="808"/>
      <c r="D116" s="808"/>
      <c r="E116" s="808"/>
      <c r="F116" s="808"/>
      <c r="G116" s="808"/>
      <c r="H116" s="808"/>
      <c r="I116" s="808"/>
      <c r="J116" s="808"/>
    </row>
    <row r="117" spans="1:12">
      <c r="A117" s="808"/>
      <c r="B117" s="1764" t="s">
        <v>889</v>
      </c>
      <c r="C117" s="1765"/>
      <c r="D117" s="1765"/>
      <c r="E117" s="1765"/>
      <c r="F117" s="808"/>
      <c r="G117" s="808"/>
      <c r="H117" s="808"/>
      <c r="I117" s="808"/>
      <c r="J117" s="808"/>
    </row>
    <row r="118" spans="1:12">
      <c r="A118" s="808"/>
      <c r="B118" s="1829"/>
      <c r="C118" s="1764" t="s">
        <v>1055</v>
      </c>
      <c r="D118" s="1765"/>
      <c r="E118" s="1765"/>
      <c r="F118" s="808"/>
      <c r="G118" s="808"/>
      <c r="H118" s="808"/>
      <c r="I118" s="808"/>
      <c r="J118" s="808"/>
    </row>
    <row r="119" spans="1:12">
      <c r="A119" s="808"/>
      <c r="B119" s="1830"/>
      <c r="C119" s="1764" t="s">
        <v>875</v>
      </c>
      <c r="D119" s="1765"/>
      <c r="E119" s="1765"/>
      <c r="F119" s="808"/>
      <c r="G119" s="808"/>
      <c r="H119" s="808"/>
      <c r="I119" s="808"/>
      <c r="J119" s="808"/>
    </row>
    <row r="120" spans="1:12">
      <c r="A120" s="808"/>
      <c r="B120" s="1831"/>
      <c r="C120" s="1764" t="s">
        <v>979</v>
      </c>
      <c r="D120" s="1765"/>
      <c r="E120" s="1765"/>
      <c r="F120" s="808"/>
      <c r="G120" s="808"/>
      <c r="H120" s="808"/>
      <c r="I120" s="808"/>
      <c r="J120" s="808"/>
    </row>
    <row r="121" spans="1:12">
      <c r="A121" s="808"/>
      <c r="B121" s="808"/>
      <c r="C121" s="808"/>
      <c r="D121" s="808"/>
      <c r="E121" s="808"/>
      <c r="F121" s="808"/>
      <c r="G121" s="808"/>
      <c r="H121" s="808"/>
      <c r="I121" s="808"/>
      <c r="J121" s="808"/>
    </row>
    <row r="122" spans="1:12" s="1837" customFormat="1">
      <c r="A122" s="1832"/>
      <c r="B122" s="1833"/>
      <c r="C122" s="1834"/>
      <c r="D122" s="1834"/>
      <c r="E122" s="1832"/>
      <c r="F122" s="1835"/>
      <c r="G122" s="1835"/>
      <c r="H122" s="1835"/>
      <c r="I122" s="1835"/>
      <c r="J122" s="1835"/>
      <c r="K122" s="1836"/>
      <c r="L122" s="1836"/>
    </row>
    <row r="123" spans="1:12" s="1837" customFormat="1" ht="12.75" customHeight="1">
      <c r="A123" s="1832"/>
      <c r="B123" s="1832"/>
      <c r="C123" s="1832"/>
      <c r="D123" s="1832"/>
      <c r="E123" s="1832"/>
      <c r="F123" s="1838"/>
      <c r="G123" s="1838"/>
      <c r="H123" s="1838"/>
      <c r="I123" s="1838"/>
      <c r="J123" s="1838"/>
      <c r="K123" s="1839"/>
      <c r="L123" s="1839"/>
    </row>
    <row r="124" spans="1:12" s="1837" customFormat="1" ht="12.75" customHeight="1">
      <c r="A124" s="1832"/>
      <c r="B124" s="1832"/>
      <c r="C124" s="1832"/>
      <c r="D124" s="1832"/>
      <c r="E124" s="1832"/>
      <c r="F124" s="1838"/>
      <c r="G124" s="1838"/>
      <c r="H124" s="1838"/>
      <c r="I124" s="1838"/>
      <c r="J124" s="1838"/>
      <c r="K124" s="1839"/>
      <c r="L124" s="1839"/>
    </row>
    <row r="125" spans="1:12" s="1837" customFormat="1">
      <c r="A125" s="1832"/>
      <c r="B125" s="1840"/>
      <c r="C125" s="1832"/>
      <c r="D125" s="1832"/>
      <c r="E125" s="1832"/>
      <c r="F125" s="1832"/>
      <c r="G125" s="1832"/>
      <c r="H125" s="1832"/>
      <c r="I125" s="1832"/>
      <c r="J125" s="1832"/>
    </row>
    <row r="126" spans="1:12" s="1837" customFormat="1">
      <c r="B126" s="1841"/>
    </row>
    <row r="127" spans="1:12" s="1837" customFormat="1"/>
    <row r="128" spans="1:12" s="1837" customFormat="1">
      <c r="B128" s="1840"/>
    </row>
    <row r="129" s="1837" customFormat="1"/>
    <row r="130" s="1837" customFormat="1"/>
    <row r="131" s="1837" customFormat="1"/>
    <row r="132" s="1837" customFormat="1"/>
    <row r="133" s="1837" customFormat="1"/>
    <row r="134" s="1837" customFormat="1"/>
    <row r="135" s="1837" customFormat="1"/>
    <row r="136" s="1837" customFormat="1"/>
    <row r="137" s="1837" customFormat="1"/>
    <row r="138" s="1837" customFormat="1"/>
    <row r="139" s="1837" customFormat="1"/>
    <row r="140" s="1837" customFormat="1"/>
    <row r="141" s="1837" customFormat="1"/>
    <row r="142" s="1837" customFormat="1"/>
    <row r="143" s="1837" customFormat="1"/>
    <row r="144" s="1837" customFormat="1"/>
    <row r="145" s="1837" customFormat="1"/>
    <row r="146" s="1837" customFormat="1"/>
    <row r="147" s="1837" customFormat="1"/>
    <row r="148" s="1837" customFormat="1"/>
    <row r="149" s="1837" customFormat="1"/>
    <row r="150" s="1837" customFormat="1"/>
    <row r="151" s="1837" customFormat="1"/>
    <row r="152" s="1837" customFormat="1"/>
    <row r="153" s="1837" customFormat="1"/>
    <row r="154" s="1837" customFormat="1"/>
    <row r="155" s="1837" customFormat="1"/>
    <row r="156" s="1837" customFormat="1"/>
    <row r="157" s="1837" customFormat="1"/>
    <row r="158" s="1837" customFormat="1"/>
    <row r="159" s="1837" customFormat="1"/>
    <row r="160" s="1837" customFormat="1"/>
    <row r="161" s="1837" customFormat="1"/>
    <row r="162" s="1837" customFormat="1"/>
    <row r="163" s="1837" customFormat="1"/>
    <row r="164" s="1837" customFormat="1"/>
    <row r="165" s="1837" customFormat="1"/>
    <row r="166" s="1837" customFormat="1"/>
    <row r="167" s="1837" customFormat="1"/>
    <row r="168" s="1837" customFormat="1"/>
    <row r="169" s="1837" customFormat="1"/>
    <row r="170" s="1837" customFormat="1"/>
    <row r="171" s="1837" customFormat="1"/>
    <row r="172" s="1837" customFormat="1"/>
    <row r="173" s="1837" customFormat="1"/>
    <row r="174" s="1837" customFormat="1"/>
    <row r="175" s="1837" customFormat="1"/>
    <row r="176" s="1837" customFormat="1"/>
    <row r="177" s="1837" customFormat="1"/>
    <row r="178" s="1837" customFormat="1"/>
    <row r="179" s="1837" customFormat="1"/>
    <row r="180" s="1837" customFormat="1"/>
    <row r="181" s="1837" customFormat="1"/>
    <row r="182" s="1837" customFormat="1"/>
    <row r="183" s="1837" customFormat="1"/>
    <row r="184" s="1837" customFormat="1"/>
    <row r="185" s="1837" customFormat="1"/>
    <row r="186" s="1837" customFormat="1"/>
    <row r="187" s="1837" customFormat="1"/>
    <row r="188" s="1837" customFormat="1"/>
    <row r="189" s="1837" customFormat="1"/>
    <row r="190" s="1837" customFormat="1"/>
    <row r="191" s="1837" customFormat="1"/>
    <row r="192" s="1837" customFormat="1"/>
    <row r="193" s="1837" customFormat="1"/>
    <row r="194" s="1837" customFormat="1"/>
    <row r="195" s="1837" customFormat="1"/>
    <row r="196" s="1837" customFormat="1"/>
    <row r="197" s="1837" customFormat="1"/>
    <row r="198" s="1837" customFormat="1"/>
    <row r="199" s="1837" customFormat="1"/>
    <row r="200" s="1837" customFormat="1"/>
    <row r="201" s="1837" customFormat="1"/>
    <row r="202" s="1837" customFormat="1"/>
    <row r="203" s="1837" customFormat="1"/>
    <row r="204" s="1837" customFormat="1"/>
    <row r="205" s="1837" customFormat="1"/>
    <row r="206" s="1837" customFormat="1"/>
    <row r="207" s="1837" customFormat="1"/>
    <row r="208" s="1837" customFormat="1"/>
    <row r="209" s="1837" customFormat="1"/>
    <row r="210" s="1837" customFormat="1"/>
    <row r="211" s="1837" customFormat="1"/>
    <row r="212" s="1837" customFormat="1"/>
    <row r="213" s="1837" customFormat="1"/>
    <row r="214" s="1837" customFormat="1"/>
    <row r="215" s="1837" customFormat="1"/>
    <row r="216" s="1837" customFormat="1"/>
    <row r="217" s="1837" customFormat="1"/>
    <row r="218" s="1837" customFormat="1"/>
    <row r="219" s="1837" customFormat="1"/>
    <row r="220" s="1837" customFormat="1"/>
    <row r="221" s="1837" customFormat="1"/>
    <row r="222" s="1837" customFormat="1"/>
    <row r="223" s="1837" customFormat="1"/>
    <row r="224" s="1837" customFormat="1"/>
    <row r="225" s="1837" customFormat="1"/>
    <row r="226" s="1837" customFormat="1"/>
    <row r="227" s="1837" customFormat="1"/>
    <row r="228" s="1837" customFormat="1"/>
    <row r="229" s="1837" customFormat="1"/>
    <row r="230" s="1837" customFormat="1"/>
    <row r="231" s="1837" customFormat="1"/>
    <row r="232" s="1837" customFormat="1"/>
    <row r="233" s="1837" customFormat="1"/>
    <row r="234" s="1837" customFormat="1"/>
    <row r="235" s="1837" customFormat="1"/>
    <row r="236" s="1837" customFormat="1"/>
    <row r="237" s="1837" customFormat="1"/>
    <row r="238" s="1837" customFormat="1"/>
    <row r="239" s="1837" customFormat="1"/>
    <row r="240" s="1837" customFormat="1"/>
    <row r="241" s="1837" customFormat="1"/>
    <row r="242" s="1837" customFormat="1"/>
    <row r="243" s="1837" customFormat="1"/>
    <row r="244" s="1837" customFormat="1"/>
    <row r="245" s="1837" customFormat="1"/>
    <row r="246" s="1837" customFormat="1"/>
    <row r="247" s="1837" customFormat="1"/>
    <row r="248" s="1837" customFormat="1"/>
    <row r="249" s="1837" customFormat="1"/>
    <row r="250" s="1837" customFormat="1"/>
    <row r="251" s="1837" customFormat="1"/>
    <row r="252" s="1837" customFormat="1"/>
    <row r="253" s="1837" customFormat="1"/>
    <row r="254" s="1837" customFormat="1"/>
    <row r="255" s="1837" customFormat="1"/>
    <row r="256" s="1837" customFormat="1"/>
    <row r="257" s="1837" customFormat="1"/>
    <row r="258" s="1837" customFormat="1"/>
    <row r="259" s="1837" customFormat="1"/>
    <row r="260" s="1837" customFormat="1"/>
    <row r="261" s="1837" customFormat="1"/>
    <row r="262" s="1837" customFormat="1"/>
    <row r="263" s="1837" customFormat="1"/>
    <row r="264" s="1837" customFormat="1"/>
    <row r="265" s="1837" customFormat="1"/>
    <row r="266" s="1837" customFormat="1"/>
    <row r="267" s="1837" customFormat="1"/>
    <row r="268" s="1837" customFormat="1"/>
    <row r="269" s="1837" customFormat="1"/>
    <row r="270" s="1837" customFormat="1"/>
    <row r="271" s="1837" customFormat="1"/>
    <row r="272" s="1837" customFormat="1"/>
    <row r="273" s="1837" customFormat="1"/>
    <row r="274" s="1837" customFormat="1"/>
    <row r="275" s="1837" customFormat="1"/>
    <row r="276" s="1837" customFormat="1"/>
    <row r="277" s="1837" customFormat="1"/>
    <row r="278" s="1837" customFormat="1"/>
    <row r="279" s="1837" customFormat="1"/>
    <row r="280" s="1837" customFormat="1"/>
    <row r="281" s="1837" customFormat="1"/>
    <row r="282" s="1837" customFormat="1"/>
    <row r="283" s="1837" customFormat="1"/>
    <row r="284" s="1837" customFormat="1"/>
    <row r="285" s="1837" customFormat="1"/>
    <row r="286" s="1837" customFormat="1"/>
    <row r="287" s="1837" customFormat="1"/>
    <row r="288" s="1837" customFormat="1"/>
    <row r="289" s="1837" customFormat="1"/>
    <row r="290" s="1837" customFormat="1"/>
    <row r="291" s="1837" customFormat="1"/>
    <row r="292" s="1837" customFormat="1"/>
    <row r="293" s="1837" customFormat="1"/>
    <row r="294" s="1837" customFormat="1"/>
    <row r="295" s="1837" customFormat="1"/>
    <row r="296" s="1837" customFormat="1"/>
    <row r="297" s="1837" customFormat="1"/>
    <row r="298" s="1837" customFormat="1"/>
    <row r="299" s="1837" customFormat="1"/>
    <row r="300" s="1837" customFormat="1"/>
    <row r="301" s="1837" customFormat="1"/>
    <row r="302" s="1837" customFormat="1"/>
    <row r="303" s="1837" customFormat="1"/>
    <row r="304" s="1837" customFormat="1"/>
    <row r="305" s="1837" customFormat="1"/>
    <row r="306" s="1837" customFormat="1"/>
    <row r="307" s="1837" customFormat="1"/>
    <row r="308" s="1837" customFormat="1"/>
    <row r="309" s="1837" customFormat="1"/>
    <row r="310" s="1837" customFormat="1"/>
    <row r="311" s="1837" customFormat="1"/>
    <row r="312" s="1837" customFormat="1"/>
    <row r="313" s="1837" customFormat="1"/>
    <row r="314" s="1837" customFormat="1"/>
    <row r="315" s="1837" customFormat="1"/>
    <row r="316" s="1837" customFormat="1"/>
    <row r="317" s="1837" customFormat="1"/>
    <row r="318" s="1837" customFormat="1"/>
    <row r="319" s="1837" customFormat="1"/>
    <row r="320" s="1837" customFormat="1"/>
    <row r="321" s="1837" customFormat="1"/>
    <row r="322" s="1837" customFormat="1"/>
    <row r="323" s="1837" customFormat="1"/>
    <row r="324" s="1837" customFormat="1"/>
    <row r="325" s="1837" customFormat="1"/>
    <row r="326" s="1837" customFormat="1"/>
    <row r="327" s="1837" customFormat="1"/>
    <row r="328" s="1837" customFormat="1"/>
    <row r="329" s="1837" customFormat="1"/>
    <row r="330" s="1837" customFormat="1"/>
    <row r="331" s="1837" customFormat="1"/>
    <row r="332" s="1837" customFormat="1"/>
    <row r="333" s="1837" customFormat="1"/>
    <row r="334" s="1837" customFormat="1"/>
    <row r="335" s="1837" customFormat="1"/>
    <row r="336" s="1837" customFormat="1"/>
    <row r="337" s="1837" customFormat="1"/>
    <row r="338" s="1837" customFormat="1"/>
    <row r="339" s="1837" customFormat="1"/>
    <row r="340" s="1837" customFormat="1"/>
    <row r="341" s="1837" customFormat="1"/>
    <row r="342" s="1837" customFormat="1"/>
    <row r="343" s="1837" customFormat="1"/>
    <row r="344" s="1837" customFormat="1"/>
    <row r="345" s="1837" customFormat="1"/>
    <row r="346" s="1837" customFormat="1"/>
    <row r="347" s="1837" customFormat="1"/>
    <row r="348" s="1837" customFormat="1"/>
    <row r="349" s="1837" customFormat="1"/>
    <row r="350" s="1837" customFormat="1"/>
    <row r="351" s="1837" customFormat="1"/>
    <row r="352" s="1837" customFormat="1"/>
    <row r="353" s="1837" customFormat="1"/>
    <row r="354" s="1837" customFormat="1"/>
    <row r="355" s="1837" customFormat="1"/>
    <row r="356" s="1837" customFormat="1"/>
    <row r="357" s="1837" customFormat="1"/>
    <row r="358" s="1837" customFormat="1"/>
    <row r="359" s="1837" customFormat="1"/>
    <row r="360" s="1837" customFormat="1"/>
    <row r="361" s="1837" customFormat="1"/>
    <row r="362" s="1837" customFormat="1"/>
    <row r="363" s="1837" customFormat="1"/>
    <row r="364" s="1837" customFormat="1"/>
    <row r="365" s="1837" customFormat="1"/>
    <row r="366" s="1837" customFormat="1"/>
    <row r="367" s="1837" customFormat="1"/>
  </sheetData>
  <sheetProtection formatColumns="0" formatRows="0" insertColumns="0" insertRows="0"/>
  <sortState ref="B73:C191">
    <sortCondition ref="B72"/>
  </sortState>
  <mergeCells count="40">
    <mergeCell ref="A1:E1"/>
    <mergeCell ref="C10:E10"/>
    <mergeCell ref="C11:E11"/>
    <mergeCell ref="C12:E12"/>
    <mergeCell ref="C13:E13"/>
    <mergeCell ref="C3:E3"/>
    <mergeCell ref="C4:E4"/>
    <mergeCell ref="C5:E5"/>
    <mergeCell ref="C6:E6"/>
    <mergeCell ref="C9:E9"/>
    <mergeCell ref="C14:E14"/>
    <mergeCell ref="B15:J15"/>
    <mergeCell ref="C46:E46"/>
    <mergeCell ref="C47:E47"/>
    <mergeCell ref="C48:E48"/>
    <mergeCell ref="B111:D111"/>
    <mergeCell ref="F93:F100"/>
    <mergeCell ref="F101:F104"/>
    <mergeCell ref="F105:F108"/>
    <mergeCell ref="F109:F110"/>
    <mergeCell ref="F111:F115"/>
    <mergeCell ref="B93:D93"/>
    <mergeCell ref="B101:D101"/>
    <mergeCell ref="B105:D105"/>
    <mergeCell ref="B109:D109"/>
    <mergeCell ref="A91:E91"/>
    <mergeCell ref="A85:E85"/>
    <mergeCell ref="A17:B17"/>
    <mergeCell ref="A18:B18"/>
    <mergeCell ref="A19:B19"/>
    <mergeCell ref="A32:B32"/>
    <mergeCell ref="C50:E50"/>
    <mergeCell ref="B83:J83"/>
    <mergeCell ref="C81:E81"/>
    <mergeCell ref="C82:E82"/>
    <mergeCell ref="A54:B54"/>
    <mergeCell ref="A67:B67"/>
    <mergeCell ref="A53:B53"/>
    <mergeCell ref="C49:E49"/>
    <mergeCell ref="A52:B52"/>
  </mergeCells>
  <dataValidations count="9">
    <dataValidation type="list" allowBlank="1" showInputMessage="1" showErrorMessage="1" sqref="E7:E8">
      <formula1>"Izvēlieties gadu!, 2016, 2017, 2018, "</formula1>
    </dataValidation>
    <dataValidation type="list" allowBlank="1" showInputMessage="1" showErrorMessage="1" sqref="C7:C8">
      <formula1>"Izvēlieties datumu!, 1, 2, 3, 4, 5, 6, 7, 8, 9, 10, 11, 12, 13, 14, 15, 16, 17, 18, 19, 20, 21, 22, 23, 24, 25, 26, 27, 28, 29, 30, 31,"</formula1>
    </dataValidation>
    <dataValidation type="list" allowBlank="1" showInputMessage="1" showErrorMessage="1" sqref="D7:D8">
      <formula1>"Izvēlieties mēnesi!, janvāris, februāris, marts, aprīlis, maijs, jūnijs, jūlijs, augusts, septembris, oktobris, novembris, decembris"</formula1>
    </dataValidation>
    <dataValidation type="list" allowBlank="1" showInputMessage="1" showErrorMessage="1" sqref="C3:E3">
      <formula1>"Izvēlieties projekta iesniedzēja veidu!, Pašvaldība, Pašvaldības izviedota iestāde"</formula1>
    </dataValidation>
    <dataValidation type="list" allowBlank="1" showInputMessage="1" showErrorMessage="1" sqref="C46:E46 C48:E49 C10:E10">
      <formula1>"Izvēlieties variantu!, Jā, Nē"</formula1>
    </dataValidation>
    <dataValidation operator="equal" allowBlank="1" showErrorMessage="1" errorTitle="Jāievada pozitīvs skaitlis" error="Jāievada pozitīvs skaitlis" sqref="C51:Q51 C53:Q53 C16:Q16 C18:Q18">
      <formula1>0</formula1>
      <formula2>0</formula2>
    </dataValidation>
    <dataValidation type="decimal" operator="greaterThanOrEqual" allowBlank="1" showErrorMessage="1" errorTitle="Jāievada pozitīvs skaitlis" error="Jāievada pozitīvs skaitlis" sqref="C65:Q65 L56:Q58 C30:Q30 L21:Q23">
      <formula1>0</formula1>
      <formula2>0</formula2>
    </dataValidation>
    <dataValidation type="decimal" operator="greaterThanOrEqual" allowBlank="1" showErrorMessage="1" error="Jāievada pozitīvs skaitlis" sqref="C68:Q68 C55:Q55 C33:Q33 C20:Q20">
      <formula1>0</formula1>
      <formula2>0</formula2>
    </dataValidation>
    <dataValidation type="list" allowBlank="1" showInputMessage="1" showErrorMessage="1" sqref="C47:E47">
      <formula1>"Izvēlieties projekta sadarbības partnera veidu!, Pašvaldība, Pašvaldības izviedota iestāde, Kapitālsabiedrība"</formula1>
    </dataValidation>
  </dataValidations>
  <pageMargins left="0.7" right="0.7" top="0.75" bottom="0.75" header="0.3" footer="0.3"/>
  <pageSetup paperSize="9" scale="67"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dimension ref="A1:R25"/>
  <sheetViews>
    <sheetView workbookViewId="0">
      <selection activeCell="I16" sqref="I16"/>
    </sheetView>
  </sheetViews>
  <sheetFormatPr defaultRowHeight="12.75"/>
  <cols>
    <col min="1" max="1" width="13.28515625" customWidth="1"/>
    <col min="2" max="2" width="13" customWidth="1"/>
    <col min="4" max="4" width="13.28515625" customWidth="1"/>
    <col min="5" max="5" width="11.85546875" customWidth="1"/>
    <col min="6" max="9" width="12.85546875" customWidth="1"/>
    <col min="10" max="10" width="10.5703125" customWidth="1"/>
    <col min="11" max="11" width="14.85546875" customWidth="1"/>
    <col min="12" max="12" width="13.7109375" customWidth="1"/>
    <col min="13" max="13" width="9.5703125" bestFit="1" customWidth="1"/>
    <col min="14" max="15" width="11.28515625" customWidth="1"/>
    <col min="16" max="16" width="12" customWidth="1"/>
    <col min="17" max="17" width="11" bestFit="1" customWidth="1"/>
  </cols>
  <sheetData>
    <row r="1" spans="1:18" ht="104.25">
      <c r="A1" s="390"/>
      <c r="B1" s="390"/>
      <c r="C1" s="390" t="s">
        <v>565</v>
      </c>
      <c r="D1" s="390" t="s">
        <v>564</v>
      </c>
      <c r="E1" s="391" t="s">
        <v>563</v>
      </c>
      <c r="F1" s="391" t="s">
        <v>305</v>
      </c>
      <c r="G1" s="391"/>
      <c r="H1" s="391"/>
      <c r="I1" s="391"/>
      <c r="J1" s="391" t="s">
        <v>562</v>
      </c>
      <c r="K1" s="391" t="s">
        <v>561</v>
      </c>
      <c r="L1" s="6" t="s">
        <v>306</v>
      </c>
      <c r="M1" t="s">
        <v>560</v>
      </c>
    </row>
    <row r="2" spans="1:18" ht="90.75" customHeight="1">
      <c r="A2" s="390"/>
      <c r="B2" s="390"/>
      <c r="C2" s="390"/>
      <c r="D2" s="390"/>
      <c r="E2" s="392" t="s">
        <v>559</v>
      </c>
      <c r="F2" s="392" t="s">
        <v>558</v>
      </c>
      <c r="G2" s="392"/>
      <c r="H2" s="392"/>
      <c r="I2" s="392"/>
      <c r="J2" s="391" t="s">
        <v>557</v>
      </c>
      <c r="K2" s="391" t="s">
        <v>557</v>
      </c>
      <c r="L2" s="6" t="s">
        <v>556</v>
      </c>
      <c r="M2" s="6" t="s">
        <v>0</v>
      </c>
      <c r="N2" s="391" t="s">
        <v>555</v>
      </c>
      <c r="O2" s="391" t="s">
        <v>554</v>
      </c>
      <c r="P2" s="391" t="s">
        <v>553</v>
      </c>
      <c r="Q2" s="391" t="s">
        <v>552</v>
      </c>
      <c r="R2" s="391"/>
    </row>
    <row r="3" spans="1:18">
      <c r="A3" s="391"/>
      <c r="B3" s="390"/>
      <c r="C3" s="390"/>
      <c r="D3" s="390"/>
      <c r="E3" s="389">
        <v>7.5999999999999998E-2</v>
      </c>
      <c r="F3" s="294">
        <f>dati_vilcieni!G71</f>
        <v>31.512586744556241</v>
      </c>
      <c r="G3" s="294" t="s">
        <v>551</v>
      </c>
      <c r="H3" s="294" t="s">
        <v>550</v>
      </c>
      <c r="I3" s="294"/>
    </row>
    <row r="4" spans="1:18">
      <c r="A4" s="2225" t="s">
        <v>549</v>
      </c>
      <c r="B4" s="387" t="s">
        <v>548</v>
      </c>
      <c r="C4" s="383">
        <f t="shared" ref="C4:C20" si="0">D4/365</f>
        <v>3148.9917808219179</v>
      </c>
      <c r="D4" s="382">
        <v>1149382</v>
      </c>
      <c r="E4" s="381">
        <f t="shared" ref="E4:E20" si="1">D4*$E$3</f>
        <v>87353.031999999992</v>
      </c>
      <c r="F4" s="381">
        <f t="shared" ref="F4:F20" si="2">E4*$F$3</f>
        <v>2752719.9982999968</v>
      </c>
      <c r="G4" s="381"/>
      <c r="H4" s="381"/>
      <c r="I4" s="381"/>
      <c r="J4" s="1"/>
      <c r="K4" s="1">
        <v>0.5</v>
      </c>
      <c r="L4" s="1">
        <f>attalumi!B56</f>
        <v>10</v>
      </c>
      <c r="M4" s="1"/>
      <c r="N4">
        <f>'reisi R-T'!E13*2</f>
        <v>29200</v>
      </c>
      <c r="P4">
        <f t="shared" ref="P4:P14" si="3">D4/N4</f>
        <v>39.362397260273973</v>
      </c>
      <c r="Q4" t="e">
        <f>P4/#REF!*#REF!</f>
        <v>#REF!</v>
      </c>
    </row>
    <row r="5" spans="1:18">
      <c r="A5" s="2225"/>
      <c r="B5" s="388" t="s">
        <v>547</v>
      </c>
      <c r="C5" s="383">
        <f t="shared" si="0"/>
        <v>1989.4246575342465</v>
      </c>
      <c r="D5" s="382">
        <v>726140</v>
      </c>
      <c r="E5" s="381">
        <f t="shared" si="1"/>
        <v>55186.64</v>
      </c>
      <c r="F5" s="381">
        <f t="shared" si="2"/>
        <v>1739073.7801405971</v>
      </c>
      <c r="G5" s="381"/>
      <c r="H5" s="381"/>
      <c r="I5" s="381"/>
      <c r="J5" s="1"/>
      <c r="K5" s="1">
        <v>0.5</v>
      </c>
      <c r="L5" s="1">
        <f>attalumi!B55</f>
        <v>9</v>
      </c>
      <c r="M5" s="1"/>
      <c r="N5" s="355">
        <f>'reisi R-T'!E11*2</f>
        <v>29200</v>
      </c>
      <c r="O5" s="355"/>
      <c r="P5">
        <f t="shared" si="3"/>
        <v>24.867808219178084</v>
      </c>
      <c r="Q5" t="e">
        <f>P5/#REF!*#REF!</f>
        <v>#REF!</v>
      </c>
    </row>
    <row r="6" spans="1:18">
      <c r="A6" s="2227" t="s">
        <v>546</v>
      </c>
      <c r="B6" s="387" t="s">
        <v>545</v>
      </c>
      <c r="C6" s="383">
        <f t="shared" si="0"/>
        <v>2991.5424657534245</v>
      </c>
      <c r="D6" s="382">
        <v>1091913</v>
      </c>
      <c r="E6" s="381">
        <f t="shared" si="1"/>
        <v>82985.387999999992</v>
      </c>
      <c r="F6" s="381">
        <f t="shared" si="2"/>
        <v>2615084.2378806565</v>
      </c>
      <c r="G6" s="381"/>
      <c r="H6" s="381"/>
      <c r="I6" s="381"/>
      <c r="J6" s="1"/>
      <c r="K6" s="1">
        <v>0.85</v>
      </c>
      <c r="L6" s="1">
        <f>attalumi!B60</f>
        <v>20</v>
      </c>
      <c r="M6" s="1"/>
      <c r="N6" s="6">
        <f>'reisi R-T'!E21*2</f>
        <v>29200</v>
      </c>
      <c r="O6" s="6"/>
      <c r="P6">
        <f t="shared" si="3"/>
        <v>37.39428082191781</v>
      </c>
      <c r="Q6" t="e">
        <f>P6/#REF!*#REF!</f>
        <v>#REF!</v>
      </c>
    </row>
    <row r="7" spans="1:18">
      <c r="A7" s="2227"/>
      <c r="B7" s="387" t="s">
        <v>544</v>
      </c>
      <c r="C7" s="383">
        <f t="shared" si="0"/>
        <v>2723.2849315068493</v>
      </c>
      <c r="D7" s="382">
        <v>993999</v>
      </c>
      <c r="E7" s="381">
        <f t="shared" si="1"/>
        <v>75543.923999999999</v>
      </c>
      <c r="F7" s="381">
        <f t="shared" si="2"/>
        <v>2380584.4580741641</v>
      </c>
      <c r="G7" s="381"/>
      <c r="H7" s="381"/>
      <c r="I7" s="381"/>
      <c r="J7" s="1"/>
      <c r="K7" s="1">
        <v>1</v>
      </c>
      <c r="L7" s="1">
        <f>attalumi!B62</f>
        <v>24</v>
      </c>
      <c r="M7" s="1"/>
      <c r="N7" s="6">
        <f>'reisi R-T'!E25*2</f>
        <v>29200</v>
      </c>
      <c r="O7" s="6"/>
      <c r="P7">
        <f t="shared" si="3"/>
        <v>34.041061643835619</v>
      </c>
      <c r="Q7" t="e">
        <f>P7/#REF!*#REF!</f>
        <v>#REF!</v>
      </c>
    </row>
    <row r="8" spans="1:18">
      <c r="A8" s="2227"/>
      <c r="B8" s="387" t="s">
        <v>543</v>
      </c>
      <c r="C8" s="383">
        <f t="shared" si="0"/>
        <v>1754.6273972602739</v>
      </c>
      <c r="D8" s="382">
        <v>640439</v>
      </c>
      <c r="E8" s="381">
        <f t="shared" si="1"/>
        <v>48673.364000000001</v>
      </c>
      <c r="F8" s="381">
        <f t="shared" si="2"/>
        <v>1533823.605199361</v>
      </c>
      <c r="G8" s="381"/>
      <c r="H8" s="381"/>
      <c r="I8" s="381"/>
      <c r="J8" s="1"/>
      <c r="K8" s="1">
        <v>1</v>
      </c>
      <c r="L8" s="1">
        <f>attalumi!B61</f>
        <v>23</v>
      </c>
      <c r="M8" s="1"/>
      <c r="N8" s="6">
        <f>'reisi R-T'!E23*2</f>
        <v>29200</v>
      </c>
      <c r="O8" s="6"/>
      <c r="P8">
        <f t="shared" si="3"/>
        <v>21.932842465753424</v>
      </c>
      <c r="Q8" t="e">
        <f>P8/#REF!*#REF!</f>
        <v>#REF!</v>
      </c>
    </row>
    <row r="9" spans="1:18">
      <c r="A9" s="2227"/>
      <c r="B9" s="387" t="s">
        <v>542</v>
      </c>
      <c r="C9" s="383">
        <f t="shared" si="0"/>
        <v>1397.66301369863</v>
      </c>
      <c r="D9" s="382">
        <v>510147</v>
      </c>
      <c r="E9" s="381">
        <f t="shared" si="1"/>
        <v>38771.171999999999</v>
      </c>
      <c r="F9" s="381">
        <f t="shared" si="2"/>
        <v>1221779.9208381101</v>
      </c>
      <c r="G9" s="381"/>
      <c r="H9" s="381"/>
      <c r="I9" s="381"/>
      <c r="J9" s="1">
        <v>1.05</v>
      </c>
      <c r="K9" s="1">
        <v>0.8</v>
      </c>
      <c r="L9" s="1">
        <f>attalumi!B59</f>
        <v>19</v>
      </c>
      <c r="M9" s="380">
        <f>J9-K9</f>
        <v>0.25</v>
      </c>
      <c r="N9">
        <f>'reisi R-T'!E19*2</f>
        <v>29200</v>
      </c>
      <c r="P9">
        <f t="shared" si="3"/>
        <v>17.470787671232877</v>
      </c>
      <c r="Q9" t="e">
        <f>P9/#REF!*#REF!</f>
        <v>#REF!</v>
      </c>
    </row>
    <row r="10" spans="1:18">
      <c r="A10" s="2227"/>
      <c r="B10" s="387" t="s">
        <v>541</v>
      </c>
      <c r="C10" s="383">
        <f t="shared" si="0"/>
        <v>1386.6438356164383</v>
      </c>
      <c r="D10" s="382">
        <v>506125</v>
      </c>
      <c r="E10" s="381">
        <f t="shared" si="1"/>
        <v>38465.5</v>
      </c>
      <c r="F10" s="381">
        <f t="shared" si="2"/>
        <v>1212147.405422728</v>
      </c>
      <c r="G10" s="381"/>
      <c r="H10" s="381"/>
      <c r="I10" s="381"/>
      <c r="J10" s="1">
        <v>1.1499999999999999</v>
      </c>
      <c r="K10" s="1">
        <v>1.05</v>
      </c>
      <c r="L10" s="1">
        <f>attalumi!B63</f>
        <v>25</v>
      </c>
      <c r="M10" s="380">
        <f>J10-K10</f>
        <v>9.9999999999999867E-2</v>
      </c>
      <c r="N10">
        <f>'reisi R-T'!E27*2</f>
        <v>24090</v>
      </c>
      <c r="P10">
        <f t="shared" si="3"/>
        <v>21.009755085097552</v>
      </c>
      <c r="Q10" t="e">
        <f>P10/#REF!*#REF!</f>
        <v>#REF!</v>
      </c>
    </row>
    <row r="11" spans="1:18">
      <c r="A11" s="2227"/>
      <c r="B11" s="387" t="s">
        <v>540</v>
      </c>
      <c r="C11" s="383">
        <f t="shared" si="0"/>
        <v>3131.1424657534249</v>
      </c>
      <c r="D11" s="382">
        <v>1142867</v>
      </c>
      <c r="E11" s="381">
        <f t="shared" si="1"/>
        <v>86857.891999999993</v>
      </c>
      <c r="F11" s="381">
        <f t="shared" si="2"/>
        <v>2737116.8560992973</v>
      </c>
      <c r="G11" s="381"/>
      <c r="H11" s="381"/>
      <c r="I11" s="381"/>
      <c r="J11" s="1">
        <v>1.4</v>
      </c>
      <c r="K11" s="1">
        <v>1.3</v>
      </c>
      <c r="L11" s="1">
        <f>attalumi!B69</f>
        <v>35</v>
      </c>
      <c r="M11" s="380">
        <f>J11-K11</f>
        <v>9.9999999999999867E-2</v>
      </c>
      <c r="N11">
        <f>'reisi R-T'!E39*2</f>
        <v>11680</v>
      </c>
      <c r="P11">
        <f t="shared" si="3"/>
        <v>97.848202054794527</v>
      </c>
      <c r="Q11" t="e">
        <f>P11/#REF!*#REF!</f>
        <v>#REF!</v>
      </c>
    </row>
    <row r="12" spans="1:18">
      <c r="A12" s="2227"/>
      <c r="B12" s="387" t="s">
        <v>539</v>
      </c>
      <c r="C12" s="383">
        <f t="shared" si="0"/>
        <v>1085.9452054794519</v>
      </c>
      <c r="D12" s="382">
        <v>396370</v>
      </c>
      <c r="E12" s="381">
        <f t="shared" si="1"/>
        <v>30124.12</v>
      </c>
      <c r="F12" s="381">
        <f t="shared" si="2"/>
        <v>949288.94460342149</v>
      </c>
      <c r="G12" s="381"/>
      <c r="H12" s="381"/>
      <c r="I12" s="381"/>
      <c r="J12" s="1"/>
      <c r="K12" s="1">
        <v>0.5</v>
      </c>
      <c r="L12" s="1">
        <f>attalumi!B57</f>
        <v>13</v>
      </c>
      <c r="M12" s="385"/>
      <c r="N12">
        <f>'reisi R-T'!E15*2</f>
        <v>29200</v>
      </c>
      <c r="P12">
        <f t="shared" si="3"/>
        <v>13.574315068493151</v>
      </c>
      <c r="Q12" t="e">
        <f>P12/#REF!*#REF!</f>
        <v>#REF!</v>
      </c>
    </row>
    <row r="13" spans="1:18">
      <c r="A13" s="2227"/>
      <c r="B13" s="387" t="s">
        <v>538</v>
      </c>
      <c r="C13" s="383">
        <f t="shared" si="0"/>
        <v>662.99726027397264</v>
      </c>
      <c r="D13" s="382">
        <v>241994</v>
      </c>
      <c r="E13" s="381">
        <f t="shared" si="1"/>
        <v>18391.543999999998</v>
      </c>
      <c r="F13" s="381">
        <f t="shared" si="2"/>
        <v>579565.12566632277</v>
      </c>
      <c r="G13" s="381"/>
      <c r="H13" s="381"/>
      <c r="I13" s="381"/>
      <c r="J13" s="1"/>
      <c r="K13" s="1">
        <v>1.1000000000000001</v>
      </c>
      <c r="L13" s="1">
        <f>attalumi!B66</f>
        <v>29</v>
      </c>
      <c r="M13" s="385"/>
      <c r="N13">
        <f>'reisi R-T'!E33*2</f>
        <v>24090</v>
      </c>
      <c r="P13">
        <f t="shared" si="3"/>
        <v>10.04541303445413</v>
      </c>
      <c r="Q13" t="e">
        <f>P13/#REF!*#REF!</f>
        <v>#REF!</v>
      </c>
    </row>
    <row r="14" spans="1:18">
      <c r="A14" s="2227"/>
      <c r="B14" s="387" t="s">
        <v>537</v>
      </c>
      <c r="C14" s="383">
        <f t="shared" si="0"/>
        <v>528.79178082191777</v>
      </c>
      <c r="D14" s="382">
        <v>193009</v>
      </c>
      <c r="E14" s="381">
        <f t="shared" si="1"/>
        <v>14668.683999999999</v>
      </c>
      <c r="F14" s="381">
        <f t="shared" si="2"/>
        <v>462248.1769784842</v>
      </c>
      <c r="G14" s="381"/>
      <c r="H14" s="381"/>
      <c r="I14" s="381"/>
      <c r="J14" s="1">
        <v>1.35</v>
      </c>
      <c r="K14" s="1">
        <v>1.1499999999999999</v>
      </c>
      <c r="L14" s="1">
        <f>attalumi!B68</f>
        <v>32</v>
      </c>
      <c r="M14" s="380">
        <f>J14-K14</f>
        <v>0.20000000000000018</v>
      </c>
      <c r="N14">
        <f>'reisi R-T'!E37*2</f>
        <v>24090</v>
      </c>
      <c r="P14">
        <f t="shared" si="3"/>
        <v>8.0119966791199673</v>
      </c>
      <c r="Q14" t="e">
        <f>P14/#REF!*#REF!</f>
        <v>#REF!</v>
      </c>
    </row>
    <row r="15" spans="1:18">
      <c r="A15" s="2226" t="s">
        <v>157</v>
      </c>
      <c r="B15" s="384" t="s">
        <v>157</v>
      </c>
      <c r="C15" s="383">
        <f t="shared" si="0"/>
        <v>4053.2082191780823</v>
      </c>
      <c r="D15" s="382">
        <v>1479421</v>
      </c>
      <c r="E15" s="381">
        <f t="shared" si="1"/>
        <v>112435.996</v>
      </c>
      <c r="F15" s="381">
        <f t="shared" si="2"/>
        <v>3543149.0771605787</v>
      </c>
      <c r="G15" s="381"/>
      <c r="H15" s="381"/>
      <c r="I15" s="381"/>
      <c r="J15" s="1">
        <v>1.6</v>
      </c>
      <c r="K15" s="1">
        <v>1.45</v>
      </c>
      <c r="L15" s="1">
        <f>attalumi!B86</f>
        <v>43</v>
      </c>
      <c r="M15" s="380">
        <f>J15-K15</f>
        <v>0.15000000000000013</v>
      </c>
    </row>
    <row r="16" spans="1:18">
      <c r="A16" s="2226"/>
      <c r="B16" s="384" t="s">
        <v>536</v>
      </c>
      <c r="C16" s="383">
        <f t="shared" si="0"/>
        <v>1375.8191780821917</v>
      </c>
      <c r="D16" s="382">
        <v>502174</v>
      </c>
      <c r="E16" s="381">
        <f t="shared" si="1"/>
        <v>38165.224000000002</v>
      </c>
      <c r="F16" s="381">
        <f t="shared" si="2"/>
        <v>1202684.9319254197</v>
      </c>
      <c r="G16" s="381"/>
      <c r="H16" s="381"/>
      <c r="I16" s="381"/>
      <c r="J16" s="1"/>
      <c r="K16" s="1">
        <v>1.4</v>
      </c>
      <c r="L16" s="1">
        <f>attalumi!B85</f>
        <v>41</v>
      </c>
      <c r="M16" s="385"/>
    </row>
    <row r="17" spans="1:18">
      <c r="A17" s="386" t="s">
        <v>535</v>
      </c>
      <c r="B17" s="384" t="s">
        <v>534</v>
      </c>
      <c r="C17" s="383">
        <f t="shared" si="0"/>
        <v>2560.4904109589042</v>
      </c>
      <c r="D17" s="382">
        <v>934579</v>
      </c>
      <c r="E17" s="381">
        <f t="shared" si="1"/>
        <v>71028.004000000001</v>
      </c>
      <c r="F17" s="381">
        <f t="shared" si="2"/>
        <v>2238276.1373426877</v>
      </c>
      <c r="G17" s="381"/>
      <c r="H17" s="381"/>
      <c r="I17" s="381"/>
      <c r="J17" s="1"/>
      <c r="K17" s="1">
        <v>0.95</v>
      </c>
      <c r="L17" s="1">
        <f>attalumi!B81</f>
        <v>22</v>
      </c>
      <c r="M17" s="385"/>
    </row>
    <row r="18" spans="1:18">
      <c r="A18" s="1" t="s">
        <v>533</v>
      </c>
      <c r="B18" s="384" t="s">
        <v>532</v>
      </c>
      <c r="C18" s="383">
        <f t="shared" si="0"/>
        <v>1622.4849315068493</v>
      </c>
      <c r="D18" s="382">
        <v>592207</v>
      </c>
      <c r="E18" s="381">
        <f t="shared" si="1"/>
        <v>45007.731999999996</v>
      </c>
      <c r="F18" s="381">
        <f t="shared" si="2"/>
        <v>1418310.0588257397</v>
      </c>
      <c r="G18" s="381"/>
      <c r="H18" s="381"/>
      <c r="I18" s="381"/>
      <c r="J18" s="1">
        <v>1.2</v>
      </c>
      <c r="K18" s="1">
        <v>1.1000000000000001</v>
      </c>
      <c r="L18" s="1">
        <f>attalumi!B34</f>
        <v>28</v>
      </c>
      <c r="M18" s="380">
        <f>J18-K18</f>
        <v>9.9999999999999867E-2</v>
      </c>
    </row>
    <row r="19" spans="1:18">
      <c r="A19" s="1" t="s">
        <v>531</v>
      </c>
      <c r="B19" s="1" t="s">
        <v>530</v>
      </c>
      <c r="C19" s="383">
        <f t="shared" si="0"/>
        <v>5050.3205479452054</v>
      </c>
      <c r="D19" s="382">
        <v>1843367</v>
      </c>
      <c r="E19" s="381">
        <f t="shared" si="1"/>
        <v>140095.89199999999</v>
      </c>
      <c r="F19" s="381">
        <f t="shared" si="2"/>
        <v>4414783.9492059825</v>
      </c>
      <c r="G19" s="381"/>
      <c r="H19" s="381"/>
      <c r="I19" s="381"/>
      <c r="J19" s="1">
        <v>1.35</v>
      </c>
      <c r="K19" s="1">
        <v>1.2</v>
      </c>
      <c r="L19" s="1">
        <f>attalumi!B36</f>
        <v>34</v>
      </c>
      <c r="M19" s="380">
        <f>J19-K19</f>
        <v>0.15000000000000013</v>
      </c>
    </row>
    <row r="20" spans="1:18">
      <c r="A20" s="1" t="s">
        <v>529</v>
      </c>
      <c r="B20" s="1" t="s">
        <v>528</v>
      </c>
      <c r="C20" s="383">
        <f t="shared" si="0"/>
        <v>2048.0054794520547</v>
      </c>
      <c r="D20" s="382">
        <v>747522</v>
      </c>
      <c r="E20" s="381">
        <f t="shared" si="1"/>
        <v>56811.671999999999</v>
      </c>
      <c r="F20" s="381">
        <f t="shared" si="2"/>
        <v>1790282.7420032769</v>
      </c>
      <c r="G20" s="381"/>
      <c r="H20" s="381"/>
      <c r="I20" s="381"/>
      <c r="J20" s="1">
        <v>0.95</v>
      </c>
      <c r="K20" s="1">
        <v>0.75</v>
      </c>
      <c r="L20" s="1">
        <f>attalumi!B32</f>
        <v>18</v>
      </c>
      <c r="M20" s="380">
        <f>J20-K20</f>
        <v>0.19999999999999996</v>
      </c>
    </row>
    <row r="21" spans="1:18">
      <c r="D21" s="317">
        <f>SUM(D4:D20)</f>
        <v>13691655</v>
      </c>
      <c r="E21" s="379">
        <f>SUM(E4:E20)</f>
        <v>1040565.78</v>
      </c>
      <c r="F21" s="379">
        <f>SUM(F4:F20)</f>
        <v>32790919.405666824</v>
      </c>
      <c r="G21" s="379"/>
      <c r="H21" s="379"/>
      <c r="I21" s="379"/>
      <c r="J21" s="317">
        <f>SUM(J9:J20)</f>
        <v>10.050000000000001</v>
      </c>
      <c r="K21" s="317">
        <f>SUM(K4:K20)</f>
        <v>16.599999999999998</v>
      </c>
      <c r="L21" s="317">
        <f>SUM(L4:L20)</f>
        <v>425</v>
      </c>
      <c r="M21" s="317">
        <f>SUM(M4:M20)</f>
        <v>1.25</v>
      </c>
      <c r="N21" s="317">
        <v>29200</v>
      </c>
      <c r="O21" s="317"/>
      <c r="Q21" s="317" t="e">
        <f>SUM(Q4:Q20)</f>
        <v>#REF!</v>
      </c>
      <c r="R21" s="317"/>
    </row>
    <row r="22" spans="1:18">
      <c r="B22" t="s">
        <v>275</v>
      </c>
      <c r="D22" s="356">
        <f>D21/D23</f>
        <v>0.33960808061385783</v>
      </c>
      <c r="E22" s="378"/>
    </row>
    <row r="23" spans="1:18">
      <c r="B23" t="s">
        <v>2</v>
      </c>
      <c r="D23" s="317">
        <v>40316046</v>
      </c>
    </row>
    <row r="24" spans="1:18">
      <c r="B24" s="6"/>
      <c r="D24" s="315"/>
    </row>
    <row r="25" spans="1:18">
      <c r="D25" s="315"/>
    </row>
  </sheetData>
  <mergeCells count="3">
    <mergeCell ref="A4:A5"/>
    <mergeCell ref="A15:A16"/>
    <mergeCell ref="A6:A14"/>
  </mergeCells>
  <pageMargins left="0.7" right="0.7" top="0.75" bottom="0.75" header="0.3" footer="0.3"/>
  <pageSetup paperSize="9" orientation="portrait" horizontalDpi="1200" verticalDpi="120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dimension ref="A1:I54"/>
  <sheetViews>
    <sheetView workbookViewId="0">
      <selection activeCell="AW18" sqref="AW18"/>
    </sheetView>
  </sheetViews>
  <sheetFormatPr defaultRowHeight="12.75"/>
  <cols>
    <col min="5" max="5" width="9.5703125" bestFit="1" customWidth="1"/>
    <col min="6" max="6" width="12.42578125" customWidth="1"/>
    <col min="8" max="8" width="12.42578125" customWidth="1"/>
  </cols>
  <sheetData>
    <row r="1" spans="1:9" ht="57" thickBot="1">
      <c r="A1" s="408"/>
      <c r="B1" s="407" t="s">
        <v>585</v>
      </c>
      <c r="C1" s="406" t="s">
        <v>584</v>
      </c>
      <c r="D1" s="406" t="s">
        <v>583</v>
      </c>
      <c r="E1" s="406" t="s">
        <v>582</v>
      </c>
      <c r="F1" s="406" t="s">
        <v>581</v>
      </c>
      <c r="G1" s="406" t="s">
        <v>581</v>
      </c>
    </row>
    <row r="2" spans="1:9" ht="23.25" thickBot="1">
      <c r="A2" s="397">
        <v>1</v>
      </c>
      <c r="B2" s="396" t="s">
        <v>580</v>
      </c>
      <c r="C2" s="395">
        <v>40</v>
      </c>
      <c r="D2" s="395"/>
      <c r="E2" s="395"/>
      <c r="F2" s="395"/>
      <c r="G2" s="405"/>
    </row>
    <row r="3" spans="1:9" ht="13.5" thickBot="1">
      <c r="A3" s="397"/>
      <c r="B3" s="395"/>
      <c r="C3" s="395"/>
      <c r="D3" s="395">
        <v>40</v>
      </c>
      <c r="E3" s="395">
        <v>14600</v>
      </c>
      <c r="F3" s="395">
        <v>5414620.1342580952</v>
      </c>
      <c r="G3" s="395">
        <v>6785</v>
      </c>
      <c r="H3" s="398">
        <f>F3/(E3*2)</f>
        <v>185.43219637870189</v>
      </c>
      <c r="I3" s="356">
        <f>E3/$E$53</f>
        <v>5.2631578947368418E-2</v>
      </c>
    </row>
    <row r="4" spans="1:9" ht="13.5" thickBot="1">
      <c r="A4" s="397">
        <v>2</v>
      </c>
      <c r="B4" s="396" t="s">
        <v>579</v>
      </c>
      <c r="C4" s="395">
        <v>0</v>
      </c>
      <c r="D4" s="395"/>
      <c r="E4" s="395"/>
      <c r="F4" s="395"/>
      <c r="G4" s="395"/>
      <c r="H4" s="398"/>
      <c r="I4" s="356"/>
    </row>
    <row r="5" spans="1:9" ht="13.5" thickBot="1">
      <c r="A5" s="397"/>
      <c r="B5" s="395"/>
      <c r="C5" s="395"/>
      <c r="D5" s="395">
        <v>40</v>
      </c>
      <c r="E5" s="395">
        <v>14600</v>
      </c>
      <c r="F5" s="395">
        <v>5156872.6700998209</v>
      </c>
      <c r="G5" s="395">
        <v>6478</v>
      </c>
      <c r="H5" s="398">
        <f>F5/(E5*2)</f>
        <v>176.60522842807606</v>
      </c>
      <c r="I5" s="356">
        <f>E5/$E$53</f>
        <v>5.2631578947368418E-2</v>
      </c>
    </row>
    <row r="6" spans="1:9" ht="13.5" thickBot="1">
      <c r="A6" s="397">
        <v>3</v>
      </c>
      <c r="B6" s="396" t="s">
        <v>578</v>
      </c>
      <c r="C6" s="395">
        <v>0</v>
      </c>
      <c r="D6" s="395"/>
      <c r="E6" s="395"/>
      <c r="F6" s="395"/>
      <c r="G6" s="395"/>
      <c r="H6" s="398"/>
      <c r="I6" s="356"/>
    </row>
    <row r="7" spans="1:9" ht="13.5" thickBot="1">
      <c r="A7" s="397"/>
      <c r="B7" s="395"/>
      <c r="C7" s="395"/>
      <c r="D7" s="395">
        <v>40</v>
      </c>
      <c r="E7" s="395">
        <v>14600</v>
      </c>
      <c r="F7" s="395">
        <v>4717433.6757724416</v>
      </c>
      <c r="G7" s="395">
        <v>5927</v>
      </c>
      <c r="H7" s="398">
        <f>F7/(E7*2)</f>
        <v>161.55594780042608</v>
      </c>
      <c r="I7" s="356">
        <f>E7/$E$53</f>
        <v>5.2631578947368418E-2</v>
      </c>
    </row>
    <row r="8" spans="1:9" ht="23.25" thickBot="1">
      <c r="A8" s="397">
        <v>4</v>
      </c>
      <c r="B8" s="396" t="s">
        <v>577</v>
      </c>
      <c r="C8" s="395">
        <v>0</v>
      </c>
      <c r="D8" s="395"/>
      <c r="E8" s="395"/>
      <c r="F8" s="395"/>
      <c r="G8" s="395"/>
      <c r="H8" s="398"/>
      <c r="I8" s="356"/>
    </row>
    <row r="9" spans="1:9" ht="13.5" thickBot="1">
      <c r="A9" s="397"/>
      <c r="B9" s="395"/>
      <c r="C9" s="395"/>
      <c r="D9" s="395">
        <v>40</v>
      </c>
      <c r="E9" s="395">
        <v>14600</v>
      </c>
      <c r="F9" s="395">
        <v>4665688.6178630013</v>
      </c>
      <c r="G9" s="395">
        <v>5862</v>
      </c>
      <c r="H9" s="398">
        <f>F9/(E9*2)</f>
        <v>159.78385677613019</v>
      </c>
      <c r="I9" s="356">
        <f>E9/$E$53</f>
        <v>5.2631578947368418E-2</v>
      </c>
    </row>
    <row r="10" spans="1:9" ht="13.5" thickBot="1">
      <c r="A10" s="402">
        <v>5</v>
      </c>
      <c r="B10" s="401" t="s">
        <v>547</v>
      </c>
      <c r="C10" s="400">
        <v>0</v>
      </c>
      <c r="D10" s="395"/>
      <c r="E10" s="395"/>
      <c r="F10" s="395"/>
      <c r="G10" s="395"/>
      <c r="H10" s="398"/>
      <c r="I10" s="356"/>
    </row>
    <row r="11" spans="1:9" ht="13.5" thickBot="1">
      <c r="A11" s="397"/>
      <c r="B11" s="395"/>
      <c r="C11" s="395"/>
      <c r="D11" s="395">
        <v>40</v>
      </c>
      <c r="E11" s="404">
        <v>14600</v>
      </c>
      <c r="F11" s="403">
        <v>4302618.6612749752</v>
      </c>
      <c r="G11" s="395">
        <v>5406</v>
      </c>
      <c r="H11" s="398">
        <f>F11/(E11*2)</f>
        <v>147.34995415325258</v>
      </c>
      <c r="I11" s="356">
        <f>E11/$E$53</f>
        <v>5.2631578947368418E-2</v>
      </c>
    </row>
    <row r="12" spans="1:9" ht="13.5" thickBot="1">
      <c r="A12" s="402">
        <v>6</v>
      </c>
      <c r="B12" s="401" t="s">
        <v>548</v>
      </c>
      <c r="C12" s="400">
        <v>0</v>
      </c>
      <c r="D12" s="395"/>
      <c r="E12" s="395"/>
      <c r="F12" s="395"/>
      <c r="G12" s="395"/>
      <c r="H12" s="398"/>
      <c r="I12" s="356"/>
    </row>
    <row r="13" spans="1:9" ht="13.5" thickBot="1">
      <c r="A13" s="397"/>
      <c r="B13" s="395"/>
      <c r="C13" s="395"/>
      <c r="D13" s="395">
        <v>40</v>
      </c>
      <c r="E13" s="399">
        <v>14600</v>
      </c>
      <c r="F13" s="399">
        <v>3727927.8839521441</v>
      </c>
      <c r="G13" s="395">
        <v>4684</v>
      </c>
      <c r="H13" s="398">
        <f>F13/(E13*2)</f>
        <v>127.66876314904603</v>
      </c>
      <c r="I13" s="356">
        <f>E13/$E$53</f>
        <v>5.2631578947368418E-2</v>
      </c>
    </row>
    <row r="14" spans="1:9" ht="13.5" thickBot="1">
      <c r="A14" s="402">
        <v>7</v>
      </c>
      <c r="B14" s="401" t="s">
        <v>539</v>
      </c>
      <c r="C14" s="400">
        <v>0</v>
      </c>
      <c r="D14" s="395"/>
      <c r="E14" s="395"/>
      <c r="F14" s="395"/>
      <c r="G14" s="395"/>
      <c r="H14" s="398"/>
      <c r="I14" s="356"/>
    </row>
    <row r="15" spans="1:9" ht="13.5" thickBot="1">
      <c r="A15" s="397"/>
      <c r="B15" s="395"/>
      <c r="C15" s="395"/>
      <c r="D15" s="395">
        <v>40</v>
      </c>
      <c r="E15" s="399">
        <v>14600</v>
      </c>
      <c r="F15" s="399">
        <v>3529743.1283870805</v>
      </c>
      <c r="G15" s="395">
        <v>4435</v>
      </c>
      <c r="H15" s="398">
        <f>F15/(E15*2)</f>
        <v>120.88161398585892</v>
      </c>
      <c r="I15" s="356">
        <f>E15/$E$53</f>
        <v>5.2631578947368418E-2</v>
      </c>
    </row>
    <row r="16" spans="1:9" ht="13.5" thickBot="1">
      <c r="A16" s="397">
        <v>8</v>
      </c>
      <c r="B16" s="396" t="s">
        <v>576</v>
      </c>
      <c r="C16" s="395">
        <v>0</v>
      </c>
      <c r="D16" s="395"/>
      <c r="E16" s="395"/>
      <c r="F16" s="395"/>
      <c r="G16" s="395"/>
      <c r="H16" s="398"/>
      <c r="I16" s="356"/>
    </row>
    <row r="17" spans="1:9" ht="13.5" thickBot="1">
      <c r="A17" s="397"/>
      <c r="B17" s="395"/>
      <c r="C17" s="395"/>
      <c r="D17" s="395">
        <v>40</v>
      </c>
      <c r="E17" s="395">
        <v>14600</v>
      </c>
      <c r="F17" s="395">
        <v>3405039.6167768734</v>
      </c>
      <c r="G17" s="395">
        <v>4279</v>
      </c>
      <c r="H17" s="398">
        <f>F17/(E17*2)</f>
        <v>116.61094578002991</v>
      </c>
      <c r="I17" s="356">
        <f>E17/$E$53</f>
        <v>5.2631578947368418E-2</v>
      </c>
    </row>
    <row r="18" spans="1:9" ht="13.5" thickBot="1">
      <c r="A18" s="402">
        <v>9</v>
      </c>
      <c r="B18" s="401" t="s">
        <v>542</v>
      </c>
      <c r="C18" s="400">
        <v>0</v>
      </c>
      <c r="D18" s="395"/>
      <c r="E18" s="395"/>
      <c r="F18" s="395"/>
      <c r="G18" s="395"/>
      <c r="H18" s="398"/>
      <c r="I18" s="356"/>
    </row>
    <row r="19" spans="1:9" ht="13.5" thickBot="1">
      <c r="A19" s="397"/>
      <c r="B19" s="395"/>
      <c r="C19" s="395"/>
      <c r="D19" s="395">
        <v>40</v>
      </c>
      <c r="E19" s="399">
        <v>14600</v>
      </c>
      <c r="F19" s="399">
        <v>3149966.2381591164</v>
      </c>
      <c r="G19" s="395">
        <v>3958</v>
      </c>
      <c r="H19" s="398">
        <f>F19/(E19*2)</f>
        <v>107.8755561013396</v>
      </c>
      <c r="I19" s="356">
        <f>E19/$E$53</f>
        <v>5.2631578947368418E-2</v>
      </c>
    </row>
    <row r="20" spans="1:9" ht="13.5" thickBot="1">
      <c r="A20" s="402">
        <v>10</v>
      </c>
      <c r="B20" s="401" t="s">
        <v>545</v>
      </c>
      <c r="C20" s="400">
        <v>0</v>
      </c>
      <c r="D20" s="395"/>
      <c r="E20" s="395"/>
      <c r="F20" s="395"/>
      <c r="G20" s="395"/>
      <c r="H20" s="398"/>
      <c r="I20" s="356"/>
    </row>
    <row r="21" spans="1:9" ht="13.5" thickBot="1">
      <c r="A21" s="397"/>
      <c r="B21" s="395"/>
      <c r="C21" s="395"/>
      <c r="D21" s="395">
        <v>40</v>
      </c>
      <c r="E21" s="399">
        <v>14600</v>
      </c>
      <c r="F21" s="399">
        <v>2604009.6186599671</v>
      </c>
      <c r="G21" s="395">
        <v>3272</v>
      </c>
      <c r="H21" s="398">
        <f>F21/(E21*2)</f>
        <v>89.178411597944077</v>
      </c>
      <c r="I21" s="356">
        <f>E21/$E$53</f>
        <v>5.2631578947368418E-2</v>
      </c>
    </row>
    <row r="22" spans="1:9" ht="13.5" thickBot="1">
      <c r="A22" s="402">
        <v>11</v>
      </c>
      <c r="B22" s="401" t="s">
        <v>543</v>
      </c>
      <c r="C22" s="400">
        <v>0</v>
      </c>
      <c r="D22" s="395"/>
      <c r="E22" s="395"/>
      <c r="F22" s="395"/>
      <c r="G22" s="395"/>
      <c r="H22" s="398"/>
      <c r="I22" s="356"/>
    </row>
    <row r="23" spans="1:9" ht="13.5" thickBot="1">
      <c r="A23" s="397"/>
      <c r="B23" s="395"/>
      <c r="C23" s="395"/>
      <c r="D23" s="395">
        <v>40</v>
      </c>
      <c r="E23" s="399">
        <v>14600</v>
      </c>
      <c r="F23" s="399">
        <v>2283790.1728692786</v>
      </c>
      <c r="G23" s="395">
        <v>2869</v>
      </c>
      <c r="H23" s="398">
        <f>F23/(E23*2)</f>
        <v>78.211992221550631</v>
      </c>
      <c r="I23" s="356">
        <f>E23/$E$53</f>
        <v>5.2631578947368418E-2</v>
      </c>
    </row>
    <row r="24" spans="1:9" ht="13.5" thickBot="1">
      <c r="A24" s="402">
        <v>12</v>
      </c>
      <c r="B24" s="401" t="s">
        <v>544</v>
      </c>
      <c r="C24" s="400">
        <v>0</v>
      </c>
      <c r="D24" s="395"/>
      <c r="E24" s="395"/>
      <c r="F24" s="395"/>
      <c r="G24" s="395"/>
      <c r="H24" s="398"/>
      <c r="I24" s="356"/>
    </row>
    <row r="25" spans="1:9" ht="13.5" thickBot="1">
      <c r="A25" s="397"/>
      <c r="B25" s="395"/>
      <c r="C25" s="395"/>
      <c r="D25" s="395">
        <v>40</v>
      </c>
      <c r="E25" s="399">
        <v>14600</v>
      </c>
      <c r="F25" s="399">
        <v>1786790.9046477019</v>
      </c>
      <c r="G25" s="395">
        <v>2245</v>
      </c>
      <c r="H25" s="398">
        <f>F25/(E25*2)</f>
        <v>61.191469337250062</v>
      </c>
      <c r="I25" s="356">
        <f>E25/$E$53</f>
        <v>5.2631578947368418E-2</v>
      </c>
    </row>
    <row r="26" spans="1:9" ht="13.5" thickBot="1">
      <c r="A26" s="402">
        <v>13</v>
      </c>
      <c r="B26" s="401" t="s">
        <v>541</v>
      </c>
      <c r="C26" s="400">
        <v>7</v>
      </c>
      <c r="D26" s="395"/>
      <c r="E26" s="395"/>
      <c r="F26" s="395"/>
      <c r="G26" s="395"/>
      <c r="H26" s="398"/>
      <c r="I26" s="356"/>
    </row>
    <row r="27" spans="1:9" ht="13.5" thickBot="1">
      <c r="A27" s="397"/>
      <c r="B27" s="395"/>
      <c r="C27" s="395"/>
      <c r="D27" s="395">
        <v>33</v>
      </c>
      <c r="E27" s="399">
        <v>12045</v>
      </c>
      <c r="F27" s="399">
        <v>1533728.4141015564</v>
      </c>
      <c r="G27" s="395">
        <v>1927</v>
      </c>
      <c r="H27" s="398">
        <f>F27/(E27*2)</f>
        <v>63.666600834435719</v>
      </c>
      <c r="I27" s="356">
        <f>E27/$E$53</f>
        <v>4.3421052631578951E-2</v>
      </c>
    </row>
    <row r="28" spans="1:9" ht="13.5" thickBot="1">
      <c r="A28" s="397">
        <v>14</v>
      </c>
      <c r="B28" s="396" t="s">
        <v>575</v>
      </c>
      <c r="C28" s="395">
        <v>0</v>
      </c>
      <c r="D28" s="395"/>
      <c r="E28" s="395"/>
      <c r="F28" s="395"/>
      <c r="G28" s="395"/>
      <c r="H28" s="398"/>
      <c r="I28" s="356"/>
    </row>
    <row r="29" spans="1:9" ht="13.5" thickBot="1">
      <c r="A29" s="397"/>
      <c r="B29" s="395"/>
      <c r="C29" s="395"/>
      <c r="D29" s="395">
        <v>33</v>
      </c>
      <c r="E29" s="395">
        <v>12045</v>
      </c>
      <c r="F29" s="395">
        <v>1455694.4748435894</v>
      </c>
      <c r="G29" s="395">
        <v>1829</v>
      </c>
      <c r="H29" s="398">
        <f>F29/(E29*2)</f>
        <v>60.427333949505581</v>
      </c>
      <c r="I29" s="356">
        <f>E29/$E$53</f>
        <v>4.3421052631578951E-2</v>
      </c>
    </row>
    <row r="30" spans="1:9" ht="13.5" thickBot="1">
      <c r="A30" s="397">
        <v>15</v>
      </c>
      <c r="B30" s="396" t="s">
        <v>574</v>
      </c>
      <c r="C30" s="395">
        <v>0</v>
      </c>
      <c r="D30" s="395"/>
      <c r="E30" s="395"/>
      <c r="F30" s="395"/>
      <c r="G30" s="395"/>
      <c r="H30" s="398"/>
      <c r="I30" s="356"/>
    </row>
    <row r="31" spans="1:9" ht="13.5" thickBot="1">
      <c r="A31" s="397"/>
      <c r="B31" s="395"/>
      <c r="C31" s="395"/>
      <c r="D31" s="395">
        <v>33</v>
      </c>
      <c r="E31" s="395">
        <v>12045</v>
      </c>
      <c r="F31" s="395">
        <v>1371121.8469849047</v>
      </c>
      <c r="G31" s="395">
        <v>1723</v>
      </c>
      <c r="H31" s="398">
        <f>F31/(E31*2)</f>
        <v>56.916639559356774</v>
      </c>
      <c r="I31" s="356">
        <f>E31/$E$53</f>
        <v>4.3421052631578951E-2</v>
      </c>
    </row>
    <row r="32" spans="1:9" ht="13.5" thickBot="1">
      <c r="A32" s="402">
        <v>16</v>
      </c>
      <c r="B32" s="401" t="s">
        <v>538</v>
      </c>
      <c r="C32" s="400">
        <v>0</v>
      </c>
      <c r="D32" s="395"/>
      <c r="E32" s="395"/>
      <c r="F32" s="395"/>
      <c r="G32" s="395"/>
      <c r="H32" s="398"/>
      <c r="I32" s="356"/>
    </row>
    <row r="33" spans="1:9" ht="13.5" thickBot="1">
      <c r="A33" s="397"/>
      <c r="B33" s="395"/>
      <c r="C33" s="395"/>
      <c r="D33" s="395">
        <v>33</v>
      </c>
      <c r="E33" s="399">
        <v>12045</v>
      </c>
      <c r="F33" s="399">
        <v>1250124.6083616626</v>
      </c>
      <c r="G33" s="395">
        <v>1571</v>
      </c>
      <c r="H33" s="398">
        <f>F33/(E33*2)</f>
        <v>51.893923136640204</v>
      </c>
      <c r="I33" s="356">
        <f>E33/$E$53</f>
        <v>4.3421052631578951E-2</v>
      </c>
    </row>
    <row r="34" spans="1:9" ht="13.5" thickBot="1">
      <c r="A34" s="397">
        <v>17</v>
      </c>
      <c r="B34" s="396" t="s">
        <v>573</v>
      </c>
      <c r="C34" s="395">
        <v>0</v>
      </c>
      <c r="D34" s="395"/>
      <c r="E34" s="395"/>
      <c r="F34" s="395"/>
      <c r="G34" s="395"/>
      <c r="H34" s="398"/>
      <c r="I34" s="356"/>
    </row>
    <row r="35" spans="1:9" ht="13.5" thickBot="1">
      <c r="A35" s="397"/>
      <c r="B35" s="395"/>
      <c r="C35" s="395"/>
      <c r="D35" s="395">
        <v>33</v>
      </c>
      <c r="E35" s="395">
        <v>12045</v>
      </c>
      <c r="F35" s="395">
        <v>1142531.4273415855</v>
      </c>
      <c r="G35" s="395">
        <v>1436</v>
      </c>
      <c r="H35" s="398">
        <f>F35/(E35*2)</f>
        <v>47.427622554652778</v>
      </c>
      <c r="I35" s="356">
        <f>E35/$E$53</f>
        <v>4.3421052631578951E-2</v>
      </c>
    </row>
    <row r="36" spans="1:9" ht="13.5" thickBot="1">
      <c r="A36" s="402">
        <v>18</v>
      </c>
      <c r="B36" s="401" t="s">
        <v>537</v>
      </c>
      <c r="C36" s="400">
        <v>0</v>
      </c>
      <c r="D36" s="395"/>
      <c r="E36" s="395"/>
      <c r="F36" s="395"/>
      <c r="G36" s="395"/>
      <c r="H36" s="398"/>
      <c r="I36" s="356"/>
    </row>
    <row r="37" spans="1:9" ht="13.5" thickBot="1">
      <c r="A37" s="397"/>
      <c r="B37" s="395"/>
      <c r="C37" s="395"/>
      <c r="D37" s="395">
        <v>33</v>
      </c>
      <c r="E37" s="399">
        <v>12045</v>
      </c>
      <c r="F37" s="399">
        <v>1046027.089942275</v>
      </c>
      <c r="G37" s="395">
        <v>1314</v>
      </c>
      <c r="H37" s="398">
        <f>F37/(E37*2)</f>
        <v>43.421630964810085</v>
      </c>
      <c r="I37" s="356">
        <f>E37/$E$53</f>
        <v>4.3421052631578951E-2</v>
      </c>
    </row>
    <row r="38" spans="1:9" ht="13.5" thickBot="1">
      <c r="A38" s="402">
        <v>19</v>
      </c>
      <c r="B38" s="401" t="s">
        <v>540</v>
      </c>
      <c r="C38" s="400">
        <v>17</v>
      </c>
      <c r="D38" s="395"/>
      <c r="E38" s="395"/>
      <c r="F38" s="395"/>
      <c r="G38" s="395"/>
      <c r="H38" s="398"/>
      <c r="I38" s="356"/>
    </row>
    <row r="39" spans="1:9" ht="13.5" thickBot="1">
      <c r="A39" s="397"/>
      <c r="B39" s="395"/>
      <c r="C39" s="395"/>
      <c r="D39" s="395">
        <v>16</v>
      </c>
      <c r="E39" s="399">
        <v>5840</v>
      </c>
      <c r="F39" s="399">
        <v>474593.46356110636</v>
      </c>
      <c r="G39" s="395">
        <v>596</v>
      </c>
      <c r="H39" s="398">
        <f>F39/(E39*2)</f>
        <v>40.633002017218011</v>
      </c>
      <c r="I39" s="356">
        <f>E39/$E$53</f>
        <v>2.1052631578947368E-2</v>
      </c>
    </row>
    <row r="40" spans="1:9" ht="13.5" thickBot="1">
      <c r="A40" s="397">
        <v>20</v>
      </c>
      <c r="B40" s="396" t="s">
        <v>572</v>
      </c>
      <c r="C40" s="395">
        <v>0</v>
      </c>
      <c r="D40" s="395"/>
      <c r="E40" s="395"/>
      <c r="F40" s="395"/>
      <c r="G40" s="395"/>
      <c r="H40" s="398"/>
      <c r="I40" s="356"/>
    </row>
    <row r="41" spans="1:9" ht="13.5" thickBot="1">
      <c r="A41" s="397"/>
      <c r="B41" s="395"/>
      <c r="C41" s="395"/>
      <c r="D41" s="395">
        <v>16</v>
      </c>
      <c r="E41" s="395">
        <v>5840</v>
      </c>
      <c r="F41" s="395">
        <v>452321.78584629187</v>
      </c>
      <c r="G41" s="395">
        <v>568</v>
      </c>
      <c r="H41" s="398">
        <f>F41/(E41*2)</f>
        <v>38.726180295059237</v>
      </c>
      <c r="I41" s="356">
        <f>E41/$E$53</f>
        <v>2.1052631578947368E-2</v>
      </c>
    </row>
    <row r="42" spans="1:9" ht="13.5" thickBot="1">
      <c r="A42" s="397">
        <v>21</v>
      </c>
      <c r="B42" s="396" t="s">
        <v>571</v>
      </c>
      <c r="C42" s="395">
        <v>3</v>
      </c>
      <c r="D42" s="395"/>
      <c r="E42" s="395"/>
      <c r="F42" s="395"/>
      <c r="G42" s="395"/>
      <c r="H42" s="398"/>
      <c r="I42" s="356"/>
    </row>
    <row r="43" spans="1:9" ht="13.5" thickBot="1">
      <c r="A43" s="397"/>
      <c r="B43" s="395"/>
      <c r="C43" s="395"/>
      <c r="D43" s="395">
        <v>13</v>
      </c>
      <c r="E43" s="395">
        <v>4745</v>
      </c>
      <c r="F43" s="395">
        <v>363226.43802462431</v>
      </c>
      <c r="G43" s="395">
        <v>456</v>
      </c>
      <c r="H43" s="398">
        <f>F43/(E43*2)</f>
        <v>38.274651003648508</v>
      </c>
      <c r="I43" s="356">
        <f>E43/$E$53</f>
        <v>1.7105263157894738E-2</v>
      </c>
    </row>
    <row r="44" spans="1:9" ht="13.5" thickBot="1">
      <c r="A44" s="397">
        <v>22</v>
      </c>
      <c r="B44" s="396" t="s">
        <v>570</v>
      </c>
      <c r="C44" s="395">
        <v>0</v>
      </c>
      <c r="D44" s="395"/>
      <c r="E44" s="395"/>
      <c r="F44" s="395"/>
      <c r="G44" s="395"/>
      <c r="H44" s="398"/>
      <c r="I44" s="356"/>
    </row>
    <row r="45" spans="1:9" ht="13.5" thickBot="1">
      <c r="A45" s="397"/>
      <c r="B45" s="395"/>
      <c r="C45" s="395"/>
      <c r="D45" s="395">
        <v>13</v>
      </c>
      <c r="E45" s="395">
        <v>4745</v>
      </c>
      <c r="F45" s="395">
        <v>306661.44703398662</v>
      </c>
      <c r="G45" s="395">
        <v>385</v>
      </c>
      <c r="H45" s="398">
        <f>F45/(E45*2)</f>
        <v>32.314167232243058</v>
      </c>
      <c r="I45" s="356">
        <f>E45/$E$53</f>
        <v>1.7105263157894738E-2</v>
      </c>
    </row>
    <row r="46" spans="1:9" ht="13.5" thickBot="1">
      <c r="A46" s="397">
        <v>23</v>
      </c>
      <c r="B46" s="396" t="s">
        <v>569</v>
      </c>
      <c r="C46" s="395">
        <v>0</v>
      </c>
      <c r="D46" s="395"/>
      <c r="E46" s="395"/>
      <c r="F46" s="395"/>
      <c r="G46" s="395"/>
      <c r="H46" s="398"/>
      <c r="I46" s="356"/>
    </row>
    <row r="47" spans="1:9" ht="13.5" thickBot="1">
      <c r="A47" s="397"/>
      <c r="B47" s="395"/>
      <c r="C47" s="395"/>
      <c r="D47" s="395">
        <v>13</v>
      </c>
      <c r="E47" s="395">
        <v>4745</v>
      </c>
      <c r="F47" s="395">
        <v>289407.33642256673</v>
      </c>
      <c r="G47" s="395">
        <v>364</v>
      </c>
      <c r="H47" s="398">
        <f>F47/(E47*2)</f>
        <v>30.496031235254662</v>
      </c>
      <c r="I47" s="356">
        <f>E47/$E$53</f>
        <v>1.7105263157894738E-2</v>
      </c>
    </row>
    <row r="48" spans="1:9" ht="13.5" thickBot="1">
      <c r="A48" s="397">
        <v>24</v>
      </c>
      <c r="B48" s="396" t="s">
        <v>568</v>
      </c>
      <c r="C48" s="395">
        <v>2</v>
      </c>
      <c r="D48" s="395"/>
      <c r="E48" s="395"/>
      <c r="F48" s="395"/>
      <c r="G48" s="395"/>
      <c r="H48" s="398"/>
      <c r="I48" s="356"/>
    </row>
    <row r="49" spans="1:9" ht="13.5" thickBot="1">
      <c r="A49" s="397"/>
      <c r="B49" s="395"/>
      <c r="C49" s="395"/>
      <c r="D49" s="395">
        <v>11</v>
      </c>
      <c r="E49" s="395">
        <v>4015</v>
      </c>
      <c r="F49" s="395">
        <v>35984.125681665362</v>
      </c>
      <c r="G49" s="395">
        <v>45</v>
      </c>
      <c r="H49" s="398">
        <f>F49/(E49*2)</f>
        <v>4.4812111683269444</v>
      </c>
      <c r="I49" s="356">
        <f>E49/$E$53</f>
        <v>1.4473684210526316E-2</v>
      </c>
    </row>
    <row r="50" spans="1:9" ht="13.5" thickBot="1">
      <c r="A50" s="397">
        <v>25</v>
      </c>
      <c r="B50" s="396" t="s">
        <v>567</v>
      </c>
      <c r="C50" s="395">
        <v>11</v>
      </c>
      <c r="D50" s="395"/>
      <c r="E50" s="395"/>
      <c r="F50" s="395"/>
      <c r="G50" s="395"/>
      <c r="I50" s="356"/>
    </row>
    <row r="51" spans="1:9" ht="13.5" thickBot="1">
      <c r="A51" s="397"/>
      <c r="B51" s="396" t="s">
        <v>2</v>
      </c>
      <c r="C51" s="395">
        <v>40</v>
      </c>
      <c r="D51" s="395"/>
      <c r="E51" s="395"/>
      <c r="F51" s="395"/>
      <c r="G51" s="395"/>
    </row>
    <row r="52" spans="1:9" ht="13.5">
      <c r="A52" s="394"/>
      <c r="E52" s="393">
        <f>E11+E13+E15+E19+E21+E23+E25+E27+E33+E37+E39</f>
        <v>144175</v>
      </c>
      <c r="F52" s="393">
        <f>F11+F13+F15+F19+F21+F23+F25+F27+F33+F37+F39</f>
        <v>25689320.183916863</v>
      </c>
      <c r="H52" s="354">
        <f>SUMPRODUCT(H3:H51,I3:I51)</f>
        <v>98.172176966233394</v>
      </c>
      <c r="I52" s="6" t="s">
        <v>566</v>
      </c>
    </row>
    <row r="53" spans="1:9">
      <c r="E53">
        <f>SUM(E3:E50)</f>
        <v>277400</v>
      </c>
      <c r="I53" s="356">
        <f>SUM(I3:I50)</f>
        <v>0.99999999999999967</v>
      </c>
    </row>
    <row r="54" spans="1:9">
      <c r="E54">
        <f>SUM(E2:E51)</f>
        <v>277400</v>
      </c>
      <c r="F54">
        <f>SUM(F2:F51)/E3/2</f>
        <v>1865.2713623584357</v>
      </c>
      <c r="H54" s="317">
        <v>267.79202428006994</v>
      </c>
    </row>
  </sheetData>
  <pageMargins left="0.7" right="0.7" top="0.75" bottom="0.75" header="0.3" footer="0.3"/>
  <pageSetup paperSize="9" orientation="portrait" horizontalDpi="1200" verticalDpi="120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A1:AO50"/>
  <sheetViews>
    <sheetView workbookViewId="0">
      <pane xSplit="2" ySplit="2" topLeftCell="Q3" activePane="bottomRight" state="frozen"/>
      <selection activeCell="AW18" sqref="AW18"/>
      <selection pane="topRight" activeCell="AW18" sqref="AW18"/>
      <selection pane="bottomLeft" activeCell="AW18" sqref="AW18"/>
      <selection pane="bottomRight" activeCell="R33" sqref="R33"/>
    </sheetView>
  </sheetViews>
  <sheetFormatPr defaultRowHeight="12.75"/>
  <cols>
    <col min="2" max="2" width="28.5703125" customWidth="1"/>
    <col min="3" max="6" width="14.85546875" customWidth="1"/>
    <col min="7" max="7" width="14.28515625" customWidth="1"/>
    <col min="8" max="8" width="13.42578125" customWidth="1"/>
    <col min="9" max="9" width="12.7109375" customWidth="1"/>
    <col min="10" max="11" width="13.42578125" customWidth="1"/>
    <col min="12" max="12" width="16.7109375" customWidth="1"/>
    <col min="13" max="15" width="17.140625" customWidth="1"/>
    <col min="16" max="16" width="15.85546875" customWidth="1"/>
    <col min="17" max="18" width="16.140625" customWidth="1"/>
    <col min="19" max="19" width="9.85546875" customWidth="1"/>
    <col min="20" max="20" width="14" customWidth="1"/>
    <col min="21" max="21" width="12.5703125" customWidth="1"/>
    <col min="22" max="22" width="14.85546875" customWidth="1"/>
  </cols>
  <sheetData>
    <row r="1" spans="1:41">
      <c r="W1" t="s">
        <v>621</v>
      </c>
    </row>
    <row r="2" spans="1:41" ht="94.5">
      <c r="B2" s="448" t="s">
        <v>585</v>
      </c>
      <c r="C2" s="447" t="s">
        <v>620</v>
      </c>
      <c r="D2" s="447" t="s">
        <v>619</v>
      </c>
      <c r="E2" s="446" t="s">
        <v>618</v>
      </c>
      <c r="F2" s="446" t="s">
        <v>617</v>
      </c>
      <c r="G2" s="445" t="s">
        <v>616</v>
      </c>
      <c r="H2" s="445" t="s">
        <v>615</v>
      </c>
      <c r="I2" s="445" t="s">
        <v>614</v>
      </c>
      <c r="J2" s="445" t="s">
        <v>613</v>
      </c>
      <c r="K2" s="445" t="s">
        <v>612</v>
      </c>
      <c r="L2" s="445" t="s">
        <v>611</v>
      </c>
      <c r="M2" s="445" t="s">
        <v>610</v>
      </c>
      <c r="N2" s="445" t="s">
        <v>609</v>
      </c>
      <c r="O2" s="445" t="s">
        <v>608</v>
      </c>
      <c r="P2" s="445" t="s">
        <v>608</v>
      </c>
      <c r="Q2" s="445" t="s">
        <v>607</v>
      </c>
      <c r="R2" s="445" t="s">
        <v>606</v>
      </c>
      <c r="S2" s="444" t="s">
        <v>605</v>
      </c>
      <c r="T2" s="443" t="s">
        <v>583</v>
      </c>
      <c r="U2" s="443" t="s">
        <v>604</v>
      </c>
      <c r="V2" s="442" t="s">
        <v>603</v>
      </c>
      <c r="W2" s="441">
        <v>2012</v>
      </c>
      <c r="X2" s="441">
        <v>2013</v>
      </c>
      <c r="Y2" s="441">
        <v>2014</v>
      </c>
      <c r="Z2" s="441">
        <v>2015</v>
      </c>
      <c r="AA2" s="441">
        <v>2016</v>
      </c>
      <c r="AB2" s="441">
        <v>2017</v>
      </c>
      <c r="AC2" s="441">
        <v>2018</v>
      </c>
      <c r="AD2" s="441">
        <v>2019</v>
      </c>
      <c r="AE2" s="441">
        <v>2020</v>
      </c>
      <c r="AF2" s="441">
        <v>2021</v>
      </c>
      <c r="AG2" s="441">
        <v>2022</v>
      </c>
      <c r="AH2" s="441">
        <v>2023</v>
      </c>
      <c r="AI2" s="441">
        <v>2024</v>
      </c>
      <c r="AJ2" s="441">
        <v>2025</v>
      </c>
      <c r="AK2" s="441">
        <v>2026</v>
      </c>
      <c r="AL2" s="441">
        <v>2027</v>
      </c>
      <c r="AM2" s="441">
        <v>2028</v>
      </c>
      <c r="AN2" s="441">
        <v>2029</v>
      </c>
      <c r="AO2" s="441">
        <v>2030</v>
      </c>
    </row>
    <row r="3" spans="1:41" ht="15">
      <c r="A3">
        <v>1</v>
      </c>
      <c r="B3" s="440" t="s">
        <v>602</v>
      </c>
      <c r="C3" s="439">
        <v>894041.23920188518</v>
      </c>
      <c r="D3" s="438">
        <v>887144.69719908491</v>
      </c>
      <c r="E3" s="437">
        <v>1781185.93640097</v>
      </c>
      <c r="F3" s="432">
        <v>4879.9614695916989</v>
      </c>
      <c r="G3" s="422">
        <v>4788000</v>
      </c>
      <c r="H3" s="422">
        <v>4607000</v>
      </c>
      <c r="I3" s="422">
        <v>3718000</v>
      </c>
      <c r="J3" s="422">
        <v>3557000</v>
      </c>
      <c r="K3" s="422"/>
      <c r="L3" s="315"/>
      <c r="N3" s="315"/>
      <c r="O3" s="315"/>
      <c r="S3" s="431">
        <v>0</v>
      </c>
      <c r="T3" s="1"/>
      <c r="U3" s="1"/>
    </row>
    <row r="4" spans="1:41" ht="15">
      <c r="B4" s="440"/>
      <c r="C4" s="439"/>
      <c r="D4" s="438"/>
      <c r="E4" s="437"/>
      <c r="F4" s="432"/>
      <c r="G4" s="422"/>
      <c r="H4" s="422"/>
      <c r="I4" s="422"/>
      <c r="J4" s="422"/>
      <c r="K4" s="422"/>
      <c r="L4" s="315">
        <f>(C5*$C$38+D5*$D$38)/2+L6</f>
        <v>890592.96820048499</v>
      </c>
      <c r="M4" s="355">
        <f>L4/365</f>
        <v>2439.9807347958495</v>
      </c>
      <c r="N4" s="315"/>
      <c r="O4" s="315"/>
      <c r="P4" s="315">
        <f>(C5+D5)/2-(C5*$C$38+D5*$D$38)/2</f>
        <v>42084.166267228487</v>
      </c>
      <c r="Q4" s="315">
        <f>SUM(L4,O4)</f>
        <v>890592.96820048499</v>
      </c>
      <c r="R4" s="315">
        <f>Q4/365</f>
        <v>2439.9807347958495</v>
      </c>
      <c r="S4" s="431"/>
      <c r="T4" s="419">
        <f>T6+S5</f>
        <v>24</v>
      </c>
      <c r="U4" s="1">
        <f>T4*365</f>
        <v>8760</v>
      </c>
      <c r="V4" s="355">
        <f>R4/T4/2</f>
        <v>50.832931974913528</v>
      </c>
      <c r="W4" s="315">
        <f>V4*1.04*1.007</f>
        <v>53.236312998687431</v>
      </c>
      <c r="X4" s="315">
        <f>W4*1.037*1.015</f>
        <v>56.034147428333441</v>
      </c>
      <c r="Y4" s="315">
        <f>X4*1.04*1.02</f>
        <v>59.441023591976119</v>
      </c>
      <c r="Z4" s="315">
        <f>Y4*1.04*1.023</f>
        <v>63.240493819975228</v>
      </c>
      <c r="AA4" s="315">
        <f t="shared" ref="AA4:AO4" si="0">Z4*1.019*1.021</f>
        <v>65.795346529808398</v>
      </c>
      <c r="AB4" s="315">
        <f t="shared" si="0"/>
        <v>68.453412734266124</v>
      </c>
      <c r="AC4" s="315">
        <f t="shared" si="0"/>
        <v>71.218862155317723</v>
      </c>
      <c r="AD4" s="315">
        <f t="shared" si="0"/>
        <v>74.096032967530391</v>
      </c>
      <c r="AE4" s="315">
        <f t="shared" si="0"/>
        <v>77.089438603385645</v>
      </c>
      <c r="AF4" s="315">
        <f t="shared" si="0"/>
        <v>80.203774833523809</v>
      </c>
      <c r="AG4" s="315">
        <f t="shared" si="0"/>
        <v>83.443927133023323</v>
      </c>
      <c r="AH4" s="315">
        <f t="shared" si="0"/>
        <v>86.814978345270319</v>
      </c>
      <c r="AI4" s="315">
        <f t="shared" si="0"/>
        <v>90.322216655440883</v>
      </c>
      <c r="AJ4" s="315">
        <f t="shared" si="0"/>
        <v>93.971143886104016</v>
      </c>
      <c r="AK4" s="315">
        <f t="shared" si="0"/>
        <v>97.767484127958724</v>
      </c>
      <c r="AL4" s="315">
        <f t="shared" si="0"/>
        <v>101.71719271924411</v>
      </c>
      <c r="AM4" s="315">
        <f t="shared" si="0"/>
        <v>105.82646558790883</v>
      </c>
      <c r="AN4" s="315">
        <f t="shared" si="0"/>
        <v>110.10174897119474</v>
      </c>
      <c r="AO4" s="315">
        <f t="shared" si="0"/>
        <v>114.54974952788201</v>
      </c>
    </row>
    <row r="5" spans="1:41" ht="15">
      <c r="B5" s="436" t="s">
        <v>601</v>
      </c>
      <c r="C5" s="435">
        <v>72970.423514553084</v>
      </c>
      <c r="D5" s="434">
        <v>70702.367346911153</v>
      </c>
      <c r="E5" s="433">
        <v>143672.79086146422</v>
      </c>
      <c r="F5" s="432">
        <v>537.17256978924615</v>
      </c>
      <c r="G5" s="422"/>
      <c r="H5" s="422"/>
      <c r="I5" s="422"/>
      <c r="J5" s="422"/>
      <c r="K5" s="422"/>
      <c r="S5" s="431">
        <v>0</v>
      </c>
      <c r="T5" s="1"/>
      <c r="U5" s="1"/>
    </row>
    <row r="6" spans="1:41" ht="15">
      <c r="B6" s="436"/>
      <c r="C6" s="435"/>
      <c r="D6" s="434"/>
      <c r="E6" s="433"/>
      <c r="F6" s="432"/>
      <c r="G6" s="422"/>
      <c r="H6" s="422"/>
      <c r="I6" s="422"/>
      <c r="J6" s="422"/>
      <c r="K6" s="422"/>
      <c r="L6" s="315">
        <f>(C7*$C$38+D7*$D$38)/2+L8</f>
        <v>860840.73903698137</v>
      </c>
      <c r="M6" s="355">
        <f>L6/365</f>
        <v>2358.4677781835107</v>
      </c>
      <c r="N6" s="315">
        <f>(C7*$C$38+D7*$D$38)/2</f>
        <v>20532.630250967719</v>
      </c>
      <c r="O6" s="315">
        <f>($C$39+$D$39)/2/11</f>
        <v>114528.52587486328</v>
      </c>
      <c r="P6" s="315">
        <f>(C7+D7)/2-(C7*$C$38+D7*$D$38)/2</f>
        <v>29041.501753976438</v>
      </c>
      <c r="Q6" s="315">
        <f>SUM(L6,O6)</f>
        <v>975369.26491184463</v>
      </c>
      <c r="R6" s="315">
        <f>Q6/365</f>
        <v>2672.244561402314</v>
      </c>
      <c r="S6" s="431"/>
      <c r="T6" s="419">
        <f>T8+S7</f>
        <v>24</v>
      </c>
      <c r="U6" s="1">
        <f>T6*365</f>
        <v>8760</v>
      </c>
      <c r="V6" s="355">
        <f>R6/T6/2</f>
        <v>55.671761695881543</v>
      </c>
      <c r="W6" s="315">
        <f>V6*1.04*1.007</f>
        <v>58.303922588862818</v>
      </c>
      <c r="X6" s="315">
        <f>W6*1.037*1.015</f>
        <v>61.368085240520493</v>
      </c>
      <c r="Y6" s="315">
        <f>X6*1.04*1.02</f>
        <v>65.099264823144139</v>
      </c>
      <c r="Z6" s="315">
        <f>Y6*1.04*1.023</f>
        <v>69.260409830639503</v>
      </c>
      <c r="AA6" s="315">
        <f t="shared" ref="AA6:AO6" si="1">Z6*1.019*1.021</f>
        <v>72.058461127387503</v>
      </c>
      <c r="AB6" s="315">
        <f t="shared" si="1"/>
        <v>74.969550898472818</v>
      </c>
      <c r="AC6" s="315">
        <f t="shared" si="1"/>
        <v>77.998245785220206</v>
      </c>
      <c r="AD6" s="315">
        <f t="shared" si="1"/>
        <v>81.149296916697296</v>
      </c>
      <c r="AE6" s="315">
        <f t="shared" si="1"/>
        <v>84.427647362834932</v>
      </c>
      <c r="AF6" s="315">
        <f t="shared" si="1"/>
        <v>87.838439888646079</v>
      </c>
      <c r="AG6" s="315">
        <f t="shared" si="1"/>
        <v>91.387025021707473</v>
      </c>
      <c r="AH6" s="315">
        <f t="shared" si="1"/>
        <v>95.078969445559409</v>
      </c>
      <c r="AI6" s="315">
        <f t="shared" si="1"/>
        <v>98.920064732190554</v>
      </c>
      <c r="AJ6" s="315">
        <f t="shared" si="1"/>
        <v>102.91633642730629</v>
      </c>
      <c r="AK6" s="315">
        <f t="shared" si="1"/>
        <v>107.07405350263302</v>
      </c>
      <c r="AL6" s="315">
        <f t="shared" si="1"/>
        <v>111.39973819008587</v>
      </c>
      <c r="AM6" s="315">
        <f t="shared" si="1"/>
        <v>115.90017621322713</v>
      </c>
      <c r="AN6" s="315">
        <f t="shared" si="1"/>
        <v>120.58242743206527</v>
      </c>
      <c r="AO6" s="315">
        <f t="shared" si="1"/>
        <v>125.45383691789326</v>
      </c>
    </row>
    <row r="7" spans="1:41" ht="15">
      <c r="A7">
        <v>2</v>
      </c>
      <c r="B7" s="413" t="s">
        <v>600</v>
      </c>
      <c r="C7" s="412">
        <v>50242.734506773566</v>
      </c>
      <c r="D7" s="411">
        <v>48905.529503114747</v>
      </c>
      <c r="E7" s="410">
        <v>99148.264009888313</v>
      </c>
      <c r="F7" s="409">
        <v>271.63907947914606</v>
      </c>
      <c r="G7" s="422"/>
      <c r="H7" s="422"/>
      <c r="I7" s="422"/>
      <c r="J7" s="422"/>
      <c r="K7" s="422"/>
      <c r="S7" s="419">
        <v>0</v>
      </c>
      <c r="T7" s="1"/>
      <c r="U7" s="1"/>
    </row>
    <row r="8" spans="1:41" ht="15">
      <c r="B8" s="413"/>
      <c r="C8" s="412"/>
      <c r="D8" s="411"/>
      <c r="E8" s="410"/>
      <c r="F8" s="409"/>
      <c r="G8" s="422"/>
      <c r="H8" s="422"/>
      <c r="I8" s="422"/>
      <c r="J8" s="422"/>
      <c r="K8" s="422"/>
      <c r="L8" s="315">
        <f>(C9*$C$38+D9*$D$38)/2+L10</f>
        <v>840308.10878601368</v>
      </c>
      <c r="M8" s="355">
        <f>L8/365</f>
        <v>2302.2139966740101</v>
      </c>
      <c r="N8" s="315">
        <f>(C9*$C$38+D9*$D$38)/2</f>
        <v>49605.643514256051</v>
      </c>
      <c r="O8" s="315">
        <f>($C$39+$D$39)/2/11</f>
        <v>114528.52587486328</v>
      </c>
      <c r="P8" s="315">
        <f>(C9+D9)/2-(C9*$C$38+D9*$D$38)/2</f>
        <v>70241.354938665696</v>
      </c>
      <c r="Q8" s="315">
        <f>SUM(L8,O8)</f>
        <v>954836.63466087694</v>
      </c>
      <c r="R8" s="315">
        <f>Q8/365</f>
        <v>2615.9907798928134</v>
      </c>
      <c r="S8" s="419"/>
      <c r="T8" s="419">
        <f>T10+S9</f>
        <v>24</v>
      </c>
      <c r="U8" s="1">
        <f>T8*365</f>
        <v>8760</v>
      </c>
      <c r="V8" s="355">
        <f>R8/T8/2</f>
        <v>54.49980791443361</v>
      </c>
      <c r="W8" s="315">
        <f>V8*1.04*1.007</f>
        <v>57.076558832628031</v>
      </c>
      <c r="X8" s="315">
        <f>W8*1.037*1.015</f>
        <v>60.076217382076784</v>
      </c>
      <c r="Y8" s="315">
        <f>X8*1.04*1.02</f>
        <v>63.728851398907061</v>
      </c>
      <c r="Z8" s="315">
        <f>Y8*1.04*1.023</f>
        <v>67.802399580325201</v>
      </c>
      <c r="AA8" s="315">
        <f t="shared" ref="AA8:AO8" si="2">Z8*1.019*1.021</f>
        <v>70.541548720970752</v>
      </c>
      <c r="AB8" s="315">
        <f t="shared" si="2"/>
        <v>73.391356747749242</v>
      </c>
      <c r="AC8" s="315">
        <f t="shared" si="2"/>
        <v>76.356294169001544</v>
      </c>
      <c r="AD8" s="315">
        <f t="shared" si="2"/>
        <v>79.441012097135015</v>
      </c>
      <c r="AE8" s="315">
        <f t="shared" si="2"/>
        <v>82.65034954484716</v>
      </c>
      <c r="AF8" s="315">
        <f t="shared" si="2"/>
        <v>85.989341016109421</v>
      </c>
      <c r="AG8" s="315">
        <f t="shared" si="2"/>
        <v>89.463224403819211</v>
      </c>
      <c r="AH8" s="315">
        <f t="shared" si="2"/>
        <v>93.077449206509087</v>
      </c>
      <c r="AI8" s="315">
        <f t="shared" si="2"/>
        <v>96.837685077002831</v>
      </c>
      <c r="AJ8" s="315">
        <f t="shared" si="2"/>
        <v>100.74983071642866</v>
      </c>
      <c r="AK8" s="315">
        <f t="shared" si="2"/>
        <v>104.82002312754163</v>
      </c>
      <c r="AL8" s="315">
        <f t="shared" si="2"/>
        <v>109.05464724187117</v>
      </c>
      <c r="AM8" s="315">
        <f t="shared" si="2"/>
        <v>113.4603459357955</v>
      </c>
      <c r="AN8" s="315">
        <f t="shared" si="2"/>
        <v>118.04403045125568</v>
      </c>
      <c r="AO8" s="315">
        <f t="shared" si="2"/>
        <v>122.81289123745593</v>
      </c>
    </row>
    <row r="9" spans="1:41" ht="15">
      <c r="A9">
        <v>3</v>
      </c>
      <c r="B9" s="413" t="s">
        <v>599</v>
      </c>
      <c r="C9" s="412">
        <v>126892.21949613484</v>
      </c>
      <c r="D9" s="411">
        <v>112801.77740970865</v>
      </c>
      <c r="E9" s="410">
        <v>239693.99690584349</v>
      </c>
      <c r="F9" s="409">
        <v>656.69588193381776</v>
      </c>
      <c r="G9" s="422"/>
      <c r="H9" s="422"/>
      <c r="I9" s="422"/>
      <c r="J9" s="422"/>
      <c r="K9" s="422"/>
      <c r="S9" s="419">
        <v>0</v>
      </c>
      <c r="T9" s="1"/>
      <c r="U9" s="1"/>
    </row>
    <row r="10" spans="1:41" ht="15">
      <c r="B10" s="413"/>
      <c r="C10" s="412"/>
      <c r="D10" s="411"/>
      <c r="E10" s="410"/>
      <c r="F10" s="409"/>
      <c r="G10" s="422"/>
      <c r="H10" s="422"/>
      <c r="I10" s="422"/>
      <c r="J10" s="422"/>
      <c r="K10" s="422"/>
      <c r="L10" s="315">
        <f>(C11*$C$38+D11*$D$38)/2+L12</f>
        <v>790702.46527175768</v>
      </c>
      <c r="M10" s="355">
        <f>L10/365</f>
        <v>2166.3081240322126</v>
      </c>
      <c r="N10" s="315">
        <f>(C11*$C$38+D11*$D$38)/2</f>
        <v>40900.512405858186</v>
      </c>
      <c r="O10" s="315">
        <f>($C$39+$D$39)/2/11</f>
        <v>114528.52587486328</v>
      </c>
      <c r="P10" s="315">
        <f>(C11+D11)/2-(C11*$C$38+D11*$D$38)/2</f>
        <v>57873.313880741174</v>
      </c>
      <c r="Q10" s="315">
        <f>SUM(L10,O10)</f>
        <v>905230.99114662095</v>
      </c>
      <c r="R10" s="315">
        <f>Q10/365</f>
        <v>2480.0849072510164</v>
      </c>
      <c r="S10" s="419"/>
      <c r="T10" s="419">
        <f>T12+S11</f>
        <v>24</v>
      </c>
      <c r="U10" s="1">
        <f>T10*365</f>
        <v>8760</v>
      </c>
      <c r="V10" s="355">
        <f>R10/T10/2</f>
        <v>51.66843556772951</v>
      </c>
      <c r="W10" s="315">
        <f>V10*1.04*1.007</f>
        <v>54.111319201371757</v>
      </c>
      <c r="X10" s="315">
        <f>W10*1.037*1.015</f>
        <v>56.955139581999845</v>
      </c>
      <c r="Y10" s="315">
        <f>X10*1.04*1.02</f>
        <v>60.41801206858544</v>
      </c>
      <c r="Z10" s="315">
        <f>Y10*1.04*1.023</f>
        <v>64.279931400009417</v>
      </c>
      <c r="AA10" s="315">
        <f t="shared" ref="AA10:AO10" si="3">Z10*1.019*1.021</f>
        <v>66.876776348638387</v>
      </c>
      <c r="AB10" s="315">
        <f t="shared" si="3"/>
        <v>69.578531236347018</v>
      </c>
      <c r="AC10" s="315">
        <f t="shared" si="3"/>
        <v>72.389434319764192</v>
      </c>
      <c r="AD10" s="315">
        <f t="shared" si="3"/>
        <v>75.313895076848326</v>
      </c>
      <c r="AE10" s="315">
        <f t="shared" si="3"/>
        <v>78.356501124057914</v>
      </c>
      <c r="AF10" s="315">
        <f t="shared" si="3"/>
        <v>81.522025412968716</v>
      </c>
      <c r="AG10" s="315">
        <f t="shared" si="3"/>
        <v>84.815433717627229</v>
      </c>
      <c r="AH10" s="315">
        <f t="shared" si="3"/>
        <v>88.24189242438564</v>
      </c>
      <c r="AI10" s="315">
        <f t="shared" si="3"/>
        <v>91.806776636438386</v>
      </c>
      <c r="AJ10" s="315">
        <f t="shared" si="3"/>
        <v>95.515678605773843</v>
      </c>
      <c r="AK10" s="315">
        <f t="shared" si="3"/>
        <v>99.37441650576848</v>
      </c>
      <c r="AL10" s="315">
        <f t="shared" si="3"/>
        <v>103.38904355818499</v>
      </c>
      <c r="AM10" s="315">
        <f t="shared" si="3"/>
        <v>107.5658575288921</v>
      </c>
      <c r="AN10" s="315">
        <f t="shared" si="3"/>
        <v>111.91141060720179</v>
      </c>
      <c r="AO10" s="315">
        <f t="shared" si="3"/>
        <v>116.4325196843221</v>
      </c>
    </row>
    <row r="11" spans="1:41" ht="15">
      <c r="A11">
        <v>4</v>
      </c>
      <c r="B11" s="413" t="s">
        <v>598</v>
      </c>
      <c r="C11" s="412">
        <v>101713.94990216683</v>
      </c>
      <c r="D11" s="411">
        <v>95833.702671031875</v>
      </c>
      <c r="E11" s="410">
        <v>197547.65257319872</v>
      </c>
      <c r="F11" s="409">
        <v>541.22644540602391</v>
      </c>
      <c r="G11" s="422"/>
      <c r="H11" s="422"/>
      <c r="I11" s="422"/>
      <c r="J11" s="422"/>
      <c r="K11" s="422"/>
      <c r="S11" s="425">
        <v>0</v>
      </c>
      <c r="T11" s="1"/>
      <c r="U11" s="1"/>
    </row>
    <row r="12" spans="1:41" ht="15">
      <c r="B12" s="413"/>
      <c r="C12" s="412"/>
      <c r="D12" s="411"/>
      <c r="E12" s="410"/>
      <c r="F12" s="409"/>
      <c r="G12" s="422"/>
      <c r="H12" s="422"/>
      <c r="I12" s="422"/>
      <c r="J12" s="422"/>
      <c r="K12" s="422"/>
      <c r="L12" s="315">
        <f>(C13*$C$38+D13*$D$38)/2+L14</f>
        <v>749801.95286589954</v>
      </c>
      <c r="M12" s="355">
        <f>L12/365</f>
        <v>2054.251925659999</v>
      </c>
      <c r="N12" s="315">
        <f>(C13*$C$38+D13*$D$38)/2</f>
        <v>23219.297636188974</v>
      </c>
      <c r="O12" s="315">
        <f>($C$39+$D$39)/2/11</f>
        <v>114528.52587486328</v>
      </c>
      <c r="P12" s="315">
        <f>(C13+D13)/2-(C13*$C$38+D13*$D$38)/2</f>
        <v>32823.411156971022</v>
      </c>
      <c r="Q12" s="315">
        <f>SUM(L12,O12)</f>
        <v>864330.4787407628</v>
      </c>
      <c r="R12" s="315">
        <f>Q12/365</f>
        <v>2368.0287088788023</v>
      </c>
      <c r="S12" s="425"/>
      <c r="T12" s="419">
        <f>T14+S13</f>
        <v>24</v>
      </c>
      <c r="U12" s="1">
        <f>T12*365</f>
        <v>8760</v>
      </c>
      <c r="V12" s="355">
        <f>R12/T12/2</f>
        <v>49.33393143497505</v>
      </c>
      <c r="W12" s="315">
        <f>V12*1.04*1.007</f>
        <v>51.666439713220662</v>
      </c>
      <c r="X12" s="315">
        <f>W12*1.037*1.015</f>
        <v>54.381769452348962</v>
      </c>
      <c r="Y12" s="315">
        <f>X12*1.04*1.02</f>
        <v>57.688181035051784</v>
      </c>
      <c r="Z12" s="315">
        <f>Y12*1.04*1.023</f>
        <v>61.375609566812287</v>
      </c>
      <c r="AA12" s="315">
        <f t="shared" ref="AA12:AO12" si="4">Z12*1.019*1.021</f>
        <v>63.855122817701925</v>
      </c>
      <c r="AB12" s="315">
        <f t="shared" si="4"/>
        <v>66.434805924414249</v>
      </c>
      <c r="AC12" s="315">
        <f t="shared" si="4"/>
        <v>69.118705648954645</v>
      </c>
      <c r="AD12" s="315">
        <f t="shared" si="4"/>
        <v>71.911032238466746</v>
      </c>
      <c r="AE12" s="315">
        <f t="shared" si="4"/>
        <v>74.81616602986854</v>
      </c>
      <c r="AF12" s="315">
        <f t="shared" si="4"/>
        <v>77.838664321309182</v>
      </c>
      <c r="AG12" s="315">
        <f t="shared" si="4"/>
        <v>80.983268521225739</v>
      </c>
      <c r="AH12" s="315">
        <f t="shared" si="4"/>
        <v>84.254911586214718</v>
      </c>
      <c r="AI12" s="315">
        <f t="shared" si="4"/>
        <v>87.658725759386186</v>
      </c>
      <c r="AJ12" s="315">
        <f t="shared" si="4"/>
        <v>91.200050621339614</v>
      </c>
      <c r="AK12" s="315">
        <f t="shared" si="4"/>
        <v>94.884441466391095</v>
      </c>
      <c r="AL12" s="315">
        <f t="shared" si="4"/>
        <v>98.717678017191815</v>
      </c>
      <c r="AM12" s="315">
        <f t="shared" si="4"/>
        <v>102.70577349140832</v>
      </c>
      <c r="AN12" s="315">
        <f t="shared" si="4"/>
        <v>106.85498403468772</v>
      </c>
      <c r="AO12" s="315">
        <f t="shared" si="4"/>
        <v>111.17181853470504</v>
      </c>
    </row>
    <row r="13" spans="1:41" ht="15">
      <c r="A13">
        <v>5</v>
      </c>
      <c r="B13" s="413" t="s">
        <v>597</v>
      </c>
      <c r="C13" s="412">
        <v>55548.877765972931</v>
      </c>
      <c r="D13" s="411">
        <v>56536.539820347069</v>
      </c>
      <c r="E13" s="410">
        <v>112085.41758631999</v>
      </c>
      <c r="F13" s="409">
        <v>307.0833358529315</v>
      </c>
      <c r="G13" s="422"/>
      <c r="H13" s="422"/>
      <c r="I13" s="422"/>
      <c r="J13" s="422"/>
      <c r="K13" s="422"/>
      <c r="S13" s="425">
        <v>0</v>
      </c>
      <c r="T13" s="1"/>
      <c r="U13" s="1"/>
    </row>
    <row r="14" spans="1:41" ht="15">
      <c r="B14" s="413"/>
      <c r="C14" s="412"/>
      <c r="D14" s="411"/>
      <c r="E14" s="410"/>
      <c r="F14" s="409"/>
      <c r="G14" s="422"/>
      <c r="H14" s="422"/>
      <c r="I14" s="422"/>
      <c r="J14" s="422"/>
      <c r="K14" s="422"/>
      <c r="L14" s="315">
        <f>(C15*$C$38+D15*$D$38)/2+L16</f>
        <v>726582.65522971051</v>
      </c>
      <c r="M14" s="355">
        <f>L14/365</f>
        <v>1990.6374115882479</v>
      </c>
      <c r="N14" s="315">
        <f>(C15*$C$38+D15*$D$38)/2</f>
        <v>42778.510648700889</v>
      </c>
      <c r="O14" s="315">
        <f>($C$39+$D$39)/2/11</f>
        <v>114528.52587486328</v>
      </c>
      <c r="P14" s="315">
        <f>(C15+D15)/2-(C15*$C$38+D15*$D$38)/2</f>
        <v>60575.445998074851</v>
      </c>
      <c r="Q14" s="315">
        <f>SUM(L14,O14)</f>
        <v>841111.18110457377</v>
      </c>
      <c r="R14" s="315">
        <f>Q14/365</f>
        <v>2304.4141948070514</v>
      </c>
      <c r="S14" s="425"/>
      <c r="T14" s="419">
        <f>T16+S15</f>
        <v>24</v>
      </c>
      <c r="U14" s="1">
        <f>T14*365</f>
        <v>8760</v>
      </c>
      <c r="V14" s="355">
        <f>R14/T14/2</f>
        <v>48.008629058480238</v>
      </c>
      <c r="W14" s="315">
        <f>V14*1.04*1.007</f>
        <v>50.278477040365182</v>
      </c>
      <c r="X14" s="315">
        <f>W14*1.037*1.015</f>
        <v>52.920862401221562</v>
      </c>
      <c r="Y14" s="315">
        <f>X14*1.04*1.02</f>
        <v>56.138450835215842</v>
      </c>
      <c r="Z14" s="315">
        <f>Y14*1.04*1.023</f>
        <v>59.726820612602836</v>
      </c>
      <c r="AA14" s="315">
        <f t="shared" ref="AA14:AO14" si="5">Z14*1.019*1.021</f>
        <v>62.139724438531367</v>
      </c>
      <c r="AB14" s="315">
        <f t="shared" si="5"/>
        <v>64.65010716612359</v>
      </c>
      <c r="AC14" s="315">
        <f t="shared" si="5"/>
        <v>67.261906845527804</v>
      </c>
      <c r="AD14" s="315">
        <f t="shared" si="5"/>
        <v>69.979220620180271</v>
      </c>
      <c r="AE14" s="315">
        <f t="shared" si="5"/>
        <v>72.806311154014921</v>
      </c>
      <c r="AF14" s="315">
        <f t="shared" si="5"/>
        <v>75.747613318325961</v>
      </c>
      <c r="AG14" s="315">
        <f t="shared" si="5"/>
        <v>78.80774114877299</v>
      </c>
      <c r="AH14" s="315">
        <f t="shared" si="5"/>
        <v>81.991495083442246</v>
      </c>
      <c r="AI14" s="315">
        <f t="shared" si="5"/>
        <v>85.303869493318203</v>
      </c>
      <c r="AJ14" s="315">
        <f t="shared" si="5"/>
        <v>88.750060516978749</v>
      </c>
      <c r="AK14" s="315">
        <f t="shared" si="5"/>
        <v>92.335474211804154</v>
      </c>
      <c r="AL14" s="315">
        <f t="shared" si="5"/>
        <v>96.065735034486806</v>
      </c>
      <c r="AM14" s="315">
        <f t="shared" si="5"/>
        <v>99.946694664145014</v>
      </c>
      <c r="AN14" s="315">
        <f t="shared" si="5"/>
        <v>103.98444118188178</v>
      </c>
      <c r="AO14" s="315">
        <f t="shared" si="5"/>
        <v>108.1853086211886</v>
      </c>
    </row>
    <row r="15" spans="1:41" ht="15">
      <c r="A15">
        <v>6</v>
      </c>
      <c r="B15" s="413" t="s">
        <v>596</v>
      </c>
      <c r="C15" s="412">
        <v>109517.69946759216</v>
      </c>
      <c r="D15" s="411">
        <v>97190.213825959334</v>
      </c>
      <c r="E15" s="410">
        <v>206707.91329355148</v>
      </c>
      <c r="F15" s="409">
        <v>566.32305011931908</v>
      </c>
      <c r="G15" s="422"/>
      <c r="H15" s="422"/>
      <c r="I15" s="422"/>
      <c r="J15" s="422"/>
      <c r="K15" s="422"/>
      <c r="S15" s="425">
        <v>0</v>
      </c>
      <c r="T15" s="1"/>
      <c r="U15" s="1"/>
    </row>
    <row r="16" spans="1:41" ht="15">
      <c r="B16" s="413"/>
      <c r="C16" s="412"/>
      <c r="D16" s="411"/>
      <c r="E16" s="410"/>
      <c r="F16" s="409"/>
      <c r="G16" s="422"/>
      <c r="H16" s="422"/>
      <c r="I16" s="422"/>
      <c r="J16" s="422"/>
      <c r="K16" s="422"/>
      <c r="L16" s="315">
        <f>(C17*$C$38+D17*$D$38)/2+L18</f>
        <v>683804.14458100963</v>
      </c>
      <c r="M16" s="355">
        <f>L16/365</f>
        <v>1873.4360125507114</v>
      </c>
      <c r="N16" s="315">
        <f>(C17*$C$38+D17*$D$38)/2</f>
        <v>193528.32052814722</v>
      </c>
      <c r="O16" s="315">
        <f>($C$39+$D$39)/2/11</f>
        <v>114528.52587486328</v>
      </c>
      <c r="P16" s="315">
        <f>(C17+D17)/2-(C17*$C$38+D17*$D$38)/2</f>
        <v>273761.32117406878</v>
      </c>
      <c r="Q16" s="315">
        <f>SUM(L16,O16)</f>
        <v>798332.6704558729</v>
      </c>
      <c r="R16" s="315">
        <f>Q16/365</f>
        <v>2187.2127957695147</v>
      </c>
      <c r="S16" s="425"/>
      <c r="T16" s="419">
        <f>T18+S17</f>
        <v>24</v>
      </c>
      <c r="U16" s="1">
        <f>T16*365</f>
        <v>8760</v>
      </c>
      <c r="V16" s="355">
        <f>R16/T16/2</f>
        <v>45.566933245198221</v>
      </c>
      <c r="W16" s="315">
        <f>V16*1.04*1.007</f>
        <v>47.721337849031187</v>
      </c>
      <c r="X16" s="315">
        <f>W16*1.037*1.015</f>
        <v>50.229332759687011</v>
      </c>
      <c r="Y16" s="315">
        <f>X16*1.04*1.02</f>
        <v>53.283276191475984</v>
      </c>
      <c r="Z16" s="315">
        <f>Y16*1.04*1.023</f>
        <v>56.689143205635126</v>
      </c>
      <c r="AA16" s="315">
        <f t="shared" ref="AA16:AO16" si="6">Z16*1.019*1.021</f>
        <v>58.979327901999575</v>
      </c>
      <c r="AB16" s="315">
        <f t="shared" si="6"/>
        <v>61.362033769912443</v>
      </c>
      <c r="AC16" s="315">
        <f t="shared" si="6"/>
        <v>63.840998572183125</v>
      </c>
      <c r="AD16" s="315">
        <f t="shared" si="6"/>
        <v>66.420111073500735</v>
      </c>
      <c r="AE16" s="315">
        <f t="shared" si="6"/>
        <v>69.103417140759078</v>
      </c>
      <c r="AF16" s="315">
        <f t="shared" si="6"/>
        <v>71.895126089828594</v>
      </c>
      <c r="AG16" s="315">
        <f t="shared" si="6"/>
        <v>74.799617288731554</v>
      </c>
      <c r="AH16" s="315">
        <f t="shared" si="6"/>
        <v>77.821447027578998</v>
      </c>
      <c r="AI16" s="315">
        <f t="shared" si="6"/>
        <v>80.96535566604615</v>
      </c>
      <c r="AJ16" s="315">
        <f t="shared" si="6"/>
        <v>84.236275069598733</v>
      </c>
      <c r="AK16" s="315">
        <f t="shared" si="6"/>
        <v>87.639336346135437</v>
      </c>
      <c r="AL16" s="315">
        <f t="shared" si="6"/>
        <v>91.179877895182941</v>
      </c>
      <c r="AM16" s="315">
        <f t="shared" si="6"/>
        <v>94.863453782270412</v>
      </c>
      <c r="AN16" s="315">
        <f t="shared" si="6"/>
        <v>98.695842451620337</v>
      </c>
      <c r="AO16" s="315">
        <f t="shared" si="6"/>
        <v>102.68305579082332</v>
      </c>
    </row>
    <row r="17" spans="1:41" ht="15">
      <c r="A17">
        <v>7</v>
      </c>
      <c r="B17" s="430" t="s">
        <v>534</v>
      </c>
      <c r="C17" s="429">
        <v>475897.64488496352</v>
      </c>
      <c r="D17" s="428">
        <v>458681.63851946854</v>
      </c>
      <c r="E17" s="427">
        <v>934579.283404432</v>
      </c>
      <c r="F17" s="426">
        <v>2560.4911874094028</v>
      </c>
      <c r="G17" s="422"/>
      <c r="H17" s="422"/>
      <c r="I17" s="422"/>
      <c r="J17" s="422"/>
      <c r="K17" s="422"/>
      <c r="S17" s="419">
        <v>0</v>
      </c>
      <c r="T17" s="1"/>
      <c r="U17" s="1"/>
    </row>
    <row r="18" spans="1:41" ht="15">
      <c r="B18" s="430"/>
      <c r="C18" s="429"/>
      <c r="D18" s="428"/>
      <c r="E18" s="427"/>
      <c r="F18" s="426"/>
      <c r="G18" s="422"/>
      <c r="H18" s="422"/>
      <c r="I18" s="422"/>
      <c r="J18" s="422"/>
      <c r="K18" s="422"/>
      <c r="L18" s="315">
        <f>(C19*$C$38+D19*$D$38)/2+L20</f>
        <v>490275.82405286236</v>
      </c>
      <c r="M18" s="355">
        <f>L18/365</f>
        <v>1343.2214357612668</v>
      </c>
      <c r="N18" s="315">
        <f>(C19*$C$38+D19*$D$38)/2</f>
        <v>18996.269964406893</v>
      </c>
      <c r="O18" s="315">
        <f>($C$39+$D$39)/2/11</f>
        <v>114528.52587486328</v>
      </c>
      <c r="P18" s="315">
        <f>(C19+D19)/2-(C19*$C$38+D19*$D$38)/2</f>
        <v>26786.743599313057</v>
      </c>
      <c r="Q18" s="315">
        <f>SUM(L18,O18)</f>
        <v>604804.34992772562</v>
      </c>
      <c r="R18" s="315">
        <f>Q18/365</f>
        <v>1656.9982189800701</v>
      </c>
      <c r="S18" s="419"/>
      <c r="T18" s="419">
        <f>T20+S19</f>
        <v>24</v>
      </c>
      <c r="U18" s="1">
        <f>T18*365</f>
        <v>8760</v>
      </c>
      <c r="V18" s="355">
        <f>R18/T18/2</f>
        <v>34.520796228751458</v>
      </c>
      <c r="W18" s="315">
        <f>V18*1.04*1.007</f>
        <v>36.152939474446825</v>
      </c>
      <c r="X18" s="315">
        <f>W18*1.037*1.015</f>
        <v>38.052957208526372</v>
      </c>
      <c r="Y18" s="315">
        <f>X18*1.04*1.02</f>
        <v>40.366577006804775</v>
      </c>
      <c r="Z18" s="315">
        <f>Y18*1.04*1.023</f>
        <v>42.946808609079739</v>
      </c>
      <c r="AA18" s="315">
        <f t="shared" ref="AA18:AO18" si="7">Z18*1.019*1.021</f>
        <v>44.681816730077948</v>
      </c>
      <c r="AB18" s="315">
        <f t="shared" si="7"/>
        <v>46.486917444156354</v>
      </c>
      <c r="AC18" s="315">
        <f t="shared" si="7"/>
        <v>48.364942421982818</v>
      </c>
      <c r="AD18" s="315">
        <f t="shared" si="7"/>
        <v>50.318837730888497</v>
      </c>
      <c r="AE18" s="315">
        <f t="shared" si="7"/>
        <v>52.351668456378654</v>
      </c>
      <c r="AF18" s="315">
        <f t="shared" si="7"/>
        <v>54.46662351034788</v>
      </c>
      <c r="AG18" s="315">
        <f t="shared" si="7"/>
        <v>56.667020633542414</v>
      </c>
      <c r="AH18" s="315">
        <f t="shared" si="7"/>
        <v>58.956311600116884</v>
      </c>
      <c r="AI18" s="315">
        <f t="shared" si="7"/>
        <v>61.338087632449991</v>
      </c>
      <c r="AJ18" s="315">
        <f t="shared" si="7"/>
        <v>63.816085034713332</v>
      </c>
      <c r="AK18" s="315">
        <f t="shared" si="7"/>
        <v>66.394191054030699</v>
      </c>
      <c r="AL18" s="315">
        <f t="shared" si="7"/>
        <v>69.076449978422474</v>
      </c>
      <c r="AM18" s="315">
        <f t="shared" si="7"/>
        <v>71.867069481100756</v>
      </c>
      <c r="AN18" s="315">
        <f t="shared" si="7"/>
        <v>74.770427221067735</v>
      </c>
      <c r="AO18" s="315">
        <f t="shared" si="7"/>
        <v>77.791077710371638</v>
      </c>
    </row>
    <row r="19" spans="1:41" ht="15">
      <c r="A19">
        <v>8</v>
      </c>
      <c r="B19" s="413" t="s">
        <v>595</v>
      </c>
      <c r="C19" s="412">
        <v>40768.494799999375</v>
      </c>
      <c r="D19" s="411">
        <v>50797.532327440524</v>
      </c>
      <c r="E19" s="410">
        <v>91566.027127439898</v>
      </c>
      <c r="F19" s="409">
        <v>250.86582774641067</v>
      </c>
      <c r="G19" s="422"/>
      <c r="H19" s="422"/>
      <c r="I19" s="422"/>
      <c r="J19" s="422"/>
      <c r="K19" s="422"/>
      <c r="S19" s="425">
        <v>0</v>
      </c>
      <c r="T19" s="1"/>
      <c r="U19" s="1"/>
    </row>
    <row r="20" spans="1:41" ht="15">
      <c r="B20" s="413"/>
      <c r="C20" s="412"/>
      <c r="D20" s="411"/>
      <c r="E20" s="410"/>
      <c r="F20" s="409"/>
      <c r="G20" s="422"/>
      <c r="H20" s="422"/>
      <c r="I20" s="422"/>
      <c r="J20" s="422"/>
      <c r="K20" s="422"/>
      <c r="L20" s="315">
        <f>(C21*$C$38+D21*$D$38)/2+L22</f>
        <v>471279.55408845545</v>
      </c>
      <c r="M20" s="355">
        <f>L20/365</f>
        <v>1291.1768605163163</v>
      </c>
      <c r="N20" s="315">
        <f>(C21*$C$38+D21*$D$38)/2</f>
        <v>9552.9116044900511</v>
      </c>
      <c r="O20" s="315">
        <f>($C$39+$D$39)/2/11</f>
        <v>114528.52587486328</v>
      </c>
      <c r="P20" s="315">
        <f>(C21+D21)/2-(C21*$C$38+D21*$D$38)/2</f>
        <v>13485.931594946313</v>
      </c>
      <c r="Q20" s="315">
        <f>SUM(L20,O20)</f>
        <v>585808.07996331877</v>
      </c>
      <c r="R20" s="315">
        <f>Q20/365</f>
        <v>1604.9536437351198</v>
      </c>
      <c r="S20" s="425"/>
      <c r="T20" s="419">
        <f>T22+S21</f>
        <v>24</v>
      </c>
      <c r="U20" s="1">
        <f>T20*365</f>
        <v>8760</v>
      </c>
      <c r="V20" s="355">
        <f>R20/T20/2</f>
        <v>33.436534244481663</v>
      </c>
      <c r="W20" s="315">
        <f>V20*1.04*1.007</f>
        <v>35.017413583560753</v>
      </c>
      <c r="X20" s="315">
        <f>W20*1.037*1.015</f>
        <v>36.857753754444786</v>
      </c>
      <c r="Y20" s="315">
        <f>X20*1.04*1.02</f>
        <v>39.09870518271503</v>
      </c>
      <c r="Z20" s="315">
        <f>Y20*1.04*1.023</f>
        <v>41.597894417994176</v>
      </c>
      <c r="AA20" s="315">
        <f t="shared" ref="AA20:AO20" si="8">Z20*1.019*1.021</f>
        <v>43.278407754586716</v>
      </c>
      <c r="AB20" s="315">
        <f t="shared" si="8"/>
        <v>45.026812149464256</v>
      </c>
      <c r="AC20" s="315">
        <f t="shared" si="8"/>
        <v>46.845850333490453</v>
      </c>
      <c r="AD20" s="315">
        <f t="shared" si="8"/>
        <v>48.738375841113125</v>
      </c>
      <c r="AE20" s="315">
        <f t="shared" si="8"/>
        <v>50.707357486718244</v>
      </c>
      <c r="AF20" s="315">
        <f t="shared" si="8"/>
        <v>52.755884021824166</v>
      </c>
      <c r="AG20" s="315">
        <f t="shared" si="8"/>
        <v>54.887168980421826</v>
      </c>
      <c r="AH20" s="315">
        <f t="shared" si="8"/>
        <v>57.104555720061875</v>
      </c>
      <c r="AI20" s="315">
        <f t="shared" si="8"/>
        <v>59.411522666596646</v>
      </c>
      <c r="AJ20" s="315">
        <f t="shared" si="8"/>
        <v>61.811688770804473</v>
      </c>
      <c r="AK20" s="315">
        <f t="shared" si="8"/>
        <v>64.308819185456187</v>
      </c>
      <c r="AL20" s="315">
        <f t="shared" si="8"/>
        <v>66.906831171729422</v>
      </c>
      <c r="AM20" s="315">
        <f t="shared" si="8"/>
        <v>69.609800244236112</v>
      </c>
      <c r="AN20" s="315">
        <f t="shared" si="8"/>
        <v>72.421966564302991</v>
      </c>
      <c r="AO20" s="315">
        <f t="shared" si="8"/>
        <v>75.347741591534245</v>
      </c>
    </row>
    <row r="21" spans="1:41" ht="15">
      <c r="A21">
        <v>9</v>
      </c>
      <c r="B21" s="413" t="s">
        <v>594</v>
      </c>
      <c r="C21" s="412">
        <v>21573.099872857452</v>
      </c>
      <c r="D21" s="411">
        <v>24504.586526015275</v>
      </c>
      <c r="E21" s="410">
        <v>46077.686398872727</v>
      </c>
      <c r="F21" s="409">
        <v>126.24023670924035</v>
      </c>
      <c r="G21" s="422"/>
      <c r="H21" s="422"/>
      <c r="I21" s="422"/>
      <c r="J21" s="422"/>
      <c r="K21" s="422"/>
      <c r="S21" s="425">
        <v>0</v>
      </c>
      <c r="T21" s="1"/>
      <c r="U21" s="1"/>
    </row>
    <row r="22" spans="1:41" ht="15">
      <c r="B22" s="413"/>
      <c r="C22" s="412"/>
      <c r="D22" s="411"/>
      <c r="E22" s="410"/>
      <c r="F22" s="409"/>
      <c r="G22" s="422"/>
      <c r="H22" s="422"/>
      <c r="I22" s="422"/>
      <c r="J22" s="422"/>
      <c r="K22" s="422"/>
      <c r="L22" s="315">
        <f>(C23*$C$38+D23*$D$38)/2+L24</f>
        <v>461726.64248396538</v>
      </c>
      <c r="M22" s="355">
        <f>L22/365</f>
        <v>1265.0044999560696</v>
      </c>
      <c r="N22" s="315">
        <f>(C23*$C$38+D23*$D$38)/2</f>
        <v>48473.043000002377</v>
      </c>
      <c r="O22" s="315">
        <f>($C$39+$D$39)/2/11</f>
        <v>114528.52587486328</v>
      </c>
      <c r="P22" s="315">
        <f>(C23+D23)/2-(C23*$C$38+D23*$D$38)/2</f>
        <v>68461.266894417829</v>
      </c>
      <c r="Q22" s="315">
        <f>SUM(L22,O22)</f>
        <v>576255.16835882864</v>
      </c>
      <c r="R22" s="315">
        <f>Q22/365</f>
        <v>1578.7812831748729</v>
      </c>
      <c r="S22" s="425"/>
      <c r="T22" s="419">
        <f>T24+S23</f>
        <v>24</v>
      </c>
      <c r="U22" s="1">
        <f>T22*365</f>
        <v>8760</v>
      </c>
      <c r="V22" s="355">
        <f>R22/T22/2</f>
        <v>32.89127673280985</v>
      </c>
      <c r="W22" s="315">
        <f>V22*1.04*1.007</f>
        <v>34.4463762967371</v>
      </c>
      <c r="X22" s="315">
        <f>W22*1.037*1.015</f>
        <v>36.256705603012108</v>
      </c>
      <c r="Y22" s="315">
        <f>X22*1.04*1.02</f>
        <v>38.461113303675248</v>
      </c>
      <c r="Z22" s="315">
        <f>Y22*1.04*1.023</f>
        <v>40.919547666046164</v>
      </c>
      <c r="AA22" s="315">
        <f t="shared" ref="AA22:AO22" si="9">Z22*1.019*1.021</f>
        <v>42.572656472206752</v>
      </c>
      <c r="AB22" s="315">
        <f t="shared" si="9"/>
        <v>44.292549221027421</v>
      </c>
      <c r="AC22" s="315">
        <f t="shared" si="9"/>
        <v>46.0819239170077</v>
      </c>
      <c r="AD22" s="315">
        <f t="shared" si="9"/>
        <v>47.943587561330887</v>
      </c>
      <c r="AE22" s="315">
        <f t="shared" si="9"/>
        <v>49.880460555221084</v>
      </c>
      <c r="AF22" s="315">
        <f t="shared" si="9"/>
        <v>51.895581281191454</v>
      </c>
      <c r="AG22" s="315">
        <f t="shared" si="9"/>
        <v>53.9921108693703</v>
      </c>
      <c r="AH22" s="315">
        <f t="shared" si="9"/>
        <v>56.17333815638198</v>
      </c>
      <c r="AI22" s="315">
        <f t="shared" si="9"/>
        <v>58.442684844561647</v>
      </c>
      <c r="AJ22" s="315">
        <f t="shared" si="9"/>
        <v>60.803710869597083</v>
      </c>
      <c r="AK22" s="315">
        <f t="shared" si="9"/>
        <v>63.26011998501793</v>
      </c>
      <c r="AL22" s="315">
        <f t="shared" si="9"/>
        <v>65.815765572292662</v>
      </c>
      <c r="AM22" s="315">
        <f t="shared" si="9"/>
        <v>68.474656685647702</v>
      </c>
      <c r="AN22" s="315">
        <f t="shared" si="9"/>
        <v>71.240964341091171</v>
      </c>
      <c r="AO22" s="315">
        <f t="shared" si="9"/>
        <v>74.119028059506903</v>
      </c>
    </row>
    <row r="23" spans="1:41" ht="15">
      <c r="A23">
        <v>10</v>
      </c>
      <c r="B23" s="413" t="s">
        <v>593</v>
      </c>
      <c r="C23" s="412">
        <v>111663.73059808412</v>
      </c>
      <c r="D23" s="411">
        <v>122204.88919075631</v>
      </c>
      <c r="E23" s="410">
        <v>233868.61978884041</v>
      </c>
      <c r="F23" s="409">
        <v>640.73594462696008</v>
      </c>
      <c r="G23" s="422"/>
      <c r="H23" s="422"/>
      <c r="I23" s="422"/>
      <c r="J23" s="422"/>
      <c r="K23" s="422"/>
      <c r="S23" s="425">
        <v>0</v>
      </c>
      <c r="T23" s="1"/>
      <c r="U23" s="1"/>
    </row>
    <row r="24" spans="1:41" ht="15">
      <c r="B24" s="413"/>
      <c r="C24" s="412"/>
      <c r="D24" s="411"/>
      <c r="E24" s="410"/>
      <c r="F24" s="409"/>
      <c r="G24" s="422"/>
      <c r="H24" s="422"/>
      <c r="I24" s="422"/>
      <c r="J24" s="422"/>
      <c r="K24" s="422"/>
      <c r="L24" s="315">
        <f>(C25*$C$38+D25*$D$38)/2+L26</f>
        <v>413253.59948396299</v>
      </c>
      <c r="M24" s="355">
        <f>L24/365</f>
        <v>1132.2016424218164</v>
      </c>
      <c r="N24" s="315">
        <f>(C25*$C$38+D25*$D$38)/2</f>
        <v>103963.05660704285</v>
      </c>
      <c r="O24" s="315">
        <f>($C$39+$D$39)/2/11</f>
        <v>114528.52587486328</v>
      </c>
      <c r="P24" s="315">
        <f>(C25+D25)/2-(C25*$C$38+D25*$D$38)/2</f>
        <v>147124.10983035422</v>
      </c>
      <c r="Q24" s="315">
        <f>SUM(L24,O24)</f>
        <v>527782.12535882625</v>
      </c>
      <c r="R24" s="315">
        <f>Q24/365</f>
        <v>1445.9784256406199</v>
      </c>
      <c r="S24" s="425"/>
      <c r="T24" s="419">
        <f>T26+S25</f>
        <v>24</v>
      </c>
      <c r="U24" s="1">
        <f>T24*365</f>
        <v>8760</v>
      </c>
      <c r="V24" s="355">
        <f>R24/T24/2</f>
        <v>30.12455053417958</v>
      </c>
      <c r="W24" s="315">
        <f>V24*1.04*1.007</f>
        <v>31.548839283435587</v>
      </c>
      <c r="X24" s="315">
        <f>W24*1.037*1.015</f>
        <v>33.206888531976539</v>
      </c>
      <c r="Y24" s="315">
        <f>X24*1.04*1.02</f>
        <v>35.225867354720712</v>
      </c>
      <c r="Z24" s="315">
        <f>Y24*1.04*1.023</f>
        <v>37.477504796034459</v>
      </c>
      <c r="AA24" s="315">
        <f t="shared" ref="AA24:AO24" si="10">Z24*1.019*1.021</f>
        <v>38.991558512289451</v>
      </c>
      <c r="AB24" s="315">
        <f t="shared" si="10"/>
        <v>40.566778484627427</v>
      </c>
      <c r="AC24" s="315">
        <f t="shared" si="10"/>
        <v>42.205635768627879</v>
      </c>
      <c r="AD24" s="315">
        <f t="shared" si="10"/>
        <v>43.910701248044674</v>
      </c>
      <c r="AE24" s="315">
        <f t="shared" si="10"/>
        <v>45.684649667764425</v>
      </c>
      <c r="AF24" s="315">
        <f t="shared" si="10"/>
        <v>47.53026382969243</v>
      </c>
      <c r="AG24" s="315">
        <f t="shared" si="10"/>
        <v>49.450438958148162</v>
      </c>
      <c r="AH24" s="315">
        <f t="shared" si="10"/>
        <v>51.448187241618385</v>
      </c>
      <c r="AI24" s="315">
        <f t="shared" si="10"/>
        <v>53.526642557992517</v>
      </c>
      <c r="AJ24" s="315">
        <f t="shared" si="10"/>
        <v>55.689065390692846</v>
      </c>
      <c r="AK24" s="315">
        <f t="shared" si="10"/>
        <v>57.938847943411432</v>
      </c>
      <c r="AL24" s="315">
        <f t="shared" si="10"/>
        <v>60.2795194614773</v>
      </c>
      <c r="AM24" s="315">
        <f t="shared" si="10"/>
        <v>62.714751768201509</v>
      </c>
      <c r="AN24" s="315">
        <f t="shared" si="10"/>
        <v>65.248365024885075</v>
      </c>
      <c r="AO24" s="315">
        <f t="shared" si="10"/>
        <v>67.884333723525387</v>
      </c>
    </row>
    <row r="25" spans="1:41" ht="15">
      <c r="A25">
        <v>11</v>
      </c>
      <c r="B25" s="430" t="s">
        <v>536</v>
      </c>
      <c r="C25" s="429">
        <v>259849.61883029362</v>
      </c>
      <c r="D25" s="428">
        <v>242324.71404450055</v>
      </c>
      <c r="E25" s="427">
        <v>502174.33287479414</v>
      </c>
      <c r="F25" s="426">
        <v>1375.8200900679292</v>
      </c>
      <c r="G25" s="422"/>
      <c r="H25" s="422"/>
      <c r="I25" s="422"/>
      <c r="J25" s="422"/>
      <c r="K25" s="422"/>
      <c r="S25" s="425">
        <v>0</v>
      </c>
      <c r="T25" s="1"/>
      <c r="U25" s="1"/>
    </row>
    <row r="26" spans="1:41" ht="15">
      <c r="B26" s="430"/>
      <c r="C26" s="429"/>
      <c r="D26" s="428"/>
      <c r="E26" s="427"/>
      <c r="F26" s="426"/>
      <c r="G26" s="422"/>
      <c r="H26" s="422"/>
      <c r="I26" s="422"/>
      <c r="J26" s="422"/>
      <c r="K26" s="422"/>
      <c r="L26" s="315">
        <f>(C27*$C$38+D27*$D$38)/2+L28</f>
        <v>309290.54287692014</v>
      </c>
      <c r="M26" s="355">
        <f>L26/365</f>
        <v>847.37135034772643</v>
      </c>
      <c r="N26" s="315">
        <f>(C27*$C$38+D27*$D$38)/2</f>
        <v>306326.98396329896</v>
      </c>
      <c r="O26" s="315">
        <f>($C$39+$D$39)/2/11</f>
        <v>114528.52587486328</v>
      </c>
      <c r="P26" s="315">
        <f>(C27+D27)/2-(C27*$C$38+D27*$D$38)/2</f>
        <v>433383.62938476307</v>
      </c>
      <c r="Q26" s="315">
        <f>SUM(L26,O26)</f>
        <v>423819.0687517834</v>
      </c>
      <c r="R26" s="315">
        <f>Q26/365</f>
        <v>1161.1481335665299</v>
      </c>
      <c r="S26" s="425"/>
      <c r="T26" s="419">
        <f>T28+S27</f>
        <v>24</v>
      </c>
      <c r="U26" s="1">
        <f>T26*365</f>
        <v>8760</v>
      </c>
      <c r="V26" s="355">
        <f>R26/T26/2</f>
        <v>24.190586115969371</v>
      </c>
      <c r="W26" s="315">
        <f>V26*1.04*1.007</f>
        <v>25.3343170275324</v>
      </c>
      <c r="X26" s="315">
        <f>W26*1.037*1.015</f>
        <v>26.66576205891436</v>
      </c>
      <c r="Y26" s="315">
        <f>X26*1.04*1.02</f>
        <v>28.287040392096355</v>
      </c>
      <c r="Z26" s="315">
        <f>Y26*1.04*1.023</f>
        <v>30.095148013959154</v>
      </c>
      <c r="AA26" s="315">
        <f t="shared" ref="AA26:AO26" si="11">Z26*1.019*1.021</f>
        <v>31.310961898575083</v>
      </c>
      <c r="AB26" s="315">
        <f t="shared" si="11"/>
        <v>32.575893448315611</v>
      </c>
      <c r="AC26" s="315">
        <f t="shared" si="11"/>
        <v>33.891926967734108</v>
      </c>
      <c r="AD26" s="315">
        <f t="shared" si="11"/>
        <v>35.261126925303593</v>
      </c>
      <c r="AE26" s="315">
        <f t="shared" si="11"/>
        <v>36.685641191958929</v>
      </c>
      <c r="AF26" s="315">
        <f t="shared" si="11"/>
        <v>38.167704410472872</v>
      </c>
      <c r="AG26" s="315">
        <f t="shared" si="11"/>
        <v>39.709641500951562</v>
      </c>
      <c r="AH26" s="315">
        <f t="shared" si="11"/>
        <v>41.313871307948496</v>
      </c>
      <c r="AI26" s="315">
        <f t="shared" si="11"/>
        <v>42.982910394918299</v>
      </c>
      <c r="AJ26" s="315">
        <f t="shared" si="11"/>
        <v>44.719376991962598</v>
      </c>
      <c r="AK26" s="315">
        <f t="shared" si="11"/>
        <v>46.525995103060886</v>
      </c>
      <c r="AL26" s="315">
        <f t="shared" si="11"/>
        <v>48.405598779229436</v>
      </c>
      <c r="AM26" s="315">
        <f t="shared" si="11"/>
        <v>50.361136564311522</v>
      </c>
      <c r="AN26" s="315">
        <f t="shared" si="11"/>
        <v>52.395676120373132</v>
      </c>
      <c r="AO26" s="315">
        <f t="shared" si="11"/>
        <v>54.512409039960076</v>
      </c>
    </row>
    <row r="27" spans="1:41" ht="15">
      <c r="A27">
        <v>12</v>
      </c>
      <c r="B27" s="430" t="s">
        <v>157</v>
      </c>
      <c r="C27" s="429">
        <v>757441.28106184967</v>
      </c>
      <c r="D27" s="428">
        <v>721979.94563427439</v>
      </c>
      <c r="E27" s="427">
        <v>1479421.2266961241</v>
      </c>
      <c r="F27" s="426">
        <v>4053.2088402633535</v>
      </c>
      <c r="G27" s="422"/>
      <c r="H27" s="422"/>
      <c r="I27" s="422"/>
      <c r="J27" s="422"/>
      <c r="K27" s="422"/>
      <c r="S27" s="425">
        <v>22</v>
      </c>
      <c r="T27" s="1"/>
      <c r="U27" s="1"/>
    </row>
    <row r="28" spans="1:41" ht="15">
      <c r="B28" s="430"/>
      <c r="C28" s="429"/>
      <c r="D28" s="428"/>
      <c r="E28" s="427"/>
      <c r="F28" s="426"/>
      <c r="G28" s="422"/>
      <c r="H28" s="422"/>
      <c r="I28" s="422"/>
      <c r="J28" s="422"/>
      <c r="K28" s="422"/>
      <c r="L28" s="315">
        <f>(C29*$C$38+D29*$D$38)/2+L30</f>
        <v>2963.5589136211656</v>
      </c>
      <c r="M28" s="355">
        <f>L28/365</f>
        <v>8.1193394893730559</v>
      </c>
      <c r="N28" s="315">
        <f>(C29*$C$38+D29*$D$38)/2</f>
        <v>479.07393261151401</v>
      </c>
      <c r="O28" s="315">
        <v>678.78708689397627</v>
      </c>
      <c r="P28" s="315">
        <f>(C29+D29)/2-(C29*$C$38+D29*$D$38)/2</f>
        <v>678.78708689397627</v>
      </c>
      <c r="Q28" s="315">
        <f>SUM(L28,O28)</f>
        <v>3642.3460005151419</v>
      </c>
      <c r="R28" s="315">
        <f>Q28/208</f>
        <v>17.511278848630489</v>
      </c>
      <c r="S28" s="425"/>
      <c r="T28" s="419">
        <f>T30+S29</f>
        <v>2</v>
      </c>
      <c r="U28" s="1">
        <f>T28*365</f>
        <v>730</v>
      </c>
      <c r="V28" s="355">
        <f>R28/T28/2</f>
        <v>4.3778197121576223</v>
      </c>
      <c r="W28" s="315">
        <f>V28*1.04*1.007</f>
        <v>4.5848030281484347</v>
      </c>
      <c r="X28" s="315">
        <f>W28*1.037*1.015</f>
        <v>4.8257573512927747</v>
      </c>
      <c r="Y28" s="315">
        <f>X28*1.04*1.02</f>
        <v>5.1191633982513753</v>
      </c>
      <c r="Z28" s="315">
        <f>Y28*1.04*1.023</f>
        <v>5.4463803226676033</v>
      </c>
      <c r="AA28" s="315">
        <f t="shared" ref="AA28:AO28" si="12">Z28*1.019*1.021</f>
        <v>5.6664086413230512</v>
      </c>
      <c r="AB28" s="315">
        <f t="shared" si="12"/>
        <v>5.89532588402386</v>
      </c>
      <c r="AC28" s="315">
        <f t="shared" si="12"/>
        <v>6.1334911544125381</v>
      </c>
      <c r="AD28" s="315">
        <f t="shared" si="12"/>
        <v>6.3812780635596491</v>
      </c>
      <c r="AE28" s="315">
        <f t="shared" si="12"/>
        <v>6.6390753160493938</v>
      </c>
      <c r="AF28" s="315">
        <f t="shared" si="12"/>
        <v>6.9072873197424727</v>
      </c>
      <c r="AG28" s="315">
        <f t="shared" si="12"/>
        <v>7.1863348201727479</v>
      </c>
      <c r="AH28" s="315">
        <f t="shared" si="12"/>
        <v>7.4766555605729055</v>
      </c>
      <c r="AI28" s="315">
        <f t="shared" si="12"/>
        <v>7.7787049685644885</v>
      </c>
      <c r="AJ28" s="315">
        <f t="shared" si="12"/>
        <v>8.0929568705895232</v>
      </c>
      <c r="AK28" s="315">
        <f t="shared" si="12"/>
        <v>8.4199042352044682</v>
      </c>
      <c r="AL28" s="315">
        <f t="shared" si="12"/>
        <v>8.7600599464024924</v>
      </c>
      <c r="AM28" s="315">
        <f t="shared" si="12"/>
        <v>9.1139576081772056</v>
      </c>
      <c r="AN28" s="315">
        <f t="shared" si="12"/>
        <v>9.4821523815899553</v>
      </c>
      <c r="AO28" s="315">
        <f t="shared" si="12"/>
        <v>9.8652218556538074</v>
      </c>
    </row>
    <row r="29" spans="1:41" ht="15">
      <c r="B29" s="424" t="s">
        <v>592</v>
      </c>
      <c r="C29" s="423">
        <v>1254.8998324609747</v>
      </c>
      <c r="D29" s="410">
        <v>1060.8222065500061</v>
      </c>
      <c r="E29" s="410">
        <v>2315.7220390109806</v>
      </c>
      <c r="F29" s="409">
        <v>6.344443942495837</v>
      </c>
      <c r="G29" s="422"/>
      <c r="H29" s="422"/>
      <c r="I29" s="422"/>
      <c r="J29" s="422"/>
      <c r="K29" s="422"/>
      <c r="S29" s="419">
        <v>0</v>
      </c>
      <c r="T29" s="1"/>
      <c r="U29" s="1"/>
    </row>
    <row r="30" spans="1:41" ht="15">
      <c r="B30" s="424"/>
      <c r="C30" s="423"/>
      <c r="D30" s="410"/>
      <c r="E30" s="410"/>
      <c r="F30" s="409"/>
      <c r="G30" s="422"/>
      <c r="H30" s="422"/>
      <c r="I30" s="422"/>
      <c r="J30" s="422"/>
      <c r="K30" s="422"/>
      <c r="L30" s="315">
        <f>(C31*$C$38+D31*$D$38)/2+L32</f>
        <v>2484.4849810096516</v>
      </c>
      <c r="M30" s="355">
        <f>L30/365</f>
        <v>6.8068081671497307</v>
      </c>
      <c r="N30" s="315">
        <f>(C31*$C$38+D31*$D$38)/2</f>
        <v>168.71655077445115</v>
      </c>
      <c r="O30" s="315">
        <v>237.72873909145159</v>
      </c>
      <c r="P30" s="315">
        <f>(C31+D31)/2-(C31*$C$38+D31*$D$38)/2</f>
        <v>237.72873909145159</v>
      </c>
      <c r="Q30" s="315">
        <f>SUM(L30,O30)</f>
        <v>2722.2137201011033</v>
      </c>
      <c r="R30" s="315">
        <f>Q30/208</f>
        <v>13.087565962024534</v>
      </c>
      <c r="S30" s="419"/>
      <c r="T30" s="419">
        <f>T32+S31</f>
        <v>2</v>
      </c>
      <c r="U30" s="1">
        <f>T30*365</f>
        <v>730</v>
      </c>
      <c r="V30" s="355">
        <f>R30/T30/2</f>
        <v>3.2718914905061336</v>
      </c>
      <c r="W30" s="315">
        <f>V30*1.04*1.007</f>
        <v>3.4265865201772634</v>
      </c>
      <c r="X30" s="315">
        <f>W30*1.037*1.015</f>
        <v>3.6066707747451789</v>
      </c>
      <c r="Y30" s="315">
        <f>X30*1.04*1.02</f>
        <v>3.825956357849686</v>
      </c>
      <c r="Z30" s="315">
        <f>Y30*1.04*1.023</f>
        <v>4.0705114882434374</v>
      </c>
      <c r="AA30" s="315">
        <f t="shared" ref="AA30:AO30" si="13">Z30*1.019*1.021</f>
        <v>4.2349560818569838</v>
      </c>
      <c r="AB30" s="315">
        <f t="shared" si="13"/>
        <v>4.4060440726079237</v>
      </c>
      <c r="AC30" s="315">
        <f t="shared" si="13"/>
        <v>4.5840438470972105</v>
      </c>
      <c r="AD30" s="315">
        <f t="shared" si="13"/>
        <v>4.7692346344760894</v>
      </c>
      <c r="AE30" s="315">
        <f t="shared" si="13"/>
        <v>4.961906944474288</v>
      </c>
      <c r="AF30" s="315">
        <f t="shared" si="13"/>
        <v>5.1623630231241044</v>
      </c>
      <c r="AG30" s="315">
        <f t="shared" si="13"/>
        <v>5.3709173268952943</v>
      </c>
      <c r="AH30" s="315">
        <f t="shared" si="13"/>
        <v>5.5878970159845371</v>
      </c>
      <c r="AI30" s="315">
        <f t="shared" si="13"/>
        <v>5.8136424675332954</v>
      </c>
      <c r="AJ30" s="315">
        <f t="shared" si="13"/>
        <v>6.0485078095791724</v>
      </c>
      <c r="AK30" s="315">
        <f t="shared" si="13"/>
        <v>6.2928614765783601</v>
      </c>
      <c r="AL30" s="315">
        <f t="shared" si="13"/>
        <v>6.547086787370648</v>
      </c>
      <c r="AM30" s="315">
        <f t="shared" si="13"/>
        <v>6.8115825464936339</v>
      </c>
      <c r="AN30" s="315">
        <f t="shared" si="13"/>
        <v>7.0867636697894287</v>
      </c>
      <c r="AO30" s="315">
        <f t="shared" si="13"/>
        <v>7.3730618352852506</v>
      </c>
    </row>
    <row r="31" spans="1:41" ht="15">
      <c r="B31" s="424" t="s">
        <v>93</v>
      </c>
      <c r="C31" s="423">
        <v>349.54294928467635</v>
      </c>
      <c r="D31" s="410">
        <v>463.34763044712912</v>
      </c>
      <c r="E31" s="410">
        <v>812.89057973180547</v>
      </c>
      <c r="F31" s="409">
        <v>2.2270974787172753</v>
      </c>
      <c r="G31" s="422"/>
      <c r="H31" s="422"/>
      <c r="I31" s="422"/>
      <c r="J31" s="422"/>
      <c r="K31" s="422"/>
      <c r="S31" s="419">
        <v>0</v>
      </c>
      <c r="T31" s="1"/>
      <c r="U31" s="1"/>
    </row>
    <row r="32" spans="1:41" ht="15">
      <c r="B32" s="424"/>
      <c r="C32" s="423"/>
      <c r="D32" s="410"/>
      <c r="E32" s="410"/>
      <c r="F32" s="409"/>
      <c r="G32" s="422"/>
      <c r="H32" s="422"/>
      <c r="I32" s="422"/>
      <c r="J32" s="422"/>
      <c r="K32" s="422"/>
      <c r="L32" s="315">
        <f>(C33*$C$38+D33*$D$38)/2+L34</f>
        <v>2315.7684302352004</v>
      </c>
      <c r="M32" s="355">
        <f>L32/365</f>
        <v>6.3445710417402754</v>
      </c>
      <c r="N32" s="315">
        <f>(C33*$C$38+D33*$D$38)/2</f>
        <v>230.30068699639747</v>
      </c>
      <c r="O32" s="315">
        <v>326.5293601198893</v>
      </c>
      <c r="P32" s="315">
        <f>(C33+D33)/2-(C33*$C$38+D33*$D$38)/2</f>
        <v>326.5293601198893</v>
      </c>
      <c r="Q32" s="315">
        <f>SUM(L32,O32)</f>
        <v>2642.2977903550895</v>
      </c>
      <c r="R32" s="315">
        <f>Q32/208</f>
        <v>12.703354761322545</v>
      </c>
      <c r="S32" s="419"/>
      <c r="T32" s="419">
        <f>T34+S33</f>
        <v>2</v>
      </c>
      <c r="U32" s="1">
        <f>T32*365</f>
        <v>730</v>
      </c>
      <c r="V32" s="355">
        <f>R32/T32/2</f>
        <v>3.1758386903306364</v>
      </c>
      <c r="W32" s="315">
        <f>V32*1.04*1.007</f>
        <v>3.3259923436094683</v>
      </c>
      <c r="X32" s="315">
        <f>W32*1.037*1.015</f>
        <v>3.5007898712278633</v>
      </c>
      <c r="Y32" s="315">
        <f>X32*1.04*1.02</f>
        <v>3.7136378953985179</v>
      </c>
      <c r="Z32" s="315">
        <f>Y32*1.04*1.023</f>
        <v>3.9510136296723912</v>
      </c>
      <c r="AA32" s="315">
        <f t="shared" ref="AA32:AO32" si="14">Z32*1.019*1.021</f>
        <v>4.1106306292975257</v>
      </c>
      <c r="AB32" s="315">
        <f t="shared" si="14"/>
        <v>4.2766959960905151</v>
      </c>
      <c r="AC32" s="315">
        <f t="shared" si="14"/>
        <v>4.4494702376365751</v>
      </c>
      <c r="AD32" s="315">
        <f t="shared" si="14"/>
        <v>4.6292243857668538</v>
      </c>
      <c r="AE32" s="315">
        <f t="shared" si="14"/>
        <v>4.8162404217274482</v>
      </c>
      <c r="AF32" s="315">
        <f t="shared" si="14"/>
        <v>5.0108117185248142</v>
      </c>
      <c r="AG32" s="315">
        <f t="shared" si="14"/>
        <v>5.2132435011414975</v>
      </c>
      <c r="AH32" s="315">
        <f t="shared" si="14"/>
        <v>5.4238533253441119</v>
      </c>
      <c r="AI32" s="315">
        <f t="shared" si="14"/>
        <v>5.6429715758346877</v>
      </c>
      <c r="AJ32" s="315">
        <f t="shared" si="14"/>
        <v>5.8709419845268327</v>
      </c>
      <c r="AK32" s="315">
        <f t="shared" si="14"/>
        <v>6.1081221697597305</v>
      </c>
      <c r="AL32" s="315">
        <f t="shared" si="14"/>
        <v>6.3548841972958527</v>
      </c>
      <c r="AM32" s="315">
        <f t="shared" si="14"/>
        <v>6.6116151639824068</v>
      </c>
      <c r="AN32" s="315">
        <f t="shared" si="14"/>
        <v>6.8787178049921307</v>
      </c>
      <c r="AO32" s="315">
        <f t="shared" si="14"/>
        <v>7.1566111255960063</v>
      </c>
    </row>
    <row r="33" spans="1:41" ht="15">
      <c r="B33" s="424" t="s">
        <v>591</v>
      </c>
      <c r="C33" s="423">
        <v>618.81295382083692</v>
      </c>
      <c r="D33" s="410">
        <v>494.84714041173658</v>
      </c>
      <c r="E33" s="410">
        <v>1113.6600942325736</v>
      </c>
      <c r="F33" s="409">
        <v>3.0511235458426671</v>
      </c>
      <c r="G33" s="422"/>
      <c r="H33" s="422"/>
      <c r="I33" s="422"/>
      <c r="J33" s="422"/>
      <c r="K33" s="422"/>
      <c r="S33" s="425">
        <v>0</v>
      </c>
      <c r="T33" s="1"/>
      <c r="U33" s="1"/>
    </row>
    <row r="34" spans="1:41" ht="15">
      <c r="B34" s="424"/>
      <c r="C34" s="423"/>
      <c r="D34" s="410"/>
      <c r="E34" s="410"/>
      <c r="F34" s="409"/>
      <c r="G34" s="422"/>
      <c r="H34" s="422"/>
      <c r="I34" s="422"/>
      <c r="J34" s="422"/>
      <c r="K34" s="422"/>
      <c r="L34" s="315">
        <f>(C35*$C$38+D35*$D$38)/2</f>
        <v>2085.467743238803</v>
      </c>
      <c r="M34" s="355">
        <f>L34/365</f>
        <v>5.7136102554487751</v>
      </c>
      <c r="N34" s="315">
        <f>(C35*$C$38+D35*$D$38)/2</f>
        <v>2085.467743238803</v>
      </c>
      <c r="O34" s="315">
        <v>2928.54296386944</v>
      </c>
      <c r="P34" s="315">
        <f>(C35+D35)/2-(C35*$C$38+D35*$D$38)/2</f>
        <v>2928.54296386944</v>
      </c>
      <c r="Q34" s="315">
        <f>SUM(L34,O34)</f>
        <v>5014.010707108243</v>
      </c>
      <c r="R34" s="315">
        <f>Q34/208</f>
        <v>24.105820707251169</v>
      </c>
      <c r="S34" s="425"/>
      <c r="T34" s="419">
        <f>S35</f>
        <v>2</v>
      </c>
      <c r="U34" s="1">
        <f>T34*365</f>
        <v>730</v>
      </c>
      <c r="V34" s="355">
        <f>R34/T34/2</f>
        <v>6.0264551768127923</v>
      </c>
      <c r="W34" s="315">
        <f>V34*1.04*1.007</f>
        <v>6.3113859775725007</v>
      </c>
      <c r="X34" s="315">
        <f>W34*1.037*1.015</f>
        <v>6.643080867623822</v>
      </c>
      <c r="Y34" s="315">
        <f>X34*1.04*1.02</f>
        <v>7.0469801843753501</v>
      </c>
      <c r="Z34" s="315">
        <f>Y34*1.04*1.023</f>
        <v>7.4974231577606218</v>
      </c>
      <c r="AA34" s="315">
        <f t="shared" ref="AA34:AO34" si="15">Z34*1.019*1.021</f>
        <v>7.8003115559109917</v>
      </c>
      <c r="AB34" s="315">
        <f t="shared" si="15"/>
        <v>8.1154363424582385</v>
      </c>
      <c r="AC34" s="315">
        <f t="shared" si="15"/>
        <v>8.4432918552572076</v>
      </c>
      <c r="AD34" s="315">
        <f t="shared" si="15"/>
        <v>8.7843924029177423</v>
      </c>
      <c r="AE34" s="315">
        <f t="shared" si="15"/>
        <v>9.1392730716032151</v>
      </c>
      <c r="AF34" s="315">
        <f t="shared" si="15"/>
        <v>9.5084905644229103</v>
      </c>
      <c r="AG34" s="315">
        <f t="shared" si="15"/>
        <v>9.8926240747350302</v>
      </c>
      <c r="AH34" s="315">
        <f t="shared" si="15"/>
        <v>10.292276194730249</v>
      </c>
      <c r="AI34" s="315">
        <f t="shared" si="15"/>
        <v>10.708073860721154</v>
      </c>
      <c r="AJ34" s="315">
        <f t="shared" si="15"/>
        <v>11.140669336620425</v>
      </c>
      <c r="AK34" s="315">
        <f t="shared" si="15"/>
        <v>11.590741237150551</v>
      </c>
      <c r="AL34" s="315">
        <f t="shared" si="15"/>
        <v>12.058995592390195</v>
      </c>
      <c r="AM34" s="315">
        <f t="shared" si="15"/>
        <v>12.546166955327164</v>
      </c>
      <c r="AN34" s="315">
        <f t="shared" si="15"/>
        <v>13.053019554155425</v>
      </c>
      <c r="AO34" s="315">
        <f t="shared" si="15"/>
        <v>13.580348491123747</v>
      </c>
    </row>
    <row r="35" spans="1:41" ht="15">
      <c r="B35" s="424" t="s">
        <v>590</v>
      </c>
      <c r="C35" s="423">
        <v>3623.459759154523</v>
      </c>
      <c r="D35" s="410">
        <v>6404.5616550619625</v>
      </c>
      <c r="E35" s="410">
        <v>10028.021414216486</v>
      </c>
      <c r="F35" s="409">
        <v>27.474031271825989</v>
      </c>
      <c r="G35" s="422"/>
      <c r="H35" s="422"/>
      <c r="I35" s="422"/>
      <c r="J35" s="422"/>
      <c r="K35" s="422"/>
      <c r="S35" s="419">
        <v>2</v>
      </c>
      <c r="T35" s="1"/>
      <c r="U35" s="1"/>
    </row>
    <row r="36" spans="1:41">
      <c r="B36" s="421" t="s">
        <v>2</v>
      </c>
      <c r="C36" s="315">
        <f>SUM(C3:C35)</f>
        <v>3083967.7293978473</v>
      </c>
      <c r="D36" s="315">
        <f>SUM(D3:D35)</f>
        <v>2998031.7126510837</v>
      </c>
      <c r="E36" s="315">
        <f>SUM(E3:E35)</f>
        <v>6081999.4420489315</v>
      </c>
      <c r="N36" s="315">
        <f>SUM(N6:N34)</f>
        <v>860840.73903698137</v>
      </c>
      <c r="O36" s="315">
        <f>SUM(O6:O34)</f>
        <v>1263985.3727734711</v>
      </c>
      <c r="P36" s="315">
        <f>SUM(P4:P34)</f>
        <v>1259813.7846234958</v>
      </c>
      <c r="S36" s="419"/>
      <c r="T36" s="419"/>
      <c r="U36" s="1"/>
      <c r="V36" s="355"/>
      <c r="W36" s="315"/>
      <c r="X36" s="315"/>
      <c r="Y36" s="315"/>
      <c r="Z36" s="315"/>
      <c r="AA36" s="315"/>
      <c r="AB36" s="315"/>
      <c r="AC36" s="315"/>
      <c r="AD36" s="315"/>
      <c r="AE36" s="315"/>
      <c r="AF36" s="315"/>
      <c r="AG36" s="315"/>
      <c r="AH36" s="315"/>
      <c r="AI36" s="315"/>
      <c r="AJ36" s="315"/>
      <c r="AK36" s="315"/>
      <c r="AL36" s="315"/>
      <c r="AM36" s="315"/>
      <c r="AN36" s="315"/>
      <c r="AO36" s="315"/>
    </row>
    <row r="37" spans="1:41">
      <c r="B37" s="420" t="s">
        <v>589</v>
      </c>
      <c r="C37" s="315">
        <f>SUM(C5:C35)</f>
        <v>2189926.4901959626</v>
      </c>
      <c r="D37" s="315">
        <f>SUM(D5:D35)</f>
        <v>2110887.0154519994</v>
      </c>
      <c r="E37" s="315">
        <f>SUM(E5:E35)</f>
        <v>4300813.5056479611</v>
      </c>
      <c r="S37" s="419">
        <f>SUM(S3:S36)</f>
        <v>24</v>
      </c>
      <c r="T37" s="1"/>
      <c r="U37" s="1"/>
    </row>
    <row r="38" spans="1:41" ht="15">
      <c r="B38" t="s">
        <v>588</v>
      </c>
      <c r="C38" s="418">
        <f>C3/C37</f>
        <v>0.4082517121941765</v>
      </c>
      <c r="D38" s="418">
        <f>D3/D37</f>
        <v>0.42027104752886202</v>
      </c>
      <c r="W38" s="315"/>
      <c r="X38" s="315"/>
      <c r="Y38" s="315"/>
      <c r="Z38" s="315"/>
      <c r="AA38" s="315"/>
      <c r="AB38" s="315"/>
      <c r="AC38" s="315"/>
      <c r="AD38" s="315"/>
      <c r="AE38" s="315"/>
      <c r="AF38" s="315"/>
      <c r="AG38" s="315"/>
      <c r="AH38" s="315"/>
      <c r="AI38" s="315"/>
      <c r="AJ38" s="315"/>
      <c r="AK38" s="315"/>
      <c r="AL38" s="315"/>
      <c r="AM38" s="315"/>
      <c r="AN38" s="315"/>
      <c r="AO38" s="315"/>
    </row>
    <row r="39" spans="1:41" ht="25.5">
      <c r="B39" s="390" t="s">
        <v>587</v>
      </c>
      <c r="C39" s="315">
        <f>C37-D3</f>
        <v>1302781.7929968778</v>
      </c>
      <c r="D39" s="315">
        <f>D37-C3</f>
        <v>1216845.7762501142</v>
      </c>
    </row>
    <row r="40" spans="1:41">
      <c r="W40" s="315"/>
      <c r="X40" s="315"/>
      <c r="Y40" s="315"/>
      <c r="Z40" s="315"/>
      <c r="AA40" s="315"/>
      <c r="AB40" s="315"/>
      <c r="AC40" s="315"/>
      <c r="AD40" s="315"/>
      <c r="AE40" s="315"/>
      <c r="AF40" s="315"/>
      <c r="AG40" s="315"/>
      <c r="AH40" s="315"/>
      <c r="AI40" s="315"/>
      <c r="AJ40" s="315"/>
      <c r="AK40" s="315"/>
      <c r="AL40" s="315"/>
      <c r="AM40" s="315"/>
      <c r="AN40" s="315"/>
      <c r="AO40" s="315"/>
    </row>
    <row r="42" spans="1:41" ht="15">
      <c r="A42" t="s">
        <v>586</v>
      </c>
      <c r="B42" s="417" t="s">
        <v>580</v>
      </c>
      <c r="C42" s="416">
        <v>5997071.8008011002</v>
      </c>
      <c r="D42" s="415">
        <v>6126639.4464177815</v>
      </c>
      <c r="E42" s="414">
        <v>12123711.247218885</v>
      </c>
      <c r="F42" s="409">
        <v>33215.647252654475</v>
      </c>
      <c r="W42" s="315"/>
      <c r="X42" s="315"/>
      <c r="Y42" s="315"/>
      <c r="Z42" s="315"/>
      <c r="AA42" s="315"/>
      <c r="AB42" s="315"/>
      <c r="AC42" s="315"/>
      <c r="AD42" s="315"/>
      <c r="AE42" s="315"/>
      <c r="AF42" s="315"/>
      <c r="AG42" s="315"/>
      <c r="AH42" s="315"/>
      <c r="AI42" s="315"/>
      <c r="AJ42" s="315"/>
      <c r="AK42" s="315"/>
      <c r="AL42" s="315"/>
      <c r="AM42" s="315"/>
      <c r="AN42" s="315"/>
      <c r="AO42" s="315"/>
    </row>
    <row r="43" spans="1:41" ht="15">
      <c r="A43" t="s">
        <v>586</v>
      </c>
      <c r="B43" s="413" t="s">
        <v>579</v>
      </c>
      <c r="C43" s="412">
        <v>347478.20721215755</v>
      </c>
      <c r="D43" s="411">
        <v>336677.93974719587</v>
      </c>
      <c r="E43" s="410">
        <v>684156.14695935347</v>
      </c>
      <c r="F43" s="409">
        <v>1874.4004026283658</v>
      </c>
    </row>
    <row r="44" spans="1:41">
      <c r="W44" s="315"/>
      <c r="X44" s="315"/>
      <c r="Y44" s="315"/>
      <c r="Z44" s="315"/>
      <c r="AA44" s="315"/>
      <c r="AB44" s="315"/>
      <c r="AC44" s="315"/>
      <c r="AD44" s="315"/>
      <c r="AE44" s="315"/>
      <c r="AF44" s="315"/>
      <c r="AG44" s="315"/>
      <c r="AH44" s="315"/>
      <c r="AI44" s="315"/>
      <c r="AJ44" s="315"/>
      <c r="AK44" s="315"/>
      <c r="AL44" s="315"/>
      <c r="AM44" s="315"/>
      <c r="AN44" s="315"/>
      <c r="AO44" s="315"/>
    </row>
    <row r="46" spans="1:41">
      <c r="W46" s="315"/>
      <c r="X46" s="315"/>
      <c r="Y46" s="315"/>
      <c r="Z46" s="315"/>
      <c r="AA46" s="315"/>
      <c r="AB46" s="315"/>
      <c r="AC46" s="315"/>
      <c r="AD46" s="315"/>
      <c r="AE46" s="315"/>
      <c r="AF46" s="315"/>
      <c r="AG46" s="315"/>
      <c r="AH46" s="315"/>
      <c r="AI46" s="315"/>
      <c r="AJ46" s="315"/>
      <c r="AK46" s="315"/>
      <c r="AL46" s="315"/>
      <c r="AM46" s="315"/>
      <c r="AN46" s="315"/>
      <c r="AO46" s="315"/>
    </row>
    <row r="48" spans="1:41">
      <c r="W48" s="315"/>
      <c r="X48" s="315"/>
      <c r="Y48" s="315"/>
      <c r="Z48" s="315"/>
      <c r="AA48" s="315"/>
      <c r="AB48" s="315"/>
      <c r="AC48" s="315"/>
      <c r="AD48" s="315"/>
      <c r="AE48" s="315"/>
      <c r="AF48" s="315"/>
      <c r="AG48" s="315"/>
      <c r="AH48" s="315"/>
      <c r="AI48" s="315"/>
      <c r="AJ48" s="315"/>
      <c r="AK48" s="315"/>
      <c r="AL48" s="315"/>
      <c r="AM48" s="315"/>
      <c r="AN48" s="315"/>
      <c r="AO48" s="315"/>
    </row>
    <row r="50" spans="23:41">
      <c r="W50" s="315"/>
      <c r="X50" s="315"/>
      <c r="Y50" s="315"/>
      <c r="Z50" s="315"/>
      <c r="AA50" s="315"/>
      <c r="AB50" s="315"/>
      <c r="AC50" s="315"/>
      <c r="AD50" s="315"/>
      <c r="AE50" s="315"/>
      <c r="AF50" s="315"/>
      <c r="AG50" s="315"/>
      <c r="AH50" s="315"/>
      <c r="AI50" s="315"/>
      <c r="AJ50" s="315"/>
      <c r="AK50" s="315"/>
      <c r="AL50" s="315"/>
      <c r="AM50" s="315"/>
      <c r="AN50" s="315"/>
      <c r="AO50" s="315"/>
    </row>
  </sheetData>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dimension ref="A1:DH59"/>
  <sheetViews>
    <sheetView topLeftCell="AY55" workbookViewId="0">
      <selection activeCell="X7" sqref="X7"/>
    </sheetView>
  </sheetViews>
  <sheetFormatPr defaultColWidth="12.42578125" defaultRowHeight="12.75" outlineLevelRow="1" outlineLevelCol="1"/>
  <cols>
    <col min="1" max="1" width="7.42578125" customWidth="1"/>
    <col min="2" max="2" width="41.5703125" customWidth="1"/>
    <col min="3" max="3" width="11.28515625" bestFit="1" customWidth="1"/>
    <col min="4" max="4" width="9.5703125" style="11" customWidth="1" outlineLevel="1"/>
    <col min="5" max="5" width="8.42578125" style="11" customWidth="1" outlineLevel="1"/>
    <col min="6" max="6" width="19" customWidth="1"/>
    <col min="7" max="7" width="9.5703125" style="11" customWidth="1" outlineLevel="1"/>
    <col min="8" max="8" width="8.42578125" style="11" customWidth="1" outlineLevel="1"/>
    <col min="9" max="9" width="26.7109375" customWidth="1"/>
    <col min="10" max="10" width="9.5703125" style="11" customWidth="1" outlineLevel="1"/>
    <col min="11" max="11" width="8.42578125" style="11" customWidth="1" outlineLevel="1"/>
    <col min="12" max="12" width="19" customWidth="1"/>
    <col min="13" max="13" width="9.5703125" style="11" customWidth="1" outlineLevel="1"/>
    <col min="14" max="14" width="8.42578125" style="11" customWidth="1" outlineLevel="1"/>
    <col min="15" max="15" width="19" customWidth="1"/>
    <col min="16" max="16" width="9.5703125" style="11" customWidth="1" outlineLevel="1"/>
    <col min="17" max="17" width="8.42578125" style="11" customWidth="1" outlineLevel="1"/>
    <col min="18" max="18" width="19" customWidth="1"/>
    <col min="19" max="19" width="9.5703125" style="11" customWidth="1" outlineLevel="1"/>
    <col min="20" max="20" width="8.42578125" style="11" customWidth="1" outlineLevel="1"/>
    <col min="21" max="21" width="19.5703125" customWidth="1"/>
    <col min="22" max="22" width="9.5703125" style="11" customWidth="1" outlineLevel="1"/>
    <col min="23" max="23" width="8.42578125" style="11" customWidth="1" outlineLevel="1"/>
    <col min="24" max="24" width="19" customWidth="1"/>
    <col min="25" max="25" width="9.5703125" style="11" customWidth="1" outlineLevel="1"/>
    <col min="26" max="26" width="8.42578125" style="11" customWidth="1" outlineLevel="1"/>
    <col min="27" max="27" width="19" customWidth="1"/>
    <col min="28" max="28" width="9.5703125" style="11" customWidth="1" outlineLevel="1"/>
    <col min="29" max="29" width="8.42578125" style="11" customWidth="1" outlineLevel="1"/>
    <col min="30" max="30" width="19" customWidth="1"/>
    <col min="31" max="31" width="11.7109375" style="11" customWidth="1"/>
    <col min="32" max="32" width="8.42578125" style="11" customWidth="1"/>
    <col min="33" max="33" width="19" customWidth="1"/>
    <col min="34" max="34" width="9.5703125" style="11" customWidth="1" outlineLevel="1"/>
    <col min="35" max="35" width="8.42578125" style="11" customWidth="1" outlineLevel="1"/>
    <col min="36" max="36" width="19" customWidth="1"/>
    <col min="37" max="37" width="9.5703125" style="11" customWidth="1" outlineLevel="1"/>
    <col min="38" max="38" width="8.42578125" style="11" customWidth="1" outlineLevel="1"/>
    <col min="39" max="39" width="19" customWidth="1"/>
    <col min="40" max="40" width="9.5703125" style="11" customWidth="1" outlineLevel="1"/>
    <col min="41" max="41" width="8.42578125" style="11" customWidth="1" outlineLevel="1"/>
    <col min="42" max="42" width="21.85546875" customWidth="1"/>
    <col min="43" max="43" width="9.5703125" style="11" customWidth="1" outlineLevel="1"/>
    <col min="44" max="44" width="8.42578125" style="11" customWidth="1" outlineLevel="1"/>
    <col min="45" max="45" width="19" customWidth="1"/>
    <col min="46" max="46" width="9.5703125" style="11" customWidth="1"/>
    <col min="47" max="47" width="13.140625" style="11" customWidth="1"/>
    <col min="48" max="48" width="19.140625" customWidth="1"/>
    <col min="49" max="49" width="9.5703125" style="11" customWidth="1"/>
    <col min="50" max="50" width="8.42578125" style="11" customWidth="1"/>
    <col min="51" max="51" width="19" customWidth="1"/>
    <col min="52" max="52" width="9.5703125" style="11" customWidth="1"/>
    <col min="53" max="53" width="8.42578125" style="11" customWidth="1"/>
    <col min="54" max="54" width="19" customWidth="1"/>
    <col min="55" max="55" width="12.85546875" customWidth="1"/>
    <col min="56" max="56" width="21.7109375" customWidth="1"/>
  </cols>
  <sheetData>
    <row r="1" spans="1:58" ht="21" customHeight="1">
      <c r="A1" s="280" t="s">
        <v>727</v>
      </c>
      <c r="B1" s="280"/>
    </row>
    <row r="2" spans="1:58" ht="13.5" thickBot="1"/>
    <row r="3" spans="1:58" ht="15.75">
      <c r="A3" s="2236" t="s">
        <v>255</v>
      </c>
      <c r="B3" s="2238" t="s">
        <v>254</v>
      </c>
      <c r="C3" s="279"/>
      <c r="D3" s="2232" t="s">
        <v>253</v>
      </c>
      <c r="E3" s="2232"/>
      <c r="F3" s="2233"/>
      <c r="G3" s="2240" t="s">
        <v>252</v>
      </c>
      <c r="H3" s="2241"/>
      <c r="I3" s="2242"/>
      <c r="J3" s="2231" t="s">
        <v>251</v>
      </c>
      <c r="K3" s="2232"/>
      <c r="L3" s="2233"/>
      <c r="M3" s="2231" t="s">
        <v>250</v>
      </c>
      <c r="N3" s="2235"/>
      <c r="O3" s="2233"/>
      <c r="P3" s="2231" t="s">
        <v>249</v>
      </c>
      <c r="Q3" s="2235"/>
      <c r="R3" s="2233"/>
      <c r="S3" s="2231" t="s">
        <v>248</v>
      </c>
      <c r="T3" s="2235"/>
      <c r="U3" s="2233"/>
      <c r="V3" s="2234" t="s">
        <v>247</v>
      </c>
      <c r="W3" s="2235"/>
      <c r="X3" s="2228"/>
      <c r="Y3" s="2243" t="s">
        <v>246</v>
      </c>
      <c r="Z3" s="2229"/>
      <c r="AA3" s="2230"/>
      <c r="AB3" s="2231" t="s">
        <v>245</v>
      </c>
      <c r="AC3" s="2235"/>
      <c r="AD3" s="2233"/>
      <c r="AE3" s="2231" t="s">
        <v>244</v>
      </c>
      <c r="AF3" s="2235"/>
      <c r="AG3" s="2233"/>
      <c r="AH3" s="2230" t="s">
        <v>243</v>
      </c>
      <c r="AI3" s="2229"/>
      <c r="AJ3" s="2234"/>
      <c r="AK3" s="2228" t="s">
        <v>242</v>
      </c>
      <c r="AL3" s="2229"/>
      <c r="AM3" s="2234"/>
      <c r="AN3" s="2228" t="s">
        <v>241</v>
      </c>
      <c r="AO3" s="2229"/>
      <c r="AP3" s="2234"/>
      <c r="AQ3" s="2228" t="s">
        <v>240</v>
      </c>
      <c r="AR3" s="2229"/>
      <c r="AS3" s="2234"/>
      <c r="AT3" s="2228" t="s">
        <v>728</v>
      </c>
      <c r="AU3" s="2229"/>
      <c r="AV3" s="2234"/>
      <c r="AW3" s="2228" t="s">
        <v>239</v>
      </c>
      <c r="AX3" s="2229"/>
      <c r="AY3" s="2234"/>
      <c r="AZ3" s="2228" t="s">
        <v>238</v>
      </c>
      <c r="BA3" s="2229"/>
      <c r="BB3" s="2230"/>
      <c r="BC3" s="2231" t="s">
        <v>160</v>
      </c>
      <c r="BD3" s="2232"/>
      <c r="BE3" s="2233"/>
    </row>
    <row r="4" spans="1:58" s="271" customFormat="1" ht="36.75" customHeight="1" thickBot="1">
      <c r="A4" s="2237"/>
      <c r="B4" s="2239"/>
      <c r="C4" s="278" t="s">
        <v>237</v>
      </c>
      <c r="D4" s="277" t="s">
        <v>236</v>
      </c>
      <c r="E4" s="276" t="s">
        <v>235</v>
      </c>
      <c r="F4" s="275" t="s">
        <v>0</v>
      </c>
      <c r="G4" s="277" t="s">
        <v>236</v>
      </c>
      <c r="H4" s="276" t="s">
        <v>235</v>
      </c>
      <c r="I4" s="275" t="s">
        <v>0</v>
      </c>
      <c r="J4" s="277" t="s">
        <v>236</v>
      </c>
      <c r="K4" s="276" t="s">
        <v>235</v>
      </c>
      <c r="L4" s="275" t="s">
        <v>0</v>
      </c>
      <c r="M4" s="277" t="s">
        <v>236</v>
      </c>
      <c r="N4" s="276" t="s">
        <v>235</v>
      </c>
      <c r="O4" s="275" t="s">
        <v>0</v>
      </c>
      <c r="P4" s="277" t="s">
        <v>236</v>
      </c>
      <c r="Q4" s="276" t="s">
        <v>235</v>
      </c>
      <c r="R4" s="275" t="s">
        <v>0</v>
      </c>
      <c r="S4" s="277" t="s">
        <v>236</v>
      </c>
      <c r="T4" s="276" t="s">
        <v>235</v>
      </c>
      <c r="U4" s="275" t="s">
        <v>0</v>
      </c>
      <c r="V4" s="277" t="s">
        <v>236</v>
      </c>
      <c r="W4" s="276" t="s">
        <v>235</v>
      </c>
      <c r="X4" s="275" t="s">
        <v>0</v>
      </c>
      <c r="Y4" s="277" t="s">
        <v>236</v>
      </c>
      <c r="Z4" s="276" t="s">
        <v>235</v>
      </c>
      <c r="AA4" s="275" t="s">
        <v>0</v>
      </c>
      <c r="AB4" s="277" t="s">
        <v>236</v>
      </c>
      <c r="AC4" s="276" t="s">
        <v>235</v>
      </c>
      <c r="AD4" s="275" t="s">
        <v>0</v>
      </c>
      <c r="AE4" s="277" t="s">
        <v>236</v>
      </c>
      <c r="AF4" s="276" t="s">
        <v>235</v>
      </c>
      <c r="AG4" s="275" t="s">
        <v>0</v>
      </c>
      <c r="AH4" s="277" t="s">
        <v>236</v>
      </c>
      <c r="AI4" s="276" t="s">
        <v>235</v>
      </c>
      <c r="AJ4" s="275" t="s">
        <v>0</v>
      </c>
      <c r="AK4" s="277" t="s">
        <v>236</v>
      </c>
      <c r="AL4" s="276" t="s">
        <v>235</v>
      </c>
      <c r="AM4" s="275" t="s">
        <v>0</v>
      </c>
      <c r="AN4" s="277" t="s">
        <v>236</v>
      </c>
      <c r="AO4" s="276" t="s">
        <v>235</v>
      </c>
      <c r="AP4" s="275" t="s">
        <v>0</v>
      </c>
      <c r="AQ4" s="277" t="s">
        <v>236</v>
      </c>
      <c r="AR4" s="276" t="s">
        <v>235</v>
      </c>
      <c r="AS4" s="275" t="s">
        <v>0</v>
      </c>
      <c r="AT4" s="277" t="s">
        <v>236</v>
      </c>
      <c r="AU4" s="276" t="s">
        <v>235</v>
      </c>
      <c r="AV4" s="275" t="s">
        <v>0</v>
      </c>
      <c r="AW4" s="277" t="s">
        <v>236</v>
      </c>
      <c r="AX4" s="276" t="s">
        <v>235</v>
      </c>
      <c r="AY4" s="275" t="s">
        <v>0</v>
      </c>
      <c r="AZ4" s="277" t="s">
        <v>236</v>
      </c>
      <c r="BA4" s="276" t="s">
        <v>235</v>
      </c>
      <c r="BB4" s="516" t="s">
        <v>0</v>
      </c>
      <c r="BC4" s="274" t="s">
        <v>234</v>
      </c>
      <c r="BD4" s="273" t="s">
        <v>0</v>
      </c>
      <c r="BE4" s="272" t="s">
        <v>15</v>
      </c>
    </row>
    <row r="5" spans="1:58" ht="32.25" thickBot="1">
      <c r="A5" s="270" t="s">
        <v>233</v>
      </c>
      <c r="B5" s="100" t="s">
        <v>232</v>
      </c>
      <c r="C5" s="269" t="s">
        <v>161</v>
      </c>
      <c r="D5" s="23"/>
      <c r="E5" s="22">
        <v>1</v>
      </c>
      <c r="F5" s="30">
        <v>35000</v>
      </c>
      <c r="G5" s="109"/>
      <c r="H5" s="22">
        <v>1</v>
      </c>
      <c r="I5" s="21">
        <v>40000</v>
      </c>
      <c r="J5" s="104"/>
      <c r="K5" s="22">
        <v>1</v>
      </c>
      <c r="L5" s="30">
        <v>42000</v>
      </c>
      <c r="M5" s="104"/>
      <c r="N5" s="22">
        <v>1</v>
      </c>
      <c r="O5" s="30">
        <v>38000</v>
      </c>
      <c r="P5" s="104"/>
      <c r="Q5" s="22">
        <v>1</v>
      </c>
      <c r="R5" s="21">
        <v>40000</v>
      </c>
      <c r="S5" s="268"/>
      <c r="T5" s="267">
        <v>1</v>
      </c>
      <c r="U5" s="266">
        <v>62000</v>
      </c>
      <c r="V5" s="109"/>
      <c r="W5" s="22">
        <v>1</v>
      </c>
      <c r="X5" s="21">
        <v>42000</v>
      </c>
      <c r="Y5" s="265"/>
      <c r="Z5" s="32">
        <v>1</v>
      </c>
      <c r="AA5" s="259">
        <v>32000</v>
      </c>
      <c r="AB5" s="264">
        <v>25000</v>
      </c>
      <c r="AC5" s="35">
        <v>1</v>
      </c>
      <c r="AD5" s="263">
        <v>32000</v>
      </c>
      <c r="AE5" s="104"/>
      <c r="AF5" s="22">
        <v>1</v>
      </c>
      <c r="AG5" s="30">
        <v>50000</v>
      </c>
      <c r="AH5" s="109"/>
      <c r="AI5" s="22">
        <v>1</v>
      </c>
      <c r="AJ5" s="30">
        <v>45000</v>
      </c>
      <c r="AK5" s="104">
        <v>25000</v>
      </c>
      <c r="AL5" s="22">
        <v>1</v>
      </c>
      <c r="AM5" s="30">
        <v>32000</v>
      </c>
      <c r="AN5" s="262"/>
      <c r="AO5" s="261">
        <v>1</v>
      </c>
      <c r="AP5" s="260">
        <v>55000</v>
      </c>
      <c r="AQ5" s="104"/>
      <c r="AR5" s="22">
        <v>1</v>
      </c>
      <c r="AS5" s="30">
        <v>58000</v>
      </c>
      <c r="AT5" s="104"/>
      <c r="AU5" s="22">
        <v>1</v>
      </c>
      <c r="AV5" s="30">
        <v>40000</v>
      </c>
      <c r="AW5" s="104"/>
      <c r="AX5" s="22">
        <v>1</v>
      </c>
      <c r="AY5" s="30">
        <v>55000</v>
      </c>
      <c r="AZ5" s="104"/>
      <c r="BA5" s="22">
        <v>1</v>
      </c>
      <c r="BB5" s="21">
        <v>98000</v>
      </c>
      <c r="BC5" s="20">
        <f>SUM(E5,H5,K5,N5,Q5,T5,W5,Z5,AC5,AF5,AI5,AL5,AO5,AR5,AU5,AX5,BA5)</f>
        <v>17</v>
      </c>
      <c r="BD5" s="19">
        <f>SUM(F5,I5,L5,O5,R5,U5,X5,AA5,AD5,AG5,AJ5,AM5,AP5,AS5,AV5,AY5,BB5)</f>
        <v>796000</v>
      </c>
      <c r="BE5" s="257">
        <f t="shared" ref="BE5:BE28" si="0">BD5/$BD$55</f>
        <v>3.6724404566375206E-2</v>
      </c>
    </row>
    <row r="6" spans="1:58" ht="32.25" thickBot="1">
      <c r="A6" s="101" t="s">
        <v>231</v>
      </c>
      <c r="B6" s="100" t="s">
        <v>230</v>
      </c>
      <c r="C6" s="99"/>
      <c r="D6" s="23"/>
      <c r="E6" s="22"/>
      <c r="F6" s="30">
        <f>SUM(F7,F11,F19,F29,F36,F44,F47,F50,F51)</f>
        <v>887880</v>
      </c>
      <c r="G6" s="23"/>
      <c r="H6" s="22"/>
      <c r="I6" s="30">
        <f>SUM(I7,I11,I19,I29,I36,I44,I47,I50,I51)</f>
        <v>848660</v>
      </c>
      <c r="J6" s="23"/>
      <c r="K6" s="22"/>
      <c r="L6" s="30">
        <f>SUM(L7,L11,L19,L29,L36,L44,L47,L50,L51)</f>
        <v>927240</v>
      </c>
      <c r="M6" s="23"/>
      <c r="N6" s="22"/>
      <c r="O6" s="30">
        <f>SUM(O7,O11,O19,O29,O36,O44,O47,O50,O51)</f>
        <v>828412</v>
      </c>
      <c r="P6" s="23"/>
      <c r="Q6" s="22"/>
      <c r="R6" s="21">
        <f>SUM(R7,R11,R19,R29,R36,R44,R47,R50,R51)</f>
        <v>935632</v>
      </c>
      <c r="S6" s="39"/>
      <c r="T6" s="38"/>
      <c r="U6" s="98">
        <f>SUM(U7,U11,U19,U29,U36,U44,U47,U50,U51)</f>
        <v>1780200</v>
      </c>
      <c r="V6" s="31"/>
      <c r="W6" s="22"/>
      <c r="X6" s="21">
        <f>SUM(X7,X11,X19,X29,X36,X44,X47,X50,X51)</f>
        <v>922804</v>
      </c>
      <c r="Y6" s="33"/>
      <c r="Z6" s="32"/>
      <c r="AA6" s="259">
        <f>SUM(AA7,AA11,AA19,AA29,AA36,AA44,AA47,AA50,AA51)</f>
        <v>800096</v>
      </c>
      <c r="AB6" s="33"/>
      <c r="AC6" s="32"/>
      <c r="AD6" s="30">
        <f>SUM(AD7,AD11,AD19,AD29,AD36,AD44,AD47,AD50,AD51)</f>
        <v>864136</v>
      </c>
      <c r="AE6" s="23"/>
      <c r="AF6" s="22"/>
      <c r="AG6" s="30">
        <v>1135364</v>
      </c>
      <c r="AH6" s="31"/>
      <c r="AI6" s="22"/>
      <c r="AJ6" s="30">
        <f>SUM(AJ7,AJ11,AJ19,AJ29,AJ36,AJ44,AJ47,AJ50,AJ51)</f>
        <v>937808</v>
      </c>
      <c r="AK6" s="23"/>
      <c r="AL6" s="22"/>
      <c r="AM6" s="30">
        <f>SUM(AM7,AM11,AM19,AM29,AM36,AM44,AM47,AM50,AM51)</f>
        <v>701632</v>
      </c>
      <c r="AN6" s="29"/>
      <c r="AO6" s="28"/>
      <c r="AP6" s="258">
        <f>SUM(AP7,AP11,AP19,AP29,AP36,AP44,AP47,AP50,AP51)</f>
        <v>897143</v>
      </c>
      <c r="AQ6" s="23"/>
      <c r="AR6" s="22"/>
      <c r="AS6" s="30">
        <f>SUM(AS7,AS11,AS19,AS29,AS36,AS44,AS47,AS50,AS51)</f>
        <v>1601838</v>
      </c>
      <c r="AT6" s="23"/>
      <c r="AU6" s="22"/>
      <c r="AV6" s="30">
        <f>SUM(AV7,AV11,AV19,AV29,AV36,AV44,AV47,AV50,AV51)</f>
        <v>976388</v>
      </c>
      <c r="AW6" s="23"/>
      <c r="AX6" s="22"/>
      <c r="AY6" s="30">
        <f>SUM(AY7,AY11,AY19,AY29,AY36,AY44,AY47,AY50,AY51)</f>
        <v>1046507</v>
      </c>
      <c r="AZ6" s="23"/>
      <c r="BA6" s="22"/>
      <c r="BB6" s="21">
        <f>SUM(BB7,BB11,BB19,BB29,BB36,BB44,BB47,BB50,BB51)</f>
        <v>3201420</v>
      </c>
      <c r="BC6" s="102"/>
      <c r="BD6" s="19">
        <f>SUM(F6,I6,L6,O6,R6,U6,X6,AA6,AD6,AG6,AJ6,AM6,AP6,AS6,AV6,AY6,BB6)</f>
        <v>19293160</v>
      </c>
      <c r="BE6" s="257">
        <f t="shared" si="0"/>
        <v>0.89011283065804969</v>
      </c>
    </row>
    <row r="7" spans="1:58" ht="16.5" thickBot="1">
      <c r="A7" s="116" t="s">
        <v>14</v>
      </c>
      <c r="B7" s="115" t="s">
        <v>229</v>
      </c>
      <c r="C7" s="99"/>
      <c r="D7" s="23"/>
      <c r="E7" s="22"/>
      <c r="F7" s="108">
        <f>SUM(F8:F10)</f>
        <v>37716</v>
      </c>
      <c r="G7" s="23"/>
      <c r="H7" s="22"/>
      <c r="I7" s="108">
        <f>SUM(I8:I10)</f>
        <v>37716</v>
      </c>
      <c r="J7" s="23"/>
      <c r="K7" s="22"/>
      <c r="L7" s="108">
        <f>SUM(L8:L10)</f>
        <v>43076</v>
      </c>
      <c r="M7" s="23"/>
      <c r="N7" s="22"/>
      <c r="O7" s="108">
        <f>SUM(O8:O10)</f>
        <v>36024</v>
      </c>
      <c r="P7" s="23"/>
      <c r="Q7" s="22"/>
      <c r="R7" s="103">
        <f>SUM(R8:R10)</f>
        <v>38828</v>
      </c>
      <c r="S7" s="39"/>
      <c r="T7" s="38"/>
      <c r="U7" s="143">
        <f>SUM(U8:U10)</f>
        <v>70584</v>
      </c>
      <c r="V7" s="31"/>
      <c r="W7" s="22"/>
      <c r="X7" s="103">
        <f>SUM(X8:X10)</f>
        <v>36560</v>
      </c>
      <c r="Y7" s="33"/>
      <c r="Z7" s="32"/>
      <c r="AA7" s="111">
        <f>SUM(AA8:AA10)</f>
        <v>34212</v>
      </c>
      <c r="AB7" s="33"/>
      <c r="AC7" s="32"/>
      <c r="AD7" s="108">
        <f>SUM(AD8:AD10)</f>
        <v>34444</v>
      </c>
      <c r="AE7" s="23"/>
      <c r="AF7" s="22"/>
      <c r="AG7" s="108">
        <v>39464</v>
      </c>
      <c r="AH7" s="31"/>
      <c r="AI7" s="22"/>
      <c r="AJ7" s="108">
        <f>SUM(AJ8:AJ10)</f>
        <v>36848</v>
      </c>
      <c r="AK7" s="23"/>
      <c r="AL7" s="22"/>
      <c r="AM7" s="108">
        <f>SUM(AM8:AM10)</f>
        <v>29608</v>
      </c>
      <c r="AN7" s="29"/>
      <c r="AO7" s="28"/>
      <c r="AP7" s="142">
        <f>SUM(AP8:AP10)</f>
        <v>64355</v>
      </c>
      <c r="AQ7" s="23"/>
      <c r="AR7" s="22"/>
      <c r="AS7" s="108">
        <f>SUM(AS8:AS10)</f>
        <v>88238</v>
      </c>
      <c r="AT7" s="23"/>
      <c r="AU7" s="22"/>
      <c r="AV7" s="108">
        <f>SUM(AV8:AV10)</f>
        <v>38520</v>
      </c>
      <c r="AW7" s="23"/>
      <c r="AX7" s="22"/>
      <c r="AY7" s="108">
        <f>SUM(AY8:AY10)</f>
        <v>62555</v>
      </c>
      <c r="AZ7" s="23"/>
      <c r="BA7" s="22"/>
      <c r="BB7" s="103">
        <f>SUM(BB8:BB10)</f>
        <v>84192</v>
      </c>
      <c r="BC7" s="102"/>
      <c r="BD7" s="44">
        <f>SUM(F7,I7,L7,O7,R7,U7,X7,AA7,AD7,AG7,AJ7,AM7,AP7,AS7,AV7,AY7,BB7)</f>
        <v>812940</v>
      </c>
      <c r="BE7" s="247">
        <f t="shared" si="0"/>
        <v>3.7505951568076713E-2</v>
      </c>
    </row>
    <row r="8" spans="1:58" ht="15.75" outlineLevel="1">
      <c r="A8" s="141" t="s">
        <v>228</v>
      </c>
      <c r="B8" s="140" t="s">
        <v>227</v>
      </c>
      <c r="C8" s="91" t="s">
        <v>165</v>
      </c>
      <c r="D8" s="80">
        <v>18</v>
      </c>
      <c r="E8" s="72">
        <v>1100</v>
      </c>
      <c r="F8" s="137">
        <f>$D$8*E8</f>
        <v>19800</v>
      </c>
      <c r="G8" s="84">
        <v>18</v>
      </c>
      <c r="H8" s="72">
        <v>1100</v>
      </c>
      <c r="I8" s="136">
        <f>G8*H8</f>
        <v>19800</v>
      </c>
      <c r="J8" s="73">
        <v>18</v>
      </c>
      <c r="K8" s="72">
        <v>1480</v>
      </c>
      <c r="L8" s="137">
        <f>J8*K8</f>
        <v>26640</v>
      </c>
      <c r="M8" s="73">
        <v>18</v>
      </c>
      <c r="N8" s="72">
        <v>1180</v>
      </c>
      <c r="O8" s="137">
        <f>M8*N8</f>
        <v>21240</v>
      </c>
      <c r="P8" s="73">
        <v>18</v>
      </c>
      <c r="Q8" s="72">
        <v>1310</v>
      </c>
      <c r="R8" s="136">
        <f>P8*Q8</f>
        <v>23580</v>
      </c>
      <c r="S8" s="114">
        <v>18</v>
      </c>
      <c r="T8" s="113">
        <v>2860</v>
      </c>
      <c r="U8" s="112">
        <f>S8*T8</f>
        <v>51480</v>
      </c>
      <c r="V8" s="84">
        <v>18</v>
      </c>
      <c r="W8" s="72">
        <v>1300</v>
      </c>
      <c r="X8" s="136">
        <f>V8*W8</f>
        <v>23400</v>
      </c>
      <c r="Y8" s="139">
        <v>18</v>
      </c>
      <c r="Z8" s="83">
        <v>1176</v>
      </c>
      <c r="AA8" s="138">
        <f>Y8*Z8</f>
        <v>21168</v>
      </c>
      <c r="AB8" s="84">
        <v>18</v>
      </c>
      <c r="AC8" s="83">
        <v>1176</v>
      </c>
      <c r="AD8" s="137">
        <f>AB8*AC8</f>
        <v>21168</v>
      </c>
      <c r="AE8" s="73">
        <v>18</v>
      </c>
      <c r="AF8" s="72">
        <v>1500</v>
      </c>
      <c r="AG8" s="137">
        <v>27000</v>
      </c>
      <c r="AH8" s="84">
        <v>18</v>
      </c>
      <c r="AI8" s="72">
        <v>1200</v>
      </c>
      <c r="AJ8" s="137">
        <f>AH8*AI8</f>
        <v>21600</v>
      </c>
      <c r="AK8" s="73">
        <v>18</v>
      </c>
      <c r="AL8" s="72">
        <v>830</v>
      </c>
      <c r="AM8" s="137">
        <f>AK8*AL8</f>
        <v>14940</v>
      </c>
      <c r="AN8" s="79">
        <v>18</v>
      </c>
      <c r="AO8" s="78">
        <v>2580</v>
      </c>
      <c r="AP8" s="107">
        <f>AN8*AO8</f>
        <v>46440</v>
      </c>
      <c r="AQ8" s="73">
        <v>18</v>
      </c>
      <c r="AR8" s="72">
        <v>3580</v>
      </c>
      <c r="AS8" s="137">
        <f>AQ8*AR8</f>
        <v>64440</v>
      </c>
      <c r="AT8" s="73">
        <v>18</v>
      </c>
      <c r="AU8" s="72">
        <v>1280</v>
      </c>
      <c r="AV8" s="137">
        <f>AT8*AU8</f>
        <v>23040</v>
      </c>
      <c r="AW8" s="73">
        <v>18</v>
      </c>
      <c r="AX8" s="72">
        <v>2480</v>
      </c>
      <c r="AY8" s="137">
        <f>AW8*AX8</f>
        <v>44640</v>
      </c>
      <c r="AZ8" s="73">
        <v>18</v>
      </c>
      <c r="BA8" s="72">
        <v>3600</v>
      </c>
      <c r="BB8" s="136">
        <f>AZ8*BA8</f>
        <v>64800</v>
      </c>
      <c r="BC8" s="135">
        <f t="shared" ref="BC8:BD51" si="1">SUM(E8,H8,K8,N8,Q8,T8,W8,Z8,AC8,AF8,AI8,AL8,AO8,AR8,AU8,AX8,BA8)</f>
        <v>29732</v>
      </c>
      <c r="BD8" s="134">
        <f t="shared" si="1"/>
        <v>535176</v>
      </c>
      <c r="BE8" s="244">
        <f t="shared" si="0"/>
        <v>2.4690979821877412E-2</v>
      </c>
    </row>
    <row r="9" spans="1:58" ht="15.75" outlineLevel="1">
      <c r="A9" s="159" t="s">
        <v>226</v>
      </c>
      <c r="B9" s="158" t="s">
        <v>225</v>
      </c>
      <c r="C9" s="157" t="s">
        <v>165</v>
      </c>
      <c r="D9" s="156">
        <v>5.8</v>
      </c>
      <c r="E9" s="150">
        <v>1020</v>
      </c>
      <c r="F9" s="119">
        <f t="shared" ref="F9:F51" si="2">D9*E9</f>
        <v>5916</v>
      </c>
      <c r="G9" s="121">
        <v>5.8</v>
      </c>
      <c r="H9" s="150">
        <v>1020</v>
      </c>
      <c r="I9" s="149">
        <f>G9*H9</f>
        <v>5916</v>
      </c>
      <c r="J9" s="151">
        <v>5.8</v>
      </c>
      <c r="K9" s="150">
        <v>420</v>
      </c>
      <c r="L9" s="119">
        <f t="shared" ref="L9:L51" si="3">J9*K9</f>
        <v>2436</v>
      </c>
      <c r="M9" s="151">
        <v>5.8</v>
      </c>
      <c r="N9" s="150">
        <v>480</v>
      </c>
      <c r="O9" s="119">
        <f t="shared" ref="O9:O51" si="4">M9*N9</f>
        <v>2784</v>
      </c>
      <c r="P9" s="151">
        <v>5.8</v>
      </c>
      <c r="Q9" s="150">
        <v>560</v>
      </c>
      <c r="R9" s="149">
        <f t="shared" ref="R9:R46" si="5">P9*Q9</f>
        <v>3248</v>
      </c>
      <c r="S9" s="114">
        <v>5.8</v>
      </c>
      <c r="T9" s="113">
        <v>880</v>
      </c>
      <c r="U9" s="112">
        <f>S9*T9</f>
        <v>5104</v>
      </c>
      <c r="V9" s="121">
        <v>5.8</v>
      </c>
      <c r="W9" s="150">
        <v>200</v>
      </c>
      <c r="X9" s="149">
        <f>V9*W9</f>
        <v>1160</v>
      </c>
      <c r="Y9" s="155">
        <v>5.8</v>
      </c>
      <c r="Z9" s="120">
        <v>180</v>
      </c>
      <c r="AA9" s="256">
        <f>Y9*Z9</f>
        <v>1044</v>
      </c>
      <c r="AB9" s="121">
        <v>5.8</v>
      </c>
      <c r="AC9" s="120">
        <v>220</v>
      </c>
      <c r="AD9" s="119">
        <f>AB9*AC9</f>
        <v>1276</v>
      </c>
      <c r="AE9" s="151">
        <v>5.8</v>
      </c>
      <c r="AF9" s="150">
        <v>80</v>
      </c>
      <c r="AG9" s="119">
        <v>464</v>
      </c>
      <c r="AH9" s="121">
        <v>5.8</v>
      </c>
      <c r="AI9" s="150">
        <v>560</v>
      </c>
      <c r="AJ9" s="119">
        <f t="shared" ref="AJ9:AJ51" si="6">AH9*AI9</f>
        <v>3248</v>
      </c>
      <c r="AK9" s="151">
        <v>5.8</v>
      </c>
      <c r="AL9" s="150">
        <v>460</v>
      </c>
      <c r="AM9" s="119">
        <f t="shared" ref="AM9:AM51" si="7">AK9*AL9</f>
        <v>2668</v>
      </c>
      <c r="AN9" s="79">
        <v>5.8</v>
      </c>
      <c r="AO9" s="78">
        <v>675</v>
      </c>
      <c r="AP9" s="107">
        <f>AN9*AO9</f>
        <v>3915</v>
      </c>
      <c r="AQ9" s="151">
        <v>5.8</v>
      </c>
      <c r="AR9" s="150">
        <v>310</v>
      </c>
      <c r="AS9" s="119">
        <f t="shared" ref="AS9:AS51" si="8">AQ9*AR9</f>
        <v>1798</v>
      </c>
      <c r="AT9" s="151">
        <v>5.8</v>
      </c>
      <c r="AU9" s="150">
        <v>600</v>
      </c>
      <c r="AV9" s="119">
        <f t="shared" ref="AV9:AV51" si="9">AT9*AU9</f>
        <v>3480</v>
      </c>
      <c r="AW9" s="151">
        <v>5.8</v>
      </c>
      <c r="AX9" s="150">
        <v>675</v>
      </c>
      <c r="AY9" s="119">
        <f t="shared" ref="AY9:AY51" si="10">AW9*AX9</f>
        <v>3915</v>
      </c>
      <c r="AZ9" s="151">
        <v>5.8</v>
      </c>
      <c r="BA9" s="150">
        <v>240</v>
      </c>
      <c r="BB9" s="149">
        <f t="shared" ref="BB9:BB51" si="11">AZ9*BA9</f>
        <v>1392</v>
      </c>
      <c r="BC9" s="148">
        <f t="shared" si="1"/>
        <v>8580</v>
      </c>
      <c r="BD9" s="147">
        <f t="shared" si="1"/>
        <v>49764</v>
      </c>
      <c r="BE9" s="244">
        <f t="shared" si="0"/>
        <v>2.295921192011427E-3</v>
      </c>
    </row>
    <row r="10" spans="1:58" ht="18.75" customHeight="1" outlineLevel="1" thickBot="1">
      <c r="A10" s="144" t="s">
        <v>224</v>
      </c>
      <c r="B10" s="131" t="s">
        <v>223</v>
      </c>
      <c r="C10" s="68" t="s">
        <v>161</v>
      </c>
      <c r="D10" s="57">
        <v>12000</v>
      </c>
      <c r="E10" s="56">
        <v>1</v>
      </c>
      <c r="F10" s="110">
        <f t="shared" si="2"/>
        <v>12000</v>
      </c>
      <c r="G10" s="61">
        <v>12000</v>
      </c>
      <c r="H10" s="56">
        <v>1</v>
      </c>
      <c r="I10" s="127">
        <f>G10*H10</f>
        <v>12000</v>
      </c>
      <c r="J10" s="128">
        <v>14000</v>
      </c>
      <c r="K10" s="56">
        <v>1</v>
      </c>
      <c r="L10" s="110">
        <f t="shared" si="3"/>
        <v>14000</v>
      </c>
      <c r="M10" s="128">
        <v>12000</v>
      </c>
      <c r="N10" s="56">
        <v>1</v>
      </c>
      <c r="O10" s="110">
        <f t="shared" si="4"/>
        <v>12000</v>
      </c>
      <c r="P10" s="128">
        <v>12000</v>
      </c>
      <c r="Q10" s="56">
        <v>1</v>
      </c>
      <c r="R10" s="127">
        <f t="shared" si="5"/>
        <v>12000</v>
      </c>
      <c r="S10" s="114">
        <v>14000</v>
      </c>
      <c r="T10" s="113">
        <v>1</v>
      </c>
      <c r="U10" s="112">
        <f>S10*T10</f>
        <v>14000</v>
      </c>
      <c r="V10" s="61">
        <v>12000</v>
      </c>
      <c r="W10" s="56">
        <v>1</v>
      </c>
      <c r="X10" s="127">
        <f>V10*W10</f>
        <v>12000</v>
      </c>
      <c r="Y10" s="130">
        <v>12000</v>
      </c>
      <c r="Z10" s="60">
        <v>1</v>
      </c>
      <c r="AA10" s="129">
        <f>Y10*Z10</f>
        <v>12000</v>
      </c>
      <c r="AB10" s="61">
        <v>12000</v>
      </c>
      <c r="AC10" s="60">
        <v>1</v>
      </c>
      <c r="AD10" s="110">
        <f>AB10*AC10</f>
        <v>12000</v>
      </c>
      <c r="AE10" s="128">
        <v>12000</v>
      </c>
      <c r="AF10" s="56">
        <v>1</v>
      </c>
      <c r="AG10" s="110">
        <v>12000</v>
      </c>
      <c r="AH10" s="61">
        <v>12000</v>
      </c>
      <c r="AI10" s="56">
        <v>1</v>
      </c>
      <c r="AJ10" s="110">
        <f t="shared" si="6"/>
        <v>12000</v>
      </c>
      <c r="AK10" s="128">
        <v>12000</v>
      </c>
      <c r="AL10" s="56">
        <v>1</v>
      </c>
      <c r="AM10" s="110">
        <f t="shared" si="7"/>
        <v>12000</v>
      </c>
      <c r="AN10" s="79">
        <v>14000</v>
      </c>
      <c r="AO10" s="78">
        <v>1</v>
      </c>
      <c r="AP10" s="107">
        <f>AN10*AO10</f>
        <v>14000</v>
      </c>
      <c r="AQ10" s="128">
        <v>22000</v>
      </c>
      <c r="AR10" s="56">
        <v>1</v>
      </c>
      <c r="AS10" s="110">
        <f t="shared" si="8"/>
        <v>22000</v>
      </c>
      <c r="AT10" s="128">
        <v>12000</v>
      </c>
      <c r="AU10" s="56">
        <v>1</v>
      </c>
      <c r="AV10" s="110">
        <f t="shared" si="9"/>
        <v>12000</v>
      </c>
      <c r="AW10" s="128">
        <v>14000</v>
      </c>
      <c r="AX10" s="56">
        <v>1</v>
      </c>
      <c r="AY10" s="110">
        <f t="shared" si="10"/>
        <v>14000</v>
      </c>
      <c r="AZ10" s="128">
        <v>18000</v>
      </c>
      <c r="BA10" s="56">
        <v>1</v>
      </c>
      <c r="BB10" s="127">
        <f t="shared" si="11"/>
        <v>18000</v>
      </c>
      <c r="BC10" s="126">
        <f t="shared" si="1"/>
        <v>17</v>
      </c>
      <c r="BD10" s="125">
        <f t="shared" si="1"/>
        <v>228000</v>
      </c>
      <c r="BE10" s="248">
        <f t="shared" si="0"/>
        <v>1.0519050554187875E-2</v>
      </c>
    </row>
    <row r="11" spans="1:58" ht="16.5" thickBot="1">
      <c r="A11" s="116" t="s">
        <v>16</v>
      </c>
      <c r="B11" s="115" t="s">
        <v>222</v>
      </c>
      <c r="C11" s="99"/>
      <c r="D11" s="23"/>
      <c r="E11" s="22"/>
      <c r="F11" s="108">
        <f>SUM(F12:F18)</f>
        <v>269760</v>
      </c>
      <c r="G11" s="23"/>
      <c r="H11" s="22"/>
      <c r="I11" s="108">
        <f>SUM(I12:I18)</f>
        <v>211440</v>
      </c>
      <c r="J11" s="23"/>
      <c r="K11" s="22"/>
      <c r="L11" s="108">
        <f>SUM(L12:L18)</f>
        <v>273760</v>
      </c>
      <c r="M11" s="23"/>
      <c r="N11" s="22"/>
      <c r="O11" s="108">
        <f>SUM(O12:O18)</f>
        <v>208440</v>
      </c>
      <c r="P11" s="23"/>
      <c r="Q11" s="22"/>
      <c r="R11" s="103">
        <f>SUM(R12:R18)</f>
        <v>297680</v>
      </c>
      <c r="S11" s="39"/>
      <c r="T11" s="38"/>
      <c r="U11" s="143">
        <f>SUM(U12:U18)</f>
        <v>329080</v>
      </c>
      <c r="V11" s="31"/>
      <c r="W11" s="22"/>
      <c r="X11" s="103">
        <f>SUM(X12:X18)</f>
        <v>312880</v>
      </c>
      <c r="Y11" s="33"/>
      <c r="Z11" s="32"/>
      <c r="AA11" s="111">
        <f>SUM(AA12:AA18)</f>
        <v>204368</v>
      </c>
      <c r="AB11" s="33"/>
      <c r="AC11" s="32"/>
      <c r="AD11" s="108">
        <f>SUM(AD12:AD18)</f>
        <v>231312</v>
      </c>
      <c r="AE11" s="23"/>
      <c r="AF11" s="22"/>
      <c r="AG11" s="108">
        <v>198560</v>
      </c>
      <c r="AH11" s="31"/>
      <c r="AI11" s="22"/>
      <c r="AJ11" s="108">
        <f>SUM(AJ12:AJ18)</f>
        <v>311880</v>
      </c>
      <c r="AK11" s="23"/>
      <c r="AL11" s="22"/>
      <c r="AM11" s="108">
        <f>SUM(AM12:AM18)</f>
        <v>187040</v>
      </c>
      <c r="AN11" s="29"/>
      <c r="AO11" s="28"/>
      <c r="AP11" s="142">
        <f>SUM(AP12:AP18)</f>
        <v>301880</v>
      </c>
      <c r="AQ11" s="23"/>
      <c r="AR11" s="22"/>
      <c r="AS11" s="108">
        <f>SUM(AS12:AS18)</f>
        <v>875880</v>
      </c>
      <c r="AT11" s="23"/>
      <c r="AU11" s="22"/>
      <c r="AV11" s="108">
        <f>SUM(AV12:AV18)</f>
        <v>187624</v>
      </c>
      <c r="AW11" s="23"/>
      <c r="AX11" s="22"/>
      <c r="AY11" s="108">
        <f>SUM(AY12:AY18)</f>
        <v>460264</v>
      </c>
      <c r="AZ11" s="23"/>
      <c r="BA11" s="22"/>
      <c r="BB11" s="103">
        <f>SUM(BB12:BB18)</f>
        <v>525200</v>
      </c>
      <c r="BC11" s="102"/>
      <c r="BD11" s="44">
        <f>SUM(F11,I11,L11,O11,R11,U11,X11,AA11,AD11,AG11,AJ11,AM11,AP11,AS11,AV11,AY11,BB11)</f>
        <v>5387048</v>
      </c>
      <c r="BE11" s="247">
        <f t="shared" si="0"/>
        <v>0.24853785197296788</v>
      </c>
      <c r="BF11" t="e">
        <f>BD11=#REF!</f>
        <v>#REF!</v>
      </c>
    </row>
    <row r="12" spans="1:58" ht="15.75" outlineLevel="1">
      <c r="A12" s="141" t="s">
        <v>221</v>
      </c>
      <c r="B12" s="140" t="s">
        <v>220</v>
      </c>
      <c r="C12" s="91" t="s">
        <v>161</v>
      </c>
      <c r="D12" s="80">
        <v>18000</v>
      </c>
      <c r="E12" s="72">
        <v>1</v>
      </c>
      <c r="F12" s="137">
        <f t="shared" si="2"/>
        <v>18000</v>
      </c>
      <c r="G12" s="84">
        <v>18000</v>
      </c>
      <c r="H12" s="72">
        <v>1</v>
      </c>
      <c r="I12" s="136">
        <f>G12*H12</f>
        <v>18000</v>
      </c>
      <c r="J12" s="255">
        <v>18000</v>
      </c>
      <c r="K12" s="191">
        <v>1</v>
      </c>
      <c r="L12" s="190">
        <f t="shared" si="3"/>
        <v>18000</v>
      </c>
      <c r="M12" s="73">
        <v>15000</v>
      </c>
      <c r="N12" s="72">
        <v>1</v>
      </c>
      <c r="O12" s="137">
        <f t="shared" si="4"/>
        <v>15000</v>
      </c>
      <c r="P12" s="73">
        <v>12000</v>
      </c>
      <c r="Q12" s="72">
        <v>1</v>
      </c>
      <c r="R12" s="136">
        <f t="shared" si="5"/>
        <v>12000</v>
      </c>
      <c r="S12" s="114">
        <v>20000</v>
      </c>
      <c r="T12" s="113">
        <v>1</v>
      </c>
      <c r="U12" s="112">
        <f>S12*T12</f>
        <v>20000</v>
      </c>
      <c r="V12" s="210">
        <v>58000</v>
      </c>
      <c r="W12" s="47">
        <v>1</v>
      </c>
      <c r="X12" s="207">
        <f>V12*W12</f>
        <v>58000</v>
      </c>
      <c r="Y12" s="139">
        <v>12000</v>
      </c>
      <c r="Z12" s="83">
        <v>1</v>
      </c>
      <c r="AA12" s="162">
        <f>Y12*Z12</f>
        <v>12000</v>
      </c>
      <c r="AB12" s="192">
        <v>18000</v>
      </c>
      <c r="AC12" s="86">
        <v>1</v>
      </c>
      <c r="AD12" s="190">
        <f>AB12*AC12</f>
        <v>18000</v>
      </c>
      <c r="AE12" s="73">
        <v>18000</v>
      </c>
      <c r="AF12" s="72">
        <v>1</v>
      </c>
      <c r="AG12" s="119">
        <f t="shared" ref="AG12:AG18" si="12">AE12*AF12</f>
        <v>18000</v>
      </c>
      <c r="AH12" s="84">
        <v>12000</v>
      </c>
      <c r="AI12" s="72">
        <v>1</v>
      </c>
      <c r="AJ12" s="137">
        <f t="shared" si="6"/>
        <v>12000</v>
      </c>
      <c r="AK12" s="73">
        <v>18000</v>
      </c>
      <c r="AL12" s="72">
        <v>1</v>
      </c>
      <c r="AM12" s="136">
        <f t="shared" si="7"/>
        <v>18000</v>
      </c>
      <c r="AN12" s="517">
        <v>20000</v>
      </c>
      <c r="AO12" s="261">
        <v>1</v>
      </c>
      <c r="AP12" s="518">
        <f>AN12*AO12</f>
        <v>20000</v>
      </c>
      <c r="AQ12" s="84">
        <v>30000</v>
      </c>
      <c r="AR12" s="72">
        <v>1</v>
      </c>
      <c r="AS12" s="137">
        <f t="shared" si="8"/>
        <v>30000</v>
      </c>
      <c r="AT12" s="73">
        <v>18000</v>
      </c>
      <c r="AU12" s="72">
        <v>1</v>
      </c>
      <c r="AV12" s="137">
        <f t="shared" si="9"/>
        <v>18000</v>
      </c>
      <c r="AW12" s="73">
        <v>20000</v>
      </c>
      <c r="AX12" s="72">
        <v>1</v>
      </c>
      <c r="AY12" s="137">
        <f t="shared" si="10"/>
        <v>20000</v>
      </c>
      <c r="AZ12" s="73">
        <v>42000</v>
      </c>
      <c r="BA12" s="72">
        <v>1</v>
      </c>
      <c r="BB12" s="136">
        <f t="shared" si="11"/>
        <v>42000</v>
      </c>
      <c r="BC12" s="135">
        <f t="shared" si="1"/>
        <v>17</v>
      </c>
      <c r="BD12" s="134">
        <f t="shared" si="1"/>
        <v>367000</v>
      </c>
      <c r="BE12" s="244">
        <f t="shared" si="0"/>
        <v>1.6931980497311185E-2</v>
      </c>
    </row>
    <row r="13" spans="1:58" ht="15.75" outlineLevel="1">
      <c r="A13" s="159" t="s">
        <v>219</v>
      </c>
      <c r="B13" s="158" t="s">
        <v>218</v>
      </c>
      <c r="C13" s="157"/>
      <c r="D13" s="156"/>
      <c r="E13" s="150"/>
      <c r="F13" s="137">
        <f t="shared" si="2"/>
        <v>0</v>
      </c>
      <c r="G13" s="121"/>
      <c r="H13" s="150"/>
      <c r="I13" s="149"/>
      <c r="J13" s="151"/>
      <c r="K13" s="150"/>
      <c r="L13" s="119"/>
      <c r="M13" s="151"/>
      <c r="N13" s="150"/>
      <c r="O13" s="119"/>
      <c r="P13" s="151"/>
      <c r="Q13" s="150"/>
      <c r="R13" s="149"/>
      <c r="S13" s="114"/>
      <c r="T13" s="113"/>
      <c r="U13" s="112"/>
      <c r="V13" s="254"/>
      <c r="W13" s="150"/>
      <c r="X13" s="149"/>
      <c r="Y13" s="229"/>
      <c r="Z13" s="228"/>
      <c r="AA13" s="230"/>
      <c r="AB13" s="253"/>
      <c r="AC13" s="228"/>
      <c r="AD13" s="227"/>
      <c r="AE13" s="151"/>
      <c r="AF13" s="150"/>
      <c r="AG13" s="119">
        <f t="shared" si="12"/>
        <v>0</v>
      </c>
      <c r="AH13" s="121"/>
      <c r="AI13" s="150"/>
      <c r="AJ13" s="119"/>
      <c r="AK13" s="151"/>
      <c r="AL13" s="150"/>
      <c r="AM13" s="149"/>
      <c r="AN13" s="519"/>
      <c r="AO13" s="78"/>
      <c r="AP13" s="107"/>
      <c r="AQ13" s="121"/>
      <c r="AR13" s="150"/>
      <c r="AS13" s="119"/>
      <c r="AT13" s="151"/>
      <c r="AU13" s="150"/>
      <c r="AV13" s="119"/>
      <c r="AW13" s="151"/>
      <c r="AX13" s="150"/>
      <c r="AY13" s="119"/>
      <c r="AZ13" s="151"/>
      <c r="BA13" s="150"/>
      <c r="BB13" s="149"/>
      <c r="BC13" s="148"/>
      <c r="BD13" s="147"/>
      <c r="BE13" s="244"/>
    </row>
    <row r="14" spans="1:58" ht="15.75" outlineLevel="1">
      <c r="A14" s="159" t="s">
        <v>217</v>
      </c>
      <c r="B14" s="158" t="s">
        <v>216</v>
      </c>
      <c r="C14" s="157" t="s">
        <v>165</v>
      </c>
      <c r="D14" s="156">
        <v>240</v>
      </c>
      <c r="E14" s="150">
        <v>486</v>
      </c>
      <c r="F14" s="137">
        <f t="shared" si="2"/>
        <v>116640</v>
      </c>
      <c r="G14" s="121"/>
      <c r="H14" s="150"/>
      <c r="I14" s="149"/>
      <c r="J14" s="151">
        <v>240</v>
      </c>
      <c r="K14" s="150">
        <v>486</v>
      </c>
      <c r="L14" s="119">
        <f t="shared" si="3"/>
        <v>116640</v>
      </c>
      <c r="M14" s="151"/>
      <c r="N14" s="150"/>
      <c r="O14" s="119"/>
      <c r="P14" s="151">
        <v>240</v>
      </c>
      <c r="Q14" s="150">
        <v>972</v>
      </c>
      <c r="R14" s="149">
        <f t="shared" si="5"/>
        <v>233280</v>
      </c>
      <c r="S14" s="114"/>
      <c r="T14" s="113"/>
      <c r="U14" s="112"/>
      <c r="V14" s="254"/>
      <c r="W14" s="150"/>
      <c r="X14" s="149"/>
      <c r="Y14" s="229"/>
      <c r="Z14" s="228"/>
      <c r="AA14" s="230"/>
      <c r="AB14" s="253"/>
      <c r="AC14" s="228"/>
      <c r="AD14" s="227"/>
      <c r="AE14" s="151"/>
      <c r="AF14" s="150"/>
      <c r="AG14" s="119">
        <f t="shared" si="12"/>
        <v>0</v>
      </c>
      <c r="AH14" s="121">
        <v>240</v>
      </c>
      <c r="AI14" s="150">
        <v>972</v>
      </c>
      <c r="AJ14" s="119">
        <f t="shared" si="6"/>
        <v>233280</v>
      </c>
      <c r="AK14" s="128"/>
      <c r="AL14" s="56"/>
      <c r="AM14" s="127"/>
      <c r="AN14" s="519"/>
      <c r="AO14" s="78"/>
      <c r="AP14" s="107"/>
      <c r="AQ14" s="121"/>
      <c r="AR14" s="150"/>
      <c r="AS14" s="119"/>
      <c r="AT14" s="151"/>
      <c r="AU14" s="150"/>
      <c r="AV14" s="119"/>
      <c r="AW14" s="151"/>
      <c r="AX14" s="150"/>
      <c r="AY14" s="119"/>
      <c r="AZ14" s="151"/>
      <c r="BA14" s="150"/>
      <c r="BB14" s="149"/>
      <c r="BC14" s="148">
        <f t="shared" si="1"/>
        <v>2916</v>
      </c>
      <c r="BD14" s="147">
        <f t="shared" si="1"/>
        <v>699840</v>
      </c>
      <c r="BE14" s="244">
        <f t="shared" si="0"/>
        <v>3.2287948858959831E-2</v>
      </c>
    </row>
    <row r="15" spans="1:58" ht="15.75" outlineLevel="1">
      <c r="A15" s="159" t="s">
        <v>215</v>
      </c>
      <c r="B15" s="158" t="s">
        <v>214</v>
      </c>
      <c r="C15" s="157" t="s">
        <v>165</v>
      </c>
      <c r="D15" s="156">
        <v>120</v>
      </c>
      <c r="E15" s="150">
        <v>486</v>
      </c>
      <c r="F15" s="119">
        <f>D15*E15</f>
        <v>58320</v>
      </c>
      <c r="G15" s="121">
        <v>120</v>
      </c>
      <c r="H15" s="150">
        <v>972</v>
      </c>
      <c r="I15" s="149">
        <f>G15*H15</f>
        <v>116640</v>
      </c>
      <c r="J15" s="151">
        <v>120</v>
      </c>
      <c r="K15" s="150">
        <v>486</v>
      </c>
      <c r="L15" s="119">
        <f>J15*K15</f>
        <v>58320</v>
      </c>
      <c r="M15" s="151">
        <v>120</v>
      </c>
      <c r="N15" s="150">
        <v>972</v>
      </c>
      <c r="O15" s="119">
        <f>M15*N15</f>
        <v>116640</v>
      </c>
      <c r="P15" s="151"/>
      <c r="Q15" s="150"/>
      <c r="R15" s="149"/>
      <c r="S15" s="114">
        <v>120</v>
      </c>
      <c r="T15" s="113">
        <v>486</v>
      </c>
      <c r="U15" s="112">
        <f>S15*T15</f>
        <v>58320</v>
      </c>
      <c r="V15" s="84">
        <v>120</v>
      </c>
      <c r="W15" s="72">
        <v>486</v>
      </c>
      <c r="X15" s="136">
        <f>V15*W15</f>
        <v>58320</v>
      </c>
      <c r="Y15" s="155">
        <v>144</v>
      </c>
      <c r="Z15" s="120">
        <v>972</v>
      </c>
      <c r="AA15" s="154">
        <f>Y15*Z15</f>
        <v>139968</v>
      </c>
      <c r="AB15" s="156">
        <v>144</v>
      </c>
      <c r="AC15" s="120">
        <v>948</v>
      </c>
      <c r="AD15" s="119">
        <f>AB15*AC15</f>
        <v>136512</v>
      </c>
      <c r="AE15" s="119">
        <v>120</v>
      </c>
      <c r="AF15" s="119">
        <v>948</v>
      </c>
      <c r="AG15" s="119">
        <f>AE15*AF15</f>
        <v>113760</v>
      </c>
      <c r="AH15" s="121"/>
      <c r="AI15" s="150"/>
      <c r="AJ15" s="119"/>
      <c r="AK15" s="151">
        <v>120</v>
      </c>
      <c r="AL15" s="150">
        <v>972</v>
      </c>
      <c r="AM15" s="149">
        <f>AK15*AL15</f>
        <v>116640</v>
      </c>
      <c r="AN15" s="241">
        <v>144</v>
      </c>
      <c r="AO15" s="78">
        <v>486</v>
      </c>
      <c r="AP15" s="107">
        <f>AN15*AO15</f>
        <v>69984</v>
      </c>
      <c r="AQ15" s="121">
        <v>120</v>
      </c>
      <c r="AR15" s="150">
        <v>1494</v>
      </c>
      <c r="AS15" s="119">
        <f t="shared" si="8"/>
        <v>179280</v>
      </c>
      <c r="AT15" s="151"/>
      <c r="AU15" s="150"/>
      <c r="AV15" s="119"/>
      <c r="AW15" s="151">
        <v>120</v>
      </c>
      <c r="AX15" s="150">
        <v>642</v>
      </c>
      <c r="AY15" s="119">
        <f t="shared" si="10"/>
        <v>77040</v>
      </c>
      <c r="AZ15" s="151">
        <v>120</v>
      </c>
      <c r="BA15" s="150">
        <v>690</v>
      </c>
      <c r="BB15" s="149">
        <f t="shared" si="11"/>
        <v>82800</v>
      </c>
      <c r="BC15" s="148">
        <f t="shared" si="1"/>
        <v>11040</v>
      </c>
      <c r="BD15" s="147">
        <f t="shared" si="1"/>
        <v>1382544</v>
      </c>
      <c r="BE15" s="244">
        <f t="shared" si="0"/>
        <v>6.3785308023636494E-2</v>
      </c>
    </row>
    <row r="16" spans="1:58" ht="15.75" outlineLevel="1">
      <c r="A16" s="159" t="s">
        <v>213</v>
      </c>
      <c r="B16" s="158" t="s">
        <v>212</v>
      </c>
      <c r="C16" s="157" t="s">
        <v>165</v>
      </c>
      <c r="D16" s="156">
        <v>165</v>
      </c>
      <c r="E16" s="150"/>
      <c r="F16" s="119"/>
      <c r="G16" s="121"/>
      <c r="H16" s="150"/>
      <c r="I16" s="149"/>
      <c r="J16" s="151"/>
      <c r="K16" s="150"/>
      <c r="L16" s="119"/>
      <c r="M16" s="151"/>
      <c r="N16" s="150"/>
      <c r="O16" s="119"/>
      <c r="P16" s="151"/>
      <c r="Q16" s="150"/>
      <c r="R16" s="149"/>
      <c r="S16" s="114">
        <v>240</v>
      </c>
      <c r="T16" s="113">
        <v>714</v>
      </c>
      <c r="U16" s="112">
        <f>S16*T16</f>
        <v>171360</v>
      </c>
      <c r="V16" s="121">
        <v>240</v>
      </c>
      <c r="W16" s="150">
        <v>584</v>
      </c>
      <c r="X16" s="149">
        <f>V16*W16</f>
        <v>140160</v>
      </c>
      <c r="Y16" s="229"/>
      <c r="Z16" s="228"/>
      <c r="AA16" s="230"/>
      <c r="AB16" s="253"/>
      <c r="AC16" s="228"/>
      <c r="AD16" s="227"/>
      <c r="AE16" s="151"/>
      <c r="AF16" s="150"/>
      <c r="AG16" s="119">
        <f t="shared" si="12"/>
        <v>0</v>
      </c>
      <c r="AH16" s="121"/>
      <c r="AI16" s="150"/>
      <c r="AJ16" s="119"/>
      <c r="AK16" s="73"/>
      <c r="AL16" s="72"/>
      <c r="AM16" s="136"/>
      <c r="AN16" s="241">
        <v>244</v>
      </c>
      <c r="AO16" s="78">
        <v>584</v>
      </c>
      <c r="AP16" s="107">
        <f>AN16*AO16</f>
        <v>142496</v>
      </c>
      <c r="AQ16" s="121">
        <v>188</v>
      </c>
      <c r="AR16" s="150">
        <v>3150</v>
      </c>
      <c r="AS16" s="119">
        <f t="shared" si="8"/>
        <v>592200</v>
      </c>
      <c r="AT16" s="151">
        <v>188</v>
      </c>
      <c r="AU16" s="150">
        <v>698</v>
      </c>
      <c r="AV16" s="119">
        <f>AT16*AU16</f>
        <v>131224</v>
      </c>
      <c r="AW16" s="151">
        <v>188</v>
      </c>
      <c r="AX16" s="150">
        <v>1498</v>
      </c>
      <c r="AY16" s="119">
        <f t="shared" si="10"/>
        <v>281624</v>
      </c>
      <c r="AZ16" s="151">
        <v>240</v>
      </c>
      <c r="BA16" s="150">
        <v>1290</v>
      </c>
      <c r="BB16" s="149">
        <f t="shared" si="11"/>
        <v>309600</v>
      </c>
      <c r="BC16" s="148">
        <f t="shared" si="1"/>
        <v>8518</v>
      </c>
      <c r="BD16" s="147">
        <f t="shared" si="1"/>
        <v>1768664</v>
      </c>
      <c r="BE16" s="244">
        <f t="shared" si="0"/>
        <v>8.1599412409526936E-2</v>
      </c>
    </row>
    <row r="17" spans="1:112" ht="15.75" outlineLevel="1">
      <c r="A17" s="159" t="s">
        <v>211</v>
      </c>
      <c r="B17" s="186" t="s">
        <v>210</v>
      </c>
      <c r="C17" s="157" t="s">
        <v>161</v>
      </c>
      <c r="D17" s="153">
        <v>12200</v>
      </c>
      <c r="E17" s="150">
        <v>4</v>
      </c>
      <c r="F17" s="119">
        <f>D17*E17</f>
        <v>48800</v>
      </c>
      <c r="G17" s="251">
        <v>12200</v>
      </c>
      <c r="H17" s="250">
        <v>4</v>
      </c>
      <c r="I17" s="149">
        <f>G17*H17</f>
        <v>48800</v>
      </c>
      <c r="J17" s="252">
        <v>12200</v>
      </c>
      <c r="K17" s="250">
        <v>4</v>
      </c>
      <c r="L17" s="119">
        <f t="shared" si="3"/>
        <v>48800</v>
      </c>
      <c r="M17" s="151">
        <v>4</v>
      </c>
      <c r="N17" s="150">
        <v>12200</v>
      </c>
      <c r="O17" s="119">
        <f t="shared" si="4"/>
        <v>48800</v>
      </c>
      <c r="P17" s="252">
        <v>12200</v>
      </c>
      <c r="Q17" s="250">
        <v>2</v>
      </c>
      <c r="R17" s="149">
        <f t="shared" si="5"/>
        <v>24400</v>
      </c>
      <c r="S17" s="114">
        <v>12200</v>
      </c>
      <c r="T17" s="113">
        <v>2</v>
      </c>
      <c r="U17" s="112">
        <f>S17*T17</f>
        <v>24400</v>
      </c>
      <c r="V17" s="251">
        <v>12200</v>
      </c>
      <c r="W17" s="250">
        <v>2</v>
      </c>
      <c r="X17" s="149">
        <f>V17*W17</f>
        <v>24400</v>
      </c>
      <c r="Y17" s="155">
        <v>12200</v>
      </c>
      <c r="Z17" s="120">
        <v>2</v>
      </c>
      <c r="AA17" s="154">
        <f>Y17*Z17</f>
        <v>24400</v>
      </c>
      <c r="AB17" s="156">
        <v>12200</v>
      </c>
      <c r="AC17" s="120">
        <v>4</v>
      </c>
      <c r="AD17" s="119">
        <f>AB17*AC17</f>
        <v>48800</v>
      </c>
      <c r="AE17" s="151">
        <v>4</v>
      </c>
      <c r="AF17" s="150">
        <v>9200</v>
      </c>
      <c r="AG17" s="119">
        <f t="shared" si="12"/>
        <v>36800</v>
      </c>
      <c r="AH17" s="251">
        <v>12200</v>
      </c>
      <c r="AI17" s="250">
        <v>3</v>
      </c>
      <c r="AJ17" s="119">
        <f t="shared" si="6"/>
        <v>36600</v>
      </c>
      <c r="AK17" s="151">
        <v>12200</v>
      </c>
      <c r="AL17" s="150">
        <v>2</v>
      </c>
      <c r="AM17" s="149">
        <f>AK17*AL17</f>
        <v>24400</v>
      </c>
      <c r="AN17" s="241">
        <v>12200</v>
      </c>
      <c r="AO17" s="78">
        <v>2</v>
      </c>
      <c r="AP17" s="107">
        <f>AN17*AO17</f>
        <v>24400</v>
      </c>
      <c r="AQ17" s="121">
        <v>12200</v>
      </c>
      <c r="AR17" s="150">
        <v>2</v>
      </c>
      <c r="AS17" s="119">
        <f t="shared" si="8"/>
        <v>24400</v>
      </c>
      <c r="AT17" s="151">
        <v>12200</v>
      </c>
      <c r="AU17" s="150">
        <v>2</v>
      </c>
      <c r="AV17" s="119">
        <f t="shared" si="9"/>
        <v>24400</v>
      </c>
      <c r="AW17" s="151">
        <v>12200</v>
      </c>
      <c r="AX17" s="150">
        <v>3</v>
      </c>
      <c r="AY17" s="119">
        <f t="shared" si="10"/>
        <v>36600</v>
      </c>
      <c r="AZ17" s="151">
        <v>4</v>
      </c>
      <c r="BA17" s="150">
        <v>9200</v>
      </c>
      <c r="BB17" s="149">
        <f t="shared" si="11"/>
        <v>36800</v>
      </c>
      <c r="BC17" s="148">
        <f t="shared" si="1"/>
        <v>30638</v>
      </c>
      <c r="BD17" s="147">
        <f t="shared" si="1"/>
        <v>586000</v>
      </c>
      <c r="BE17" s="244">
        <f t="shared" si="0"/>
        <v>2.7035805371728484E-2</v>
      </c>
    </row>
    <row r="18" spans="1:112" ht="30.75" outlineLevel="1" thickBot="1">
      <c r="A18" s="144" t="s">
        <v>209</v>
      </c>
      <c r="B18" s="178" t="s">
        <v>208</v>
      </c>
      <c r="C18" s="68" t="s">
        <v>161</v>
      </c>
      <c r="D18" s="57">
        <v>28000</v>
      </c>
      <c r="E18" s="56">
        <v>1</v>
      </c>
      <c r="F18" s="110">
        <f t="shared" si="2"/>
        <v>28000</v>
      </c>
      <c r="G18" s="61">
        <v>28000</v>
      </c>
      <c r="H18" s="56">
        <v>1</v>
      </c>
      <c r="I18" s="127">
        <f>G18*H18</f>
        <v>28000</v>
      </c>
      <c r="J18" s="212">
        <v>32000</v>
      </c>
      <c r="K18" s="249">
        <v>1</v>
      </c>
      <c r="L18" s="211">
        <f t="shared" si="3"/>
        <v>32000</v>
      </c>
      <c r="M18" s="128">
        <v>28000</v>
      </c>
      <c r="N18" s="56">
        <v>1</v>
      </c>
      <c r="O18" s="110">
        <f t="shared" si="4"/>
        <v>28000</v>
      </c>
      <c r="P18" s="128">
        <v>28000</v>
      </c>
      <c r="Q18" s="56">
        <v>1</v>
      </c>
      <c r="R18" s="127">
        <f t="shared" si="5"/>
        <v>28000</v>
      </c>
      <c r="S18" s="114">
        <v>55000</v>
      </c>
      <c r="T18" s="113">
        <v>1</v>
      </c>
      <c r="U18" s="112">
        <f>S18*T18</f>
        <v>55000</v>
      </c>
      <c r="V18" s="61">
        <v>32000</v>
      </c>
      <c r="W18" s="56">
        <v>1</v>
      </c>
      <c r="X18" s="127">
        <f>V18*W18</f>
        <v>32000</v>
      </c>
      <c r="Y18" s="130">
        <v>28000</v>
      </c>
      <c r="Z18" s="60">
        <v>1</v>
      </c>
      <c r="AA18" s="146">
        <f>Y18*Z18</f>
        <v>28000</v>
      </c>
      <c r="AB18" s="171">
        <v>28000</v>
      </c>
      <c r="AC18" s="63">
        <v>1</v>
      </c>
      <c r="AD18" s="211">
        <f>AB18*AC18</f>
        <v>28000</v>
      </c>
      <c r="AE18" s="128">
        <v>30000</v>
      </c>
      <c r="AF18" s="56">
        <v>1</v>
      </c>
      <c r="AG18" s="119">
        <f t="shared" si="12"/>
        <v>30000</v>
      </c>
      <c r="AH18" s="61">
        <v>30000</v>
      </c>
      <c r="AI18" s="56">
        <v>1</v>
      </c>
      <c r="AJ18" s="110">
        <f t="shared" si="6"/>
        <v>30000</v>
      </c>
      <c r="AK18" s="128">
        <v>28000</v>
      </c>
      <c r="AL18" s="56">
        <v>1</v>
      </c>
      <c r="AM18" s="127">
        <f t="shared" si="7"/>
        <v>28000</v>
      </c>
      <c r="AN18" s="520">
        <v>45000</v>
      </c>
      <c r="AO18" s="521">
        <v>1</v>
      </c>
      <c r="AP18" s="522">
        <f>AN18*AO18</f>
        <v>45000</v>
      </c>
      <c r="AQ18" s="61">
        <v>50000</v>
      </c>
      <c r="AR18" s="56">
        <v>1</v>
      </c>
      <c r="AS18" s="110">
        <f t="shared" si="8"/>
        <v>50000</v>
      </c>
      <c r="AT18" s="128">
        <v>14000</v>
      </c>
      <c r="AU18" s="56">
        <v>1</v>
      </c>
      <c r="AV18" s="110">
        <f t="shared" si="9"/>
        <v>14000</v>
      </c>
      <c r="AW18" s="128">
        <v>45000</v>
      </c>
      <c r="AX18" s="56">
        <v>1</v>
      </c>
      <c r="AY18" s="110">
        <f t="shared" si="10"/>
        <v>45000</v>
      </c>
      <c r="AZ18" s="128">
        <v>54000</v>
      </c>
      <c r="BA18" s="56">
        <v>1</v>
      </c>
      <c r="BB18" s="127">
        <f t="shared" si="11"/>
        <v>54000</v>
      </c>
      <c r="BC18" s="126">
        <f t="shared" si="1"/>
        <v>17</v>
      </c>
      <c r="BD18" s="125">
        <f t="shared" si="1"/>
        <v>583000</v>
      </c>
      <c r="BE18" s="248">
        <f t="shared" si="0"/>
        <v>2.6897396811804957E-2</v>
      </c>
    </row>
    <row r="19" spans="1:112" ht="32.25" thickBot="1">
      <c r="A19" s="116" t="s">
        <v>19</v>
      </c>
      <c r="B19" s="115" t="s">
        <v>207</v>
      </c>
      <c r="C19" s="99"/>
      <c r="D19" s="23"/>
      <c r="E19" s="22"/>
      <c r="F19" s="108">
        <f>SUM(F20:F28)</f>
        <v>85144</v>
      </c>
      <c r="G19" s="23"/>
      <c r="H19" s="22"/>
      <c r="I19" s="108">
        <f>SUM(I20:I28)</f>
        <v>81064</v>
      </c>
      <c r="J19" s="23"/>
      <c r="K19" s="22"/>
      <c r="L19" s="108">
        <f>SUM(L20:L28)</f>
        <v>67704</v>
      </c>
      <c r="M19" s="23"/>
      <c r="N19" s="22"/>
      <c r="O19" s="108">
        <f>SUM(O20:O28)</f>
        <v>89208</v>
      </c>
      <c r="P19" s="23"/>
      <c r="Q19" s="22"/>
      <c r="R19" s="103">
        <f>SUM(R20:R28)</f>
        <v>84504</v>
      </c>
      <c r="S19" s="39"/>
      <c r="T19" s="38"/>
      <c r="U19" s="143">
        <f>SUM(U20:U28)</f>
        <v>84716</v>
      </c>
      <c r="V19" s="31"/>
      <c r="W19" s="22"/>
      <c r="X19" s="103">
        <f>SUM(X20:X28)</f>
        <v>59504</v>
      </c>
      <c r="Y19" s="33"/>
      <c r="Z19" s="32"/>
      <c r="AA19" s="111">
        <f>SUM(AA20:AA28)</f>
        <v>52816</v>
      </c>
      <c r="AB19" s="36"/>
      <c r="AC19" s="35"/>
      <c r="AD19" s="145">
        <f>SUM(AD20:AD28)</f>
        <v>64160</v>
      </c>
      <c r="AE19" s="23"/>
      <c r="AF19" s="22"/>
      <c r="AG19" s="145">
        <f>SUM(AG20:AG28)</f>
        <v>139024</v>
      </c>
      <c r="AH19" s="31"/>
      <c r="AI19" s="22"/>
      <c r="AJ19" s="108">
        <f>SUM(AJ20:AJ28)</f>
        <v>97060</v>
      </c>
      <c r="AK19" s="23"/>
      <c r="AL19" s="22"/>
      <c r="AM19" s="108">
        <f>SUM(AM20:AM28)</f>
        <v>55524</v>
      </c>
      <c r="AN19" s="29"/>
      <c r="AO19" s="28"/>
      <c r="AP19" s="142">
        <f>SUM(AP20:AP28)</f>
        <v>100748</v>
      </c>
      <c r="AQ19" s="23"/>
      <c r="AR19" s="22"/>
      <c r="AS19" s="108">
        <f>SUM(AS20:AS28)</f>
        <v>42560</v>
      </c>
      <c r="AT19" s="23"/>
      <c r="AU19" s="22"/>
      <c r="AV19" s="103">
        <f>SUM(AV20:AV28)</f>
        <v>44444</v>
      </c>
      <c r="AW19" s="23"/>
      <c r="AX19" s="22"/>
      <c r="AY19" s="103">
        <f>SUM(AY20:AY28)</f>
        <v>70528</v>
      </c>
      <c r="AZ19" s="23"/>
      <c r="BA19" s="22"/>
      <c r="BB19" s="103">
        <f>SUM(BB20:BB28)</f>
        <v>1882728</v>
      </c>
      <c r="BC19" s="102"/>
      <c r="BD19" s="44">
        <f>SUM(F19,I19,L19,O19,R19,U19,X19,AA19,AD19,AG19,AJ19,AM19,AP19,AS19,AV19,AY19,BB19)</f>
        <v>3101436</v>
      </c>
      <c r="BE19" s="247">
        <f t="shared" si="0"/>
        <v>0.14308843015165887</v>
      </c>
    </row>
    <row r="20" spans="1:112" ht="16.5" outlineLevel="1" thickBot="1">
      <c r="A20" s="141" t="s">
        <v>206</v>
      </c>
      <c r="B20" s="140" t="s">
        <v>205</v>
      </c>
      <c r="C20" s="91" t="s">
        <v>161</v>
      </c>
      <c r="D20" s="80">
        <v>6200</v>
      </c>
      <c r="E20" s="72">
        <v>4</v>
      </c>
      <c r="F20" s="137">
        <f t="shared" si="2"/>
        <v>24800</v>
      </c>
      <c r="G20" s="82">
        <v>4900</v>
      </c>
      <c r="H20" s="75">
        <v>4</v>
      </c>
      <c r="I20" s="136">
        <f>G20*H20</f>
        <v>19600</v>
      </c>
      <c r="J20" s="245">
        <v>6200</v>
      </c>
      <c r="K20" s="246">
        <v>4</v>
      </c>
      <c r="L20" s="190">
        <f t="shared" si="3"/>
        <v>24800</v>
      </c>
      <c r="M20" s="73">
        <v>4</v>
      </c>
      <c r="N20" s="72">
        <v>6200</v>
      </c>
      <c r="O20" s="137">
        <f t="shared" si="4"/>
        <v>24800</v>
      </c>
      <c r="P20" s="73">
        <v>6200</v>
      </c>
      <c r="Q20" s="72">
        <v>2</v>
      </c>
      <c r="R20" s="136">
        <f t="shared" si="5"/>
        <v>12400</v>
      </c>
      <c r="S20" s="114">
        <v>6200</v>
      </c>
      <c r="T20" s="113">
        <v>4</v>
      </c>
      <c r="U20" s="112">
        <f>S20*T20</f>
        <v>24800</v>
      </c>
      <c r="V20" s="82">
        <v>6200</v>
      </c>
      <c r="W20" s="75">
        <v>4</v>
      </c>
      <c r="X20" s="136">
        <f>V20*W20</f>
        <v>24800</v>
      </c>
      <c r="Y20" s="139">
        <v>6200</v>
      </c>
      <c r="Z20" s="83">
        <v>3</v>
      </c>
      <c r="AA20" s="162">
        <f>Y20*Z20</f>
        <v>18600</v>
      </c>
      <c r="AB20" s="245">
        <v>6200</v>
      </c>
      <c r="AC20" s="160">
        <v>4</v>
      </c>
      <c r="AD20" s="190">
        <f>AB20*AC20</f>
        <v>24800</v>
      </c>
      <c r="AE20" s="523">
        <v>4900</v>
      </c>
      <c r="AF20" s="524">
        <v>14</v>
      </c>
      <c r="AG20" s="190">
        <f t="shared" ref="AG20:AG27" si="13">AE20*AF20</f>
        <v>68600</v>
      </c>
      <c r="AH20" s="84">
        <v>6200</v>
      </c>
      <c r="AI20" s="72">
        <v>3</v>
      </c>
      <c r="AJ20" s="137">
        <f t="shared" si="6"/>
        <v>18600</v>
      </c>
      <c r="AK20" s="73">
        <v>6200</v>
      </c>
      <c r="AL20" s="72">
        <v>2</v>
      </c>
      <c r="AM20" s="137">
        <f t="shared" si="7"/>
        <v>12400</v>
      </c>
      <c r="AN20" s="79">
        <v>6200</v>
      </c>
      <c r="AO20" s="78">
        <v>8</v>
      </c>
      <c r="AP20" s="107">
        <f>AN20*AO20</f>
        <v>49600</v>
      </c>
      <c r="AQ20" s="76">
        <v>6200</v>
      </c>
      <c r="AR20" s="75">
        <v>2</v>
      </c>
      <c r="AS20" s="137">
        <f t="shared" si="8"/>
        <v>12400</v>
      </c>
      <c r="AT20" s="73">
        <v>4900</v>
      </c>
      <c r="AU20" s="72">
        <v>2</v>
      </c>
      <c r="AV20" s="137">
        <f t="shared" si="9"/>
        <v>9800</v>
      </c>
      <c r="AW20" s="73">
        <v>6200</v>
      </c>
      <c r="AX20" s="72">
        <v>4</v>
      </c>
      <c r="AY20" s="137">
        <f t="shared" si="10"/>
        <v>24800</v>
      </c>
      <c r="AZ20" s="73">
        <v>2</v>
      </c>
      <c r="BA20" s="72">
        <v>4900</v>
      </c>
      <c r="BB20" s="136">
        <f t="shared" si="11"/>
        <v>9800</v>
      </c>
      <c r="BC20" s="135">
        <f t="shared" si="1"/>
        <v>11164</v>
      </c>
      <c r="BD20" s="44">
        <f>SUM(F20,I20,L20,O20,R20,U20,X20,AA20,AD20,AG20,AJ20,AM20,AP20,AS20,AV20,AY20,BB20)</f>
        <v>405400</v>
      </c>
      <c r="BE20" s="244">
        <f t="shared" si="0"/>
        <v>1.8703610064332299E-2</v>
      </c>
    </row>
    <row r="21" spans="1:112" ht="16.5" outlineLevel="1" thickBot="1">
      <c r="A21" s="159" t="s">
        <v>204</v>
      </c>
      <c r="B21" s="158" t="s">
        <v>203</v>
      </c>
      <c r="C21" s="157" t="s">
        <v>196</v>
      </c>
      <c r="D21" s="156">
        <v>62</v>
      </c>
      <c r="E21" s="150">
        <v>280</v>
      </c>
      <c r="F21" s="119">
        <f t="shared" si="2"/>
        <v>17360</v>
      </c>
      <c r="G21" s="121">
        <v>62</v>
      </c>
      <c r="H21" s="150">
        <v>280</v>
      </c>
      <c r="I21" s="149">
        <f>G21*H21</f>
        <v>17360</v>
      </c>
      <c r="J21" s="151">
        <v>62</v>
      </c>
      <c r="K21" s="150">
        <v>220</v>
      </c>
      <c r="L21" s="119">
        <f t="shared" si="3"/>
        <v>13640</v>
      </c>
      <c r="M21" s="151">
        <v>62</v>
      </c>
      <c r="N21" s="150">
        <v>280</v>
      </c>
      <c r="O21" s="119">
        <f t="shared" si="4"/>
        <v>17360</v>
      </c>
      <c r="P21" s="151">
        <v>62</v>
      </c>
      <c r="Q21" s="150">
        <v>540</v>
      </c>
      <c r="R21" s="149">
        <f t="shared" si="5"/>
        <v>33480</v>
      </c>
      <c r="S21" s="114">
        <v>62</v>
      </c>
      <c r="T21" s="113">
        <v>66</v>
      </c>
      <c r="U21" s="112">
        <f>S21*T21</f>
        <v>4092</v>
      </c>
      <c r="V21" s="121">
        <v>62</v>
      </c>
      <c r="W21" s="150">
        <v>160</v>
      </c>
      <c r="X21" s="149">
        <f>V21*W21</f>
        <v>9920</v>
      </c>
      <c r="Y21" s="155">
        <v>62</v>
      </c>
      <c r="Z21" s="120">
        <v>120</v>
      </c>
      <c r="AA21" s="154">
        <f>Y21*Z21</f>
        <v>7440</v>
      </c>
      <c r="AB21" s="128">
        <v>62</v>
      </c>
      <c r="AC21" s="60">
        <v>180</v>
      </c>
      <c r="AD21" s="110">
        <f>AB21*AC21</f>
        <v>11160</v>
      </c>
      <c r="AE21" s="151">
        <v>62</v>
      </c>
      <c r="AF21" s="239">
        <v>280</v>
      </c>
      <c r="AG21" s="119">
        <f t="shared" si="13"/>
        <v>17360</v>
      </c>
      <c r="AH21" s="121">
        <v>62</v>
      </c>
      <c r="AI21" s="150">
        <v>540</v>
      </c>
      <c r="AJ21" s="119">
        <f t="shared" si="6"/>
        <v>33480</v>
      </c>
      <c r="AK21" s="151">
        <v>62</v>
      </c>
      <c r="AL21" s="150">
        <v>280</v>
      </c>
      <c r="AM21" s="119">
        <f t="shared" si="7"/>
        <v>17360</v>
      </c>
      <c r="AN21" s="79">
        <v>62</v>
      </c>
      <c r="AO21" s="78">
        <v>96</v>
      </c>
      <c r="AP21" s="107">
        <f>AN21*AO21</f>
        <v>5952</v>
      </c>
      <c r="AQ21" s="151">
        <v>62</v>
      </c>
      <c r="AR21" s="150">
        <v>180</v>
      </c>
      <c r="AS21" s="119">
        <f t="shared" si="8"/>
        <v>11160</v>
      </c>
      <c r="AT21" s="151">
        <v>62</v>
      </c>
      <c r="AU21" s="150">
        <v>62</v>
      </c>
      <c r="AV21" s="119">
        <f t="shared" si="9"/>
        <v>3844</v>
      </c>
      <c r="AW21" s="151">
        <v>62</v>
      </c>
      <c r="AX21" s="150">
        <v>42</v>
      </c>
      <c r="AY21" s="119">
        <f t="shared" si="10"/>
        <v>2604</v>
      </c>
      <c r="AZ21" s="151">
        <v>62</v>
      </c>
      <c r="BA21" s="150">
        <v>320</v>
      </c>
      <c r="BB21" s="149">
        <f t="shared" si="11"/>
        <v>19840</v>
      </c>
      <c r="BC21" s="148">
        <f t="shared" si="1"/>
        <v>3926</v>
      </c>
      <c r="BD21" s="44">
        <f t="shared" ref="BD21:BD27" si="14">SUM(F21,I21,L21,O21,R21,U21,X21,AA21,AD21,AG21,AJ21,AM21,AP21,AS21,AV21,AY21,BB21)</f>
        <v>243412</v>
      </c>
      <c r="BE21" s="244">
        <f t="shared" si="0"/>
        <v>1.1230101462701661E-2</v>
      </c>
    </row>
    <row r="22" spans="1:112" ht="16.5" outlineLevel="1" thickBot="1">
      <c r="A22" s="159" t="s">
        <v>202</v>
      </c>
      <c r="B22" s="158" t="s">
        <v>201</v>
      </c>
      <c r="C22" s="157" t="s">
        <v>165</v>
      </c>
      <c r="D22" s="156">
        <v>28</v>
      </c>
      <c r="E22" s="150">
        <v>820</v>
      </c>
      <c r="F22" s="119">
        <f t="shared" si="2"/>
        <v>22960</v>
      </c>
      <c r="G22" s="121">
        <v>28</v>
      </c>
      <c r="H22" s="150">
        <v>820</v>
      </c>
      <c r="I22" s="149">
        <f>G22*H22</f>
        <v>22960</v>
      </c>
      <c r="J22" s="151">
        <v>28</v>
      </c>
      <c r="K22" s="150">
        <v>420</v>
      </c>
      <c r="L22" s="119">
        <f t="shared" si="3"/>
        <v>11760</v>
      </c>
      <c r="M22" s="151">
        <v>28</v>
      </c>
      <c r="N22" s="150">
        <v>860</v>
      </c>
      <c r="O22" s="119">
        <f t="shared" si="4"/>
        <v>24080</v>
      </c>
      <c r="P22" s="151">
        <v>28</v>
      </c>
      <c r="Q22" s="150">
        <v>560</v>
      </c>
      <c r="R22" s="149">
        <f t="shared" si="5"/>
        <v>15680</v>
      </c>
      <c r="S22" s="114">
        <v>28</v>
      </c>
      <c r="T22" s="113">
        <v>1288</v>
      </c>
      <c r="U22" s="112">
        <f>S22*T22</f>
        <v>36064</v>
      </c>
      <c r="V22" s="121">
        <v>28</v>
      </c>
      <c r="W22" s="150">
        <v>200</v>
      </c>
      <c r="X22" s="149">
        <f>V22*W22</f>
        <v>5600</v>
      </c>
      <c r="Y22" s="155">
        <v>28</v>
      </c>
      <c r="Z22" s="120">
        <v>180</v>
      </c>
      <c r="AA22" s="154">
        <f>Y22*Z22</f>
        <v>5040</v>
      </c>
      <c r="AB22" s="156">
        <v>28</v>
      </c>
      <c r="AC22" s="120">
        <v>220</v>
      </c>
      <c r="AD22" s="119">
        <f>AB22*AC22</f>
        <v>6160</v>
      </c>
      <c r="AE22" s="151">
        <v>28</v>
      </c>
      <c r="AF22" s="239">
        <v>1200</v>
      </c>
      <c r="AG22" s="119">
        <f t="shared" si="13"/>
        <v>33600</v>
      </c>
      <c r="AH22" s="121">
        <v>28</v>
      </c>
      <c r="AI22" s="150">
        <v>560</v>
      </c>
      <c r="AJ22" s="119">
        <f t="shared" si="6"/>
        <v>15680</v>
      </c>
      <c r="AK22" s="151">
        <v>28</v>
      </c>
      <c r="AL22" s="150">
        <v>460</v>
      </c>
      <c r="AM22" s="119">
        <f t="shared" si="7"/>
        <v>12880</v>
      </c>
      <c r="AN22" s="79">
        <v>28</v>
      </c>
      <c r="AO22" s="78">
        <v>675</v>
      </c>
      <c r="AP22" s="107">
        <f>AN22*AO22</f>
        <v>18900</v>
      </c>
      <c r="AQ22" s="151">
        <v>28</v>
      </c>
      <c r="AR22" s="150">
        <v>310</v>
      </c>
      <c r="AS22" s="119">
        <f t="shared" si="8"/>
        <v>8680</v>
      </c>
      <c r="AT22" s="151">
        <v>28</v>
      </c>
      <c r="AU22" s="150">
        <v>600</v>
      </c>
      <c r="AV22" s="119">
        <f t="shared" si="9"/>
        <v>16800</v>
      </c>
      <c r="AW22" s="151">
        <v>28</v>
      </c>
      <c r="AX22" s="150">
        <v>675</v>
      </c>
      <c r="AY22" s="119">
        <f t="shared" si="10"/>
        <v>18900</v>
      </c>
      <c r="AZ22" s="151">
        <v>28</v>
      </c>
      <c r="BA22" s="150">
        <v>240</v>
      </c>
      <c r="BB22" s="149">
        <f t="shared" si="11"/>
        <v>6720</v>
      </c>
      <c r="BC22" s="148">
        <f t="shared" si="1"/>
        <v>10088</v>
      </c>
      <c r="BD22" s="44">
        <f t="shared" si="14"/>
        <v>282464</v>
      </c>
      <c r="BE22" s="244">
        <f t="shared" si="0"/>
        <v>1.3031811823412823E-2</v>
      </c>
    </row>
    <row r="23" spans="1:112" ht="16.5" outlineLevel="1" thickBot="1">
      <c r="A23" s="159" t="s">
        <v>200</v>
      </c>
      <c r="B23" s="158" t="s">
        <v>199</v>
      </c>
      <c r="C23" s="157" t="s">
        <v>165</v>
      </c>
      <c r="D23" s="156">
        <v>140</v>
      </c>
      <c r="E23" s="150">
        <v>66</v>
      </c>
      <c r="F23" s="119">
        <f t="shared" si="2"/>
        <v>9240</v>
      </c>
      <c r="G23" s="121">
        <v>140</v>
      </c>
      <c r="H23" s="150">
        <v>66</v>
      </c>
      <c r="I23" s="149">
        <f>G23*H23</f>
        <v>9240</v>
      </c>
      <c r="J23" s="151">
        <v>140</v>
      </c>
      <c r="K23" s="150">
        <v>66</v>
      </c>
      <c r="L23" s="119">
        <f t="shared" si="3"/>
        <v>9240</v>
      </c>
      <c r="M23" s="151">
        <v>140</v>
      </c>
      <c r="N23" s="150">
        <v>66</v>
      </c>
      <c r="O23" s="119">
        <f t="shared" si="4"/>
        <v>9240</v>
      </c>
      <c r="P23" s="151">
        <v>140</v>
      </c>
      <c r="Q23" s="150">
        <v>34</v>
      </c>
      <c r="R23" s="149">
        <f t="shared" si="5"/>
        <v>4760</v>
      </c>
      <c r="S23" s="114">
        <v>180</v>
      </c>
      <c r="T23" s="113">
        <v>48</v>
      </c>
      <c r="U23" s="112">
        <f>S23*T23</f>
        <v>8640</v>
      </c>
      <c r="V23" s="121">
        <v>140</v>
      </c>
      <c r="W23" s="150">
        <v>66</v>
      </c>
      <c r="X23" s="149">
        <f>V23*W23</f>
        <v>9240</v>
      </c>
      <c r="Y23" s="155">
        <v>140</v>
      </c>
      <c r="Z23" s="120">
        <v>48</v>
      </c>
      <c r="AA23" s="154">
        <f>Y23*Z23</f>
        <v>6720</v>
      </c>
      <c r="AB23" s="76">
        <v>140</v>
      </c>
      <c r="AC23" s="243">
        <v>58</v>
      </c>
      <c r="AD23" s="137">
        <f>AB23*AC23</f>
        <v>8120</v>
      </c>
      <c r="AE23" s="151">
        <v>140</v>
      </c>
      <c r="AF23" s="239">
        <v>66</v>
      </c>
      <c r="AG23" s="119">
        <f t="shared" si="13"/>
        <v>9240</v>
      </c>
      <c r="AH23" s="121">
        <v>140</v>
      </c>
      <c r="AI23" s="150">
        <v>55</v>
      </c>
      <c r="AJ23" s="119">
        <f t="shared" si="6"/>
        <v>7700</v>
      </c>
      <c r="AK23" s="151">
        <v>140</v>
      </c>
      <c r="AL23" s="150">
        <v>55</v>
      </c>
      <c r="AM23" s="119">
        <f t="shared" si="7"/>
        <v>7700</v>
      </c>
      <c r="AN23" s="79">
        <v>140</v>
      </c>
      <c r="AO23" s="78">
        <v>122</v>
      </c>
      <c r="AP23" s="107">
        <f>AN23*AO23</f>
        <v>17080</v>
      </c>
      <c r="AQ23" s="151">
        <v>140</v>
      </c>
      <c r="AR23" s="150">
        <v>12</v>
      </c>
      <c r="AS23" s="119">
        <f t="shared" si="8"/>
        <v>1680</v>
      </c>
      <c r="AT23" s="151">
        <v>140</v>
      </c>
      <c r="AU23" s="150">
        <v>52</v>
      </c>
      <c r="AV23" s="119">
        <f t="shared" si="9"/>
        <v>7280</v>
      </c>
      <c r="AW23" s="151">
        <v>140</v>
      </c>
      <c r="AX23" s="150">
        <v>114</v>
      </c>
      <c r="AY23" s="119">
        <f t="shared" si="10"/>
        <v>15960</v>
      </c>
      <c r="AZ23" s="156"/>
      <c r="BA23" s="150"/>
      <c r="BB23" s="149">
        <f t="shared" si="11"/>
        <v>0</v>
      </c>
      <c r="BC23" s="148">
        <f t="shared" si="1"/>
        <v>994</v>
      </c>
      <c r="BD23" s="44">
        <f t="shared" si="14"/>
        <v>141080</v>
      </c>
      <c r="BE23" s="133">
        <f t="shared" si="0"/>
        <v>6.5088932113369531E-3</v>
      </c>
    </row>
    <row r="24" spans="1:112" ht="16.5" outlineLevel="1" thickBot="1">
      <c r="A24" s="159" t="s">
        <v>198</v>
      </c>
      <c r="B24" s="158" t="s">
        <v>197</v>
      </c>
      <c r="C24" s="157" t="s">
        <v>196</v>
      </c>
      <c r="D24" s="156">
        <v>32</v>
      </c>
      <c r="E24" s="150">
        <v>162</v>
      </c>
      <c r="F24" s="119">
        <f t="shared" si="2"/>
        <v>5184</v>
      </c>
      <c r="G24" s="121">
        <v>32</v>
      </c>
      <c r="H24" s="150">
        <v>162</v>
      </c>
      <c r="I24" s="149">
        <f>G24*H24</f>
        <v>5184</v>
      </c>
      <c r="J24" s="151">
        <v>32</v>
      </c>
      <c r="K24" s="150">
        <v>162</v>
      </c>
      <c r="L24" s="119">
        <f t="shared" si="3"/>
        <v>5184</v>
      </c>
      <c r="M24" s="151">
        <v>32</v>
      </c>
      <c r="N24" s="150">
        <v>324</v>
      </c>
      <c r="O24" s="119">
        <f t="shared" si="4"/>
        <v>10368</v>
      </c>
      <c r="P24" s="208"/>
      <c r="Q24" s="150"/>
      <c r="R24" s="242"/>
      <c r="S24" s="114">
        <v>32</v>
      </c>
      <c r="T24" s="113">
        <v>162</v>
      </c>
      <c r="U24" s="112">
        <f>S24*T24</f>
        <v>5184</v>
      </c>
      <c r="V24" s="121">
        <v>32</v>
      </c>
      <c r="W24" s="150">
        <v>162</v>
      </c>
      <c r="X24" s="149">
        <f>V24*W24</f>
        <v>5184</v>
      </c>
      <c r="Y24" s="155">
        <v>32</v>
      </c>
      <c r="Z24" s="120">
        <v>324</v>
      </c>
      <c r="AA24" s="154">
        <f>Y24*Z24</f>
        <v>10368</v>
      </c>
      <c r="AB24" s="151">
        <v>32</v>
      </c>
      <c r="AC24" s="120">
        <v>162</v>
      </c>
      <c r="AD24" s="119">
        <f>AB24*AC24</f>
        <v>5184</v>
      </c>
      <c r="AE24" s="151">
        <v>32</v>
      </c>
      <c r="AF24" s="239">
        <v>162</v>
      </c>
      <c r="AG24" s="119">
        <f t="shared" si="13"/>
        <v>5184</v>
      </c>
      <c r="AH24" s="121"/>
      <c r="AI24" s="150"/>
      <c r="AJ24" s="119"/>
      <c r="AK24" s="151">
        <v>32</v>
      </c>
      <c r="AL24" s="150">
        <v>162</v>
      </c>
      <c r="AM24" s="119">
        <f t="shared" si="7"/>
        <v>5184</v>
      </c>
      <c r="AN24" s="79">
        <v>32</v>
      </c>
      <c r="AO24" s="78">
        <v>162</v>
      </c>
      <c r="AP24" s="107">
        <f>AN24*AO24</f>
        <v>5184</v>
      </c>
      <c r="AQ24" s="151">
        <v>32</v>
      </c>
      <c r="AR24" s="150">
        <v>200</v>
      </c>
      <c r="AS24" s="119">
        <f t="shared" si="8"/>
        <v>6400</v>
      </c>
      <c r="AT24" s="151"/>
      <c r="AU24" s="150"/>
      <c r="AV24" s="119">
        <f t="shared" si="9"/>
        <v>0</v>
      </c>
      <c r="AW24" s="151">
        <v>32</v>
      </c>
      <c r="AX24" s="150">
        <v>162</v>
      </c>
      <c r="AY24" s="119">
        <f t="shared" si="10"/>
        <v>5184</v>
      </c>
      <c r="AZ24" s="151">
        <v>32</v>
      </c>
      <c r="BA24" s="150">
        <v>214</v>
      </c>
      <c r="BB24" s="149">
        <f t="shared" si="11"/>
        <v>6848</v>
      </c>
      <c r="BC24" s="148">
        <f t="shared" si="1"/>
        <v>2682</v>
      </c>
      <c r="BD24" s="44">
        <f t="shared" si="14"/>
        <v>85824</v>
      </c>
      <c r="BE24" s="133">
        <f t="shared" si="0"/>
        <v>3.9595920822921935E-3</v>
      </c>
    </row>
    <row r="25" spans="1:112" ht="16.5" outlineLevel="1" thickBot="1">
      <c r="A25" s="141" t="s">
        <v>195</v>
      </c>
      <c r="B25" s="158" t="s">
        <v>194</v>
      </c>
      <c r="C25" s="157" t="s">
        <v>161</v>
      </c>
      <c r="D25" s="156"/>
      <c r="E25" s="150"/>
      <c r="F25" s="119"/>
      <c r="G25" s="121"/>
      <c r="H25" s="239"/>
      <c r="I25" s="149"/>
      <c r="J25" s="151"/>
      <c r="K25" s="239"/>
      <c r="L25" s="119"/>
      <c r="M25" s="151"/>
      <c r="N25" s="239"/>
      <c r="O25" s="119"/>
      <c r="P25" s="151">
        <v>8000</v>
      </c>
      <c r="Q25" s="150">
        <v>2</v>
      </c>
      <c r="R25" s="149">
        <f>P25*Q25</f>
        <v>16000</v>
      </c>
      <c r="S25" s="231"/>
      <c r="T25" s="113"/>
      <c r="U25" s="112"/>
      <c r="V25" s="121"/>
      <c r="W25" s="239"/>
      <c r="X25" s="149"/>
      <c r="Y25" s="229"/>
      <c r="Z25" s="228"/>
      <c r="AA25" s="230"/>
      <c r="AB25" s="229"/>
      <c r="AC25" s="228"/>
      <c r="AD25" s="227"/>
      <c r="AE25" s="151"/>
      <c r="AF25" s="239"/>
      <c r="AG25" s="119">
        <f t="shared" si="13"/>
        <v>0</v>
      </c>
      <c r="AH25" s="121">
        <v>8000</v>
      </c>
      <c r="AI25" s="150">
        <v>2</v>
      </c>
      <c r="AJ25" s="119">
        <f>AH25*AI25</f>
        <v>16000</v>
      </c>
      <c r="AK25" s="151"/>
      <c r="AL25" s="239"/>
      <c r="AM25" s="119"/>
      <c r="AN25" s="241"/>
      <c r="AO25" s="240"/>
      <c r="AP25" s="107"/>
      <c r="AQ25" s="151"/>
      <c r="AR25" s="239"/>
      <c r="AS25" s="119"/>
      <c r="AT25" s="151"/>
      <c r="AU25" s="239"/>
      <c r="AV25" s="119"/>
      <c r="AW25" s="151"/>
      <c r="AX25" s="239"/>
      <c r="AY25" s="119"/>
      <c r="AZ25" s="151"/>
      <c r="BA25" s="239"/>
      <c r="BB25" s="149"/>
      <c r="BC25" s="148">
        <f t="shared" si="1"/>
        <v>4</v>
      </c>
      <c r="BD25" s="44">
        <f t="shared" si="14"/>
        <v>32000</v>
      </c>
      <c r="BE25" s="133">
        <f t="shared" si="0"/>
        <v>1.4763579725175964E-3</v>
      </c>
    </row>
    <row r="26" spans="1:112" ht="16.5" outlineLevel="1" thickBot="1">
      <c r="A26" s="238" t="s">
        <v>193</v>
      </c>
      <c r="B26" s="131" t="s">
        <v>192</v>
      </c>
      <c r="C26" s="68" t="s">
        <v>161</v>
      </c>
      <c r="D26" s="156"/>
      <c r="E26" s="150"/>
      <c r="F26" s="119"/>
      <c r="G26" s="61"/>
      <c r="H26" s="234"/>
      <c r="I26" s="127"/>
      <c r="J26" s="128"/>
      <c r="K26" s="234"/>
      <c r="L26" s="110"/>
      <c r="M26" s="128"/>
      <c r="N26" s="234"/>
      <c r="O26" s="110"/>
      <c r="P26" s="128"/>
      <c r="Q26" s="234"/>
      <c r="R26" s="127"/>
      <c r="S26" s="231"/>
      <c r="T26" s="113"/>
      <c r="U26" s="112"/>
      <c r="V26" s="61"/>
      <c r="W26" s="234"/>
      <c r="X26" s="127"/>
      <c r="Y26" s="229"/>
      <c r="Z26" s="228"/>
      <c r="AA26" s="230"/>
      <c r="AB26" s="229"/>
      <c r="AC26" s="228"/>
      <c r="AD26" s="227"/>
      <c r="AE26" s="128"/>
      <c r="AF26" s="234"/>
      <c r="AG26" s="119">
        <f t="shared" si="13"/>
        <v>0</v>
      </c>
      <c r="AH26" s="61"/>
      <c r="AI26" s="234"/>
      <c r="AJ26" s="110"/>
      <c r="AK26" s="128"/>
      <c r="AL26" s="234"/>
      <c r="AM26" s="110"/>
      <c r="AN26" s="237"/>
      <c r="AO26" s="236"/>
      <c r="AP26" s="235"/>
      <c r="AQ26" s="128"/>
      <c r="AR26" s="234"/>
      <c r="AS26" s="110"/>
      <c r="AT26" s="128"/>
      <c r="AU26" s="234"/>
      <c r="AV26" s="110"/>
      <c r="AW26" s="128"/>
      <c r="AX26" s="234"/>
      <c r="AY26" s="110"/>
      <c r="AZ26" s="151">
        <v>1680000</v>
      </c>
      <c r="BA26" s="150">
        <v>1</v>
      </c>
      <c r="BB26" s="149">
        <v>1680000</v>
      </c>
      <c r="BC26" s="148">
        <f t="shared" si="1"/>
        <v>1</v>
      </c>
      <c r="BD26" s="44">
        <f t="shared" si="14"/>
        <v>1680000</v>
      </c>
      <c r="BE26" s="133">
        <f t="shared" si="0"/>
        <v>7.7508793557173813E-2</v>
      </c>
    </row>
    <row r="27" spans="1:112" s="218" customFormat="1" ht="16.5" outlineLevel="1" thickBot="1">
      <c r="A27" s="233" t="s">
        <v>191</v>
      </c>
      <c r="B27" s="158" t="s">
        <v>190</v>
      </c>
      <c r="C27" s="232" t="s">
        <v>161</v>
      </c>
      <c r="D27" s="182"/>
      <c r="E27" s="221"/>
      <c r="F27" s="222"/>
      <c r="G27" s="226"/>
      <c r="H27" s="221"/>
      <c r="I27" s="180"/>
      <c r="J27" s="182"/>
      <c r="K27" s="221"/>
      <c r="L27" s="222"/>
      <c r="M27" s="182"/>
      <c r="N27" s="221"/>
      <c r="O27" s="222"/>
      <c r="P27" s="182"/>
      <c r="Q27" s="221"/>
      <c r="R27" s="180"/>
      <c r="S27" s="231"/>
      <c r="T27" s="113"/>
      <c r="U27" s="112"/>
      <c r="V27" s="226"/>
      <c r="W27" s="221"/>
      <c r="X27" s="180"/>
      <c r="Y27" s="229"/>
      <c r="Z27" s="228"/>
      <c r="AA27" s="230"/>
      <c r="AB27" s="229"/>
      <c r="AC27" s="228"/>
      <c r="AD27" s="227"/>
      <c r="AE27" s="182"/>
      <c r="AF27" s="221"/>
      <c r="AG27" s="137">
        <f t="shared" si="13"/>
        <v>0</v>
      </c>
      <c r="AH27" s="226"/>
      <c r="AI27" s="221"/>
      <c r="AJ27" s="222"/>
      <c r="AK27" s="182"/>
      <c r="AL27" s="221"/>
      <c r="AM27" s="222"/>
      <c r="AN27" s="225"/>
      <c r="AO27" s="224"/>
      <c r="AP27" s="223"/>
      <c r="AQ27" s="182"/>
      <c r="AR27" s="221"/>
      <c r="AS27" s="222"/>
      <c r="AT27" s="182"/>
      <c r="AU27" s="221"/>
      <c r="AV27" s="222"/>
      <c r="AW27" s="182"/>
      <c r="AX27" s="221"/>
      <c r="AY27" s="222"/>
      <c r="AZ27" s="182">
        <v>150000</v>
      </c>
      <c r="BA27" s="221">
        <v>1</v>
      </c>
      <c r="BB27" s="220">
        <f t="shared" si="11"/>
        <v>150000</v>
      </c>
      <c r="BC27" s="148">
        <f t="shared" si="1"/>
        <v>1</v>
      </c>
      <c r="BD27" s="44">
        <f t="shared" si="14"/>
        <v>150000</v>
      </c>
      <c r="BE27" s="133">
        <f t="shared" si="0"/>
        <v>6.9204279961762325E-3</v>
      </c>
      <c r="BF27" s="219"/>
      <c r="BG27" s="219"/>
      <c r="BH27" s="219"/>
      <c r="BI27" s="219"/>
      <c r="BJ27" s="219"/>
      <c r="BK27" s="219"/>
      <c r="BL27" s="219"/>
      <c r="BM27" s="219"/>
      <c r="BN27" s="219"/>
      <c r="BO27" s="219"/>
      <c r="BP27" s="219"/>
      <c r="BQ27" s="219"/>
      <c r="BR27" s="219"/>
      <c r="BS27" s="219"/>
      <c r="BT27" s="219"/>
      <c r="BU27" s="219"/>
      <c r="BV27" s="219"/>
      <c r="BW27" s="219"/>
      <c r="BX27" s="219"/>
      <c r="BY27" s="219"/>
      <c r="BZ27" s="219"/>
      <c r="CA27" s="219"/>
      <c r="CB27" s="219"/>
      <c r="CC27" s="219"/>
      <c r="CD27" s="219"/>
      <c r="CE27" s="219"/>
      <c r="CF27" s="219"/>
      <c r="CG27" s="219"/>
      <c r="CH27" s="219"/>
      <c r="CI27" s="219"/>
      <c r="CJ27" s="219"/>
      <c r="CK27" s="219"/>
      <c r="CL27" s="219"/>
      <c r="CM27" s="219"/>
      <c r="CN27" s="219"/>
      <c r="CO27" s="219"/>
      <c r="CP27" s="219"/>
      <c r="CQ27" s="219"/>
      <c r="CR27" s="219"/>
      <c r="CS27" s="219"/>
      <c r="CT27" s="219"/>
      <c r="CU27" s="219"/>
      <c r="CV27" s="219"/>
      <c r="CW27" s="219"/>
      <c r="CX27" s="219"/>
      <c r="CY27" s="219"/>
      <c r="CZ27" s="219"/>
      <c r="DA27" s="219"/>
      <c r="DB27" s="219"/>
      <c r="DC27" s="219"/>
      <c r="DD27" s="219"/>
      <c r="DE27" s="219"/>
      <c r="DF27" s="219"/>
      <c r="DG27" s="219"/>
      <c r="DH27" s="219"/>
    </row>
    <row r="28" spans="1:112" ht="15.75" customHeight="1" outlineLevel="1" thickBot="1">
      <c r="A28" s="217" t="s">
        <v>189</v>
      </c>
      <c r="B28" s="216" t="s">
        <v>188</v>
      </c>
      <c r="C28" s="215" t="s">
        <v>165</v>
      </c>
      <c r="D28" s="57">
        <v>28</v>
      </c>
      <c r="E28" s="56">
        <v>200</v>
      </c>
      <c r="F28" s="110">
        <f t="shared" si="2"/>
        <v>5600</v>
      </c>
      <c r="G28" s="210">
        <v>28</v>
      </c>
      <c r="H28" s="47">
        <v>240</v>
      </c>
      <c r="I28" s="207">
        <f>G28*H28</f>
        <v>6720</v>
      </c>
      <c r="J28" s="214">
        <v>28</v>
      </c>
      <c r="K28" s="163">
        <v>110</v>
      </c>
      <c r="L28" s="213">
        <f t="shared" si="3"/>
        <v>3080</v>
      </c>
      <c r="M28" s="208">
        <v>28</v>
      </c>
      <c r="N28" s="47">
        <v>120</v>
      </c>
      <c r="O28" s="209">
        <f t="shared" si="4"/>
        <v>3360</v>
      </c>
      <c r="P28" s="208">
        <v>28</v>
      </c>
      <c r="Q28" s="47">
        <v>78</v>
      </c>
      <c r="R28" s="207">
        <f t="shared" si="5"/>
        <v>2184</v>
      </c>
      <c r="S28" s="114">
        <v>28</v>
      </c>
      <c r="T28" s="113">
        <v>212</v>
      </c>
      <c r="U28" s="112">
        <f>S28*T28</f>
        <v>5936</v>
      </c>
      <c r="V28" s="210">
        <v>28</v>
      </c>
      <c r="W28" s="47">
        <v>170</v>
      </c>
      <c r="X28" s="207">
        <f>V28*W28</f>
        <v>4760</v>
      </c>
      <c r="Y28" s="130">
        <v>28</v>
      </c>
      <c r="Z28" s="60">
        <v>166</v>
      </c>
      <c r="AA28" s="146">
        <f>Y28*Z28</f>
        <v>4648</v>
      </c>
      <c r="AB28" s="212">
        <v>28</v>
      </c>
      <c r="AC28" s="63">
        <v>312</v>
      </c>
      <c r="AD28" s="211">
        <f>AB28*AC28</f>
        <v>8736</v>
      </c>
      <c r="AE28" s="214">
        <v>28</v>
      </c>
      <c r="AF28" s="163">
        <v>180</v>
      </c>
      <c r="AG28" s="213">
        <v>5040</v>
      </c>
      <c r="AH28" s="210">
        <v>28</v>
      </c>
      <c r="AI28" s="47">
        <v>200</v>
      </c>
      <c r="AJ28" s="209">
        <f t="shared" si="6"/>
        <v>5600</v>
      </c>
      <c r="AK28" s="208">
        <v>28</v>
      </c>
      <c r="AL28" s="47">
        <v>0</v>
      </c>
      <c r="AM28" s="209">
        <f t="shared" si="7"/>
        <v>0</v>
      </c>
      <c r="AN28" s="79">
        <v>28</v>
      </c>
      <c r="AO28" s="78">
        <v>144</v>
      </c>
      <c r="AP28" s="107">
        <f>AN28*AO28</f>
        <v>4032</v>
      </c>
      <c r="AQ28" s="208">
        <v>28</v>
      </c>
      <c r="AR28" s="47">
        <v>80</v>
      </c>
      <c r="AS28" s="209">
        <f t="shared" si="8"/>
        <v>2240</v>
      </c>
      <c r="AT28" s="208">
        <v>28</v>
      </c>
      <c r="AU28" s="47">
        <v>240</v>
      </c>
      <c r="AV28" s="209">
        <f t="shared" si="9"/>
        <v>6720</v>
      </c>
      <c r="AW28" s="208">
        <v>28</v>
      </c>
      <c r="AX28" s="47">
        <v>110</v>
      </c>
      <c r="AY28" s="209">
        <f t="shared" si="10"/>
        <v>3080</v>
      </c>
      <c r="AZ28" s="208">
        <v>28</v>
      </c>
      <c r="BA28" s="47">
        <v>340</v>
      </c>
      <c r="BB28" s="207">
        <f t="shared" si="11"/>
        <v>9520</v>
      </c>
      <c r="BC28" s="126">
        <f t="shared" si="1"/>
        <v>2902</v>
      </c>
      <c r="BD28" s="44">
        <f>SUM(F28,I28,L28,O28,R28,U28,X28,AA28,AD28,AG28,AJ28,AM28,AP28,AS28,AV28,AY28,BB28)</f>
        <v>81256</v>
      </c>
      <c r="BE28" s="124">
        <f t="shared" si="0"/>
        <v>3.7488419817153064E-3</v>
      </c>
    </row>
    <row r="29" spans="1:112" ht="17.25" customHeight="1" thickBot="1">
      <c r="A29" s="116" t="s">
        <v>22</v>
      </c>
      <c r="B29" s="115" t="s">
        <v>187</v>
      </c>
      <c r="C29" s="99"/>
      <c r="D29" s="23"/>
      <c r="E29" s="22"/>
      <c r="F29" s="108">
        <f>SUM(F30:F35)</f>
        <v>43720</v>
      </c>
      <c r="G29" s="23"/>
      <c r="H29" s="22"/>
      <c r="I29" s="108">
        <f>SUM(I30:I35)</f>
        <v>44900</v>
      </c>
      <c r="J29" s="23"/>
      <c r="K29" s="22"/>
      <c r="L29" s="108">
        <f>SUM(L30:L35)</f>
        <v>78900</v>
      </c>
      <c r="M29" s="23"/>
      <c r="N29" s="22"/>
      <c r="O29" s="108">
        <f>SUM(O30:O35)</f>
        <v>40120</v>
      </c>
      <c r="P29" s="23"/>
      <c r="Q29" s="22"/>
      <c r="R29" s="103">
        <f>SUM(R30:R35)</f>
        <v>69920</v>
      </c>
      <c r="S29" s="206"/>
      <c r="T29" s="205"/>
      <c r="U29" s="204">
        <f>SUM(U31:U35)</f>
        <v>445000</v>
      </c>
      <c r="V29" s="31"/>
      <c r="W29" s="22"/>
      <c r="X29" s="103">
        <f>SUM(X30:X35)</f>
        <v>13440</v>
      </c>
      <c r="Y29" s="33"/>
      <c r="Z29" s="32"/>
      <c r="AA29" s="111">
        <f>SUM(AA31:AA35)</f>
        <v>29120</v>
      </c>
      <c r="AB29" s="97"/>
      <c r="AC29" s="96"/>
      <c r="AD29" s="201">
        <f>SUM(AD31:AD35)</f>
        <v>28680</v>
      </c>
      <c r="AE29" s="203"/>
      <c r="AF29" s="202"/>
      <c r="AG29" s="201">
        <f>SUM(AG30:AG34)</f>
        <v>375000</v>
      </c>
      <c r="AH29" s="31"/>
      <c r="AI29" s="22"/>
      <c r="AJ29" s="108">
        <f>SUM(AJ30:AJ35)</f>
        <v>62420</v>
      </c>
      <c r="AK29" s="23"/>
      <c r="AL29" s="22"/>
      <c r="AM29" s="108">
        <f>SUM(AM30:AM35)</f>
        <v>31120</v>
      </c>
      <c r="AN29" s="29"/>
      <c r="AO29" s="28"/>
      <c r="AP29" s="142">
        <f>SUM(AP30:AP35)</f>
        <v>48340</v>
      </c>
      <c r="AQ29" s="23"/>
      <c r="AR29" s="22"/>
      <c r="AS29" s="108">
        <f>SUM(AS30:AS35)</f>
        <v>38440</v>
      </c>
      <c r="AT29" s="23"/>
      <c r="AU29" s="22"/>
      <c r="AV29" s="108">
        <f>SUM(AV30:AV35)</f>
        <v>48260</v>
      </c>
      <c r="AW29" s="23"/>
      <c r="AX29" s="22"/>
      <c r="AY29" s="108">
        <f>SUM(AY30:AY35)</f>
        <v>48340</v>
      </c>
      <c r="AZ29" s="23"/>
      <c r="BA29" s="22"/>
      <c r="BB29" s="103">
        <f>SUM(BB30:BB35)</f>
        <v>73400</v>
      </c>
      <c r="BC29" s="102"/>
      <c r="BD29" s="44">
        <f>SUM(F29,I29,L29,O29,R29,U29,X29,AA29,AD29,AG29,AJ29,AM29,AP29,AS29,AV29,AY29,BB29)</f>
        <v>1519120</v>
      </c>
      <c r="BE29" s="43">
        <f>BD29/BD55</f>
        <v>7.0086403850341594E-2</v>
      </c>
    </row>
    <row r="30" spans="1:112" ht="15.75" outlineLevel="1">
      <c r="A30" s="93"/>
      <c r="B30" s="140" t="s">
        <v>186</v>
      </c>
      <c r="C30" s="91" t="s">
        <v>165</v>
      </c>
      <c r="D30" s="80"/>
      <c r="E30" s="72"/>
      <c r="F30" s="137"/>
      <c r="G30" s="84"/>
      <c r="H30" s="72"/>
      <c r="I30" s="136"/>
      <c r="J30" s="73"/>
      <c r="K30" s="72"/>
      <c r="L30" s="137"/>
      <c r="M30" s="73"/>
      <c r="N30" s="72"/>
      <c r="O30" s="137"/>
      <c r="P30" s="73"/>
      <c r="Q30" s="72"/>
      <c r="R30" s="136"/>
      <c r="S30" s="195"/>
      <c r="T30" s="200"/>
      <c r="U30" s="199"/>
      <c r="V30" s="84"/>
      <c r="W30" s="72"/>
      <c r="X30" s="136"/>
      <c r="Y30" s="198"/>
      <c r="Z30" s="197"/>
      <c r="AA30" s="196"/>
      <c r="AB30" s="195"/>
      <c r="AC30" s="194"/>
      <c r="AD30" s="193"/>
      <c r="AE30" s="192">
        <v>1600</v>
      </c>
      <c r="AF30" s="191">
        <v>200</v>
      </c>
      <c r="AG30" s="190">
        <f t="shared" ref="AF30:AG34" si="15">AE30*AF30</f>
        <v>320000</v>
      </c>
      <c r="AH30" s="84"/>
      <c r="AI30" s="72"/>
      <c r="AJ30" s="137"/>
      <c r="AK30" s="73"/>
      <c r="AL30" s="72"/>
      <c r="AM30" s="137"/>
      <c r="AN30" s="189"/>
      <c r="AO30" s="188"/>
      <c r="AP30" s="187"/>
      <c r="AQ30" s="73"/>
      <c r="AR30" s="72"/>
      <c r="AS30" s="137"/>
      <c r="AT30" s="73"/>
      <c r="AU30" s="72"/>
      <c r="AV30" s="137"/>
      <c r="AW30" s="73"/>
      <c r="AX30" s="72"/>
      <c r="AY30" s="137"/>
      <c r="AZ30" s="73"/>
      <c r="BA30" s="72"/>
      <c r="BB30" s="136"/>
      <c r="BC30" s="135">
        <f t="shared" si="1"/>
        <v>200</v>
      </c>
      <c r="BD30" s="134">
        <f t="shared" si="1"/>
        <v>320000</v>
      </c>
      <c r="BE30" s="133">
        <f>BD30/$BD$55</f>
        <v>1.4763579725175963E-2</v>
      </c>
    </row>
    <row r="31" spans="1:112" ht="15.75" outlineLevel="1">
      <c r="A31" s="159" t="s">
        <v>97</v>
      </c>
      <c r="B31" s="158" t="s">
        <v>185</v>
      </c>
      <c r="C31" s="157" t="s">
        <v>165</v>
      </c>
      <c r="D31" s="156">
        <v>220</v>
      </c>
      <c r="E31" s="150">
        <v>42</v>
      </c>
      <c r="F31" s="119">
        <f t="shared" si="2"/>
        <v>9240</v>
      </c>
      <c r="G31" s="121">
        <v>220</v>
      </c>
      <c r="H31" s="150">
        <v>56</v>
      </c>
      <c r="I31" s="149">
        <f>G31*H31</f>
        <v>12320</v>
      </c>
      <c r="J31" s="151">
        <v>220</v>
      </c>
      <c r="K31" s="150">
        <v>140</v>
      </c>
      <c r="L31" s="119">
        <f t="shared" si="3"/>
        <v>30800</v>
      </c>
      <c r="M31" s="151">
        <v>220</v>
      </c>
      <c r="N31" s="150">
        <v>30</v>
      </c>
      <c r="O31" s="119">
        <f t="shared" si="4"/>
        <v>6600</v>
      </c>
      <c r="P31" s="151">
        <v>220</v>
      </c>
      <c r="Q31" s="150">
        <v>140</v>
      </c>
      <c r="R31" s="149">
        <f t="shared" si="5"/>
        <v>30800</v>
      </c>
      <c r="S31" s="114">
        <v>0</v>
      </c>
      <c r="T31" s="113">
        <v>220</v>
      </c>
      <c r="U31" s="185">
        <f>S31*T31</f>
        <v>0</v>
      </c>
      <c r="V31" s="121">
        <v>220</v>
      </c>
      <c r="W31" s="150">
        <v>0</v>
      </c>
      <c r="X31" s="149"/>
      <c r="Y31" s="155">
        <v>220</v>
      </c>
      <c r="Z31" s="120">
        <v>20</v>
      </c>
      <c r="AA31" s="154">
        <f>Y31*Z31</f>
        <v>4400</v>
      </c>
      <c r="AB31" s="156">
        <v>220</v>
      </c>
      <c r="AC31" s="120">
        <v>18</v>
      </c>
      <c r="AD31" s="149">
        <f>AB31*AC31</f>
        <v>3960</v>
      </c>
      <c r="AE31" s="525">
        <v>0</v>
      </c>
      <c r="AF31" s="149">
        <f t="shared" si="15"/>
        <v>0</v>
      </c>
      <c r="AG31" s="119">
        <f t="shared" si="15"/>
        <v>0</v>
      </c>
      <c r="AH31" s="121">
        <v>320</v>
      </c>
      <c r="AI31" s="150">
        <v>80</v>
      </c>
      <c r="AJ31" s="119">
        <f t="shared" si="6"/>
        <v>25600</v>
      </c>
      <c r="AK31" s="151">
        <v>320</v>
      </c>
      <c r="AL31" s="150">
        <v>20</v>
      </c>
      <c r="AM31" s="119">
        <f t="shared" si="7"/>
        <v>6400</v>
      </c>
      <c r="AN31" s="79">
        <v>220</v>
      </c>
      <c r="AO31" s="78">
        <v>48</v>
      </c>
      <c r="AP31" s="107">
        <f>AN31*AO31</f>
        <v>10560</v>
      </c>
      <c r="AQ31" s="151">
        <v>220</v>
      </c>
      <c r="AR31" s="150">
        <v>0</v>
      </c>
      <c r="AS31" s="119">
        <f t="shared" si="8"/>
        <v>0</v>
      </c>
      <c r="AT31" s="151">
        <v>220</v>
      </c>
      <c r="AU31" s="150">
        <v>34</v>
      </c>
      <c r="AV31" s="119">
        <f t="shared" si="9"/>
        <v>7480</v>
      </c>
      <c r="AW31" s="151">
        <v>220</v>
      </c>
      <c r="AX31" s="150">
        <v>48</v>
      </c>
      <c r="AY31" s="119">
        <f t="shared" si="10"/>
        <v>10560</v>
      </c>
      <c r="AZ31" s="151">
        <v>220</v>
      </c>
      <c r="BA31" s="150">
        <v>80</v>
      </c>
      <c r="BB31" s="149">
        <f t="shared" si="11"/>
        <v>17600</v>
      </c>
      <c r="BC31" s="148">
        <f t="shared" si="1"/>
        <v>976</v>
      </c>
      <c r="BD31" s="147">
        <f t="shared" si="1"/>
        <v>176320</v>
      </c>
      <c r="BE31" s="133">
        <f>BD31/$BD$55</f>
        <v>8.1347324285719561E-3</v>
      </c>
    </row>
    <row r="32" spans="1:112" ht="15.75" outlineLevel="1">
      <c r="A32" s="159" t="s">
        <v>98</v>
      </c>
      <c r="B32" s="158" t="s">
        <v>184</v>
      </c>
      <c r="C32" s="157" t="s">
        <v>165</v>
      </c>
      <c r="D32" s="156">
        <v>230</v>
      </c>
      <c r="E32" s="150">
        <v>12</v>
      </c>
      <c r="F32" s="119">
        <f t="shared" si="2"/>
        <v>2760</v>
      </c>
      <c r="G32" s="121">
        <v>230</v>
      </c>
      <c r="H32" s="150">
        <v>18</v>
      </c>
      <c r="I32" s="149">
        <f>G32*H32</f>
        <v>4140</v>
      </c>
      <c r="J32" s="151">
        <v>230</v>
      </c>
      <c r="K32" s="150">
        <v>42</v>
      </c>
      <c r="L32" s="119">
        <f t="shared" si="3"/>
        <v>9660</v>
      </c>
      <c r="M32" s="151">
        <v>230</v>
      </c>
      <c r="N32" s="150">
        <v>12</v>
      </c>
      <c r="O32" s="119">
        <f t="shared" si="4"/>
        <v>2760</v>
      </c>
      <c r="P32" s="151">
        <v>230</v>
      </c>
      <c r="Q32" s="150">
        <v>28</v>
      </c>
      <c r="R32" s="149">
        <f t="shared" si="5"/>
        <v>6440</v>
      </c>
      <c r="S32" s="114">
        <v>0</v>
      </c>
      <c r="T32" s="113">
        <v>58</v>
      </c>
      <c r="U32" s="185">
        <f>S32*T32</f>
        <v>0</v>
      </c>
      <c r="V32" s="121">
        <v>230</v>
      </c>
      <c r="W32" s="150">
        <v>0</v>
      </c>
      <c r="X32" s="149"/>
      <c r="Y32" s="155">
        <v>230</v>
      </c>
      <c r="Z32" s="120">
        <v>8</v>
      </c>
      <c r="AA32" s="154">
        <f>Y32*Z32</f>
        <v>1840</v>
      </c>
      <c r="AB32" s="156">
        <v>230</v>
      </c>
      <c r="AC32" s="120">
        <v>8</v>
      </c>
      <c r="AD32" s="149">
        <f>AB32*AC32</f>
        <v>1840</v>
      </c>
      <c r="AE32" s="156"/>
      <c r="AF32" s="150"/>
      <c r="AG32" s="119">
        <f t="shared" si="15"/>
        <v>0</v>
      </c>
      <c r="AH32" s="121">
        <v>230</v>
      </c>
      <c r="AI32" s="150">
        <v>18</v>
      </c>
      <c r="AJ32" s="119">
        <f t="shared" si="6"/>
        <v>4140</v>
      </c>
      <c r="AK32" s="151">
        <v>230</v>
      </c>
      <c r="AL32" s="150">
        <v>8</v>
      </c>
      <c r="AM32" s="119">
        <f t="shared" si="7"/>
        <v>1840</v>
      </c>
      <c r="AN32" s="79">
        <v>230</v>
      </c>
      <c r="AO32" s="78">
        <v>18</v>
      </c>
      <c r="AP32" s="107">
        <f>AN32*AO32</f>
        <v>4140</v>
      </c>
      <c r="AQ32" s="151">
        <v>230</v>
      </c>
      <c r="AR32" s="150">
        <v>0</v>
      </c>
      <c r="AS32" s="119">
        <f t="shared" si="8"/>
        <v>0</v>
      </c>
      <c r="AT32" s="151">
        <v>230</v>
      </c>
      <c r="AU32" s="150">
        <v>18</v>
      </c>
      <c r="AV32" s="119">
        <f t="shared" si="9"/>
        <v>4140</v>
      </c>
      <c r="AW32" s="151">
        <v>230</v>
      </c>
      <c r="AX32" s="150">
        <v>18</v>
      </c>
      <c r="AY32" s="119">
        <f t="shared" si="10"/>
        <v>4140</v>
      </c>
      <c r="AZ32" s="151">
        <v>230</v>
      </c>
      <c r="BA32" s="150">
        <v>32</v>
      </c>
      <c r="BB32" s="149">
        <f t="shared" si="11"/>
        <v>7360</v>
      </c>
      <c r="BC32" s="148">
        <f t="shared" si="1"/>
        <v>298</v>
      </c>
      <c r="BD32" s="147">
        <f t="shared" si="1"/>
        <v>55200</v>
      </c>
      <c r="BE32" s="133">
        <f>BD32/$BD$55</f>
        <v>2.5467175025928536E-3</v>
      </c>
    </row>
    <row r="33" spans="1:57" ht="15.75" outlineLevel="1">
      <c r="A33" s="159" t="s">
        <v>183</v>
      </c>
      <c r="B33" s="186" t="s">
        <v>182</v>
      </c>
      <c r="C33" s="157" t="s">
        <v>165</v>
      </c>
      <c r="D33" s="156">
        <v>480</v>
      </c>
      <c r="E33" s="150">
        <v>14</v>
      </c>
      <c r="F33" s="119">
        <f t="shared" si="2"/>
        <v>6720</v>
      </c>
      <c r="G33" s="121">
        <v>480</v>
      </c>
      <c r="H33" s="150">
        <v>28</v>
      </c>
      <c r="I33" s="149">
        <f>G33*H33</f>
        <v>13440</v>
      </c>
      <c r="J33" s="151">
        <v>480</v>
      </c>
      <c r="K33" s="150">
        <v>28</v>
      </c>
      <c r="L33" s="119">
        <f t="shared" si="3"/>
        <v>13440</v>
      </c>
      <c r="M33" s="151">
        <v>480</v>
      </c>
      <c r="N33" s="150">
        <v>12</v>
      </c>
      <c r="O33" s="119">
        <f t="shared" si="4"/>
        <v>5760</v>
      </c>
      <c r="P33" s="151">
        <v>480</v>
      </c>
      <c r="Q33" s="150">
        <v>16</v>
      </c>
      <c r="R33" s="149">
        <f t="shared" si="5"/>
        <v>7680</v>
      </c>
      <c r="S33" s="114">
        <v>0</v>
      </c>
      <c r="T33" s="113">
        <v>18</v>
      </c>
      <c r="U33" s="185">
        <f>S33*T33</f>
        <v>0</v>
      </c>
      <c r="V33" s="121">
        <v>480</v>
      </c>
      <c r="W33" s="150">
        <v>28</v>
      </c>
      <c r="X33" s="149">
        <f>V33*W33</f>
        <v>13440</v>
      </c>
      <c r="Y33" s="155">
        <v>480</v>
      </c>
      <c r="Z33" s="120">
        <v>6</v>
      </c>
      <c r="AA33" s="154">
        <f>Y33*Z33</f>
        <v>2880</v>
      </c>
      <c r="AB33" s="156">
        <v>480</v>
      </c>
      <c r="AC33" s="120">
        <v>6</v>
      </c>
      <c r="AD33" s="149">
        <f>AB33*AC33</f>
        <v>2880</v>
      </c>
      <c r="AE33" s="156"/>
      <c r="AF33" s="150"/>
      <c r="AG33" s="119">
        <f t="shared" si="15"/>
        <v>0</v>
      </c>
      <c r="AH33" s="121">
        <v>480</v>
      </c>
      <c r="AI33" s="150">
        <v>16</v>
      </c>
      <c r="AJ33" s="119">
        <f t="shared" si="6"/>
        <v>7680</v>
      </c>
      <c r="AK33" s="151">
        <v>480</v>
      </c>
      <c r="AL33" s="150">
        <v>6</v>
      </c>
      <c r="AM33" s="119">
        <f t="shared" si="7"/>
        <v>2880</v>
      </c>
      <c r="AN33" s="79">
        <v>480</v>
      </c>
      <c r="AO33" s="78">
        <v>18</v>
      </c>
      <c r="AP33" s="107">
        <f>AN33*AO33</f>
        <v>8640</v>
      </c>
      <c r="AQ33" s="151">
        <v>480</v>
      </c>
      <c r="AR33" s="150">
        <v>28</v>
      </c>
      <c r="AS33" s="119">
        <f t="shared" si="8"/>
        <v>13440</v>
      </c>
      <c r="AT33" s="151">
        <v>480</v>
      </c>
      <c r="AU33" s="150">
        <v>18</v>
      </c>
      <c r="AV33" s="119">
        <f t="shared" si="9"/>
        <v>8640</v>
      </c>
      <c r="AW33" s="151">
        <v>480</v>
      </c>
      <c r="AX33" s="150">
        <v>18</v>
      </c>
      <c r="AY33" s="119">
        <f t="shared" si="10"/>
        <v>8640</v>
      </c>
      <c r="AZ33" s="151">
        <v>480</v>
      </c>
      <c r="BA33" s="150">
        <v>28</v>
      </c>
      <c r="BB33" s="149">
        <f t="shared" si="11"/>
        <v>13440</v>
      </c>
      <c r="BC33" s="148">
        <f t="shared" si="1"/>
        <v>288</v>
      </c>
      <c r="BD33" s="147">
        <f t="shared" si="1"/>
        <v>129600</v>
      </c>
      <c r="BE33" s="133">
        <f>BD33/$BD$55</f>
        <v>5.9792497886962653E-3</v>
      </c>
    </row>
    <row r="34" spans="1:57" ht="15.75" outlineLevel="1">
      <c r="A34" s="144" t="s">
        <v>181</v>
      </c>
      <c r="B34" s="178" t="s">
        <v>180</v>
      </c>
      <c r="C34" s="68" t="s">
        <v>161</v>
      </c>
      <c r="D34" s="57">
        <v>25000</v>
      </c>
      <c r="E34" s="56">
        <v>1</v>
      </c>
      <c r="F34" s="110">
        <f>D34*E34</f>
        <v>25000</v>
      </c>
      <c r="G34" s="61">
        <v>15000</v>
      </c>
      <c r="H34" s="56">
        <v>1</v>
      </c>
      <c r="I34" s="127">
        <f>G34*H34</f>
        <v>15000</v>
      </c>
      <c r="J34" s="128">
        <v>25000</v>
      </c>
      <c r="K34" s="56">
        <v>1</v>
      </c>
      <c r="L34" s="110">
        <f>J34*K34</f>
        <v>25000</v>
      </c>
      <c r="M34" s="128">
        <v>25000</v>
      </c>
      <c r="N34" s="56">
        <v>1</v>
      </c>
      <c r="O34" s="110">
        <f>M34*N34</f>
        <v>25000</v>
      </c>
      <c r="P34" s="128">
        <v>25000</v>
      </c>
      <c r="Q34" s="56">
        <v>1</v>
      </c>
      <c r="R34" s="127">
        <f>P34*Q34</f>
        <v>25000</v>
      </c>
      <c r="S34" s="114">
        <v>25000</v>
      </c>
      <c r="T34" s="113">
        <v>1</v>
      </c>
      <c r="U34" s="112">
        <f>S34*T34</f>
        <v>25000</v>
      </c>
      <c r="V34" s="61">
        <v>25000</v>
      </c>
      <c r="W34" s="56">
        <v>0</v>
      </c>
      <c r="X34" s="127"/>
      <c r="Y34" s="184">
        <v>20000</v>
      </c>
      <c r="Z34" s="181">
        <v>1</v>
      </c>
      <c r="AA34" s="183">
        <f>Y34*Z34</f>
        <v>20000</v>
      </c>
      <c r="AB34" s="182">
        <v>20000</v>
      </c>
      <c r="AC34" s="181">
        <v>1</v>
      </c>
      <c r="AD34" s="180">
        <f>AB34*AC34</f>
        <v>20000</v>
      </c>
      <c r="AE34" s="156">
        <v>55000</v>
      </c>
      <c r="AF34" s="150">
        <v>1</v>
      </c>
      <c r="AG34" s="119">
        <f t="shared" si="15"/>
        <v>55000</v>
      </c>
      <c r="AH34" s="61">
        <v>25000</v>
      </c>
      <c r="AI34" s="56">
        <v>1</v>
      </c>
      <c r="AJ34" s="110">
        <f>AH34*AI34</f>
        <v>25000</v>
      </c>
      <c r="AK34" s="128">
        <v>20000</v>
      </c>
      <c r="AL34" s="56">
        <v>1</v>
      </c>
      <c r="AM34" s="110">
        <f>AK34*AL34</f>
        <v>20000</v>
      </c>
      <c r="AN34" s="79">
        <v>25000</v>
      </c>
      <c r="AO34" s="78">
        <v>1</v>
      </c>
      <c r="AP34" s="107">
        <f>AN34*AO34</f>
        <v>25000</v>
      </c>
      <c r="AQ34" s="128">
        <v>25000</v>
      </c>
      <c r="AR34" s="56">
        <v>1</v>
      </c>
      <c r="AS34" s="110">
        <f>AQ34*AR34</f>
        <v>25000</v>
      </c>
      <c r="AT34" s="128">
        <v>28000</v>
      </c>
      <c r="AU34" s="56">
        <v>1</v>
      </c>
      <c r="AV34" s="110">
        <f>AT34*AU34</f>
        <v>28000</v>
      </c>
      <c r="AW34" s="128">
        <v>25000</v>
      </c>
      <c r="AX34" s="56">
        <v>1</v>
      </c>
      <c r="AY34" s="110">
        <f>AW34*AX34</f>
        <v>25000</v>
      </c>
      <c r="AZ34" s="128">
        <v>35000</v>
      </c>
      <c r="BA34" s="56">
        <v>1</v>
      </c>
      <c r="BB34" s="127">
        <f>AZ34*BA34</f>
        <v>35000</v>
      </c>
      <c r="BC34" s="148">
        <f t="shared" si="1"/>
        <v>16</v>
      </c>
      <c r="BD34" s="147">
        <f t="shared" si="1"/>
        <v>418000</v>
      </c>
      <c r="BE34" s="179">
        <f>BD34/$BD$55</f>
        <v>1.9284926016011103E-2</v>
      </c>
    </row>
    <row r="35" spans="1:57" ht="16.5" outlineLevel="1" thickBot="1">
      <c r="A35" s="144" t="s">
        <v>729</v>
      </c>
      <c r="B35" s="178" t="s">
        <v>179</v>
      </c>
      <c r="C35" s="68"/>
      <c r="D35" s="57"/>
      <c r="E35" s="56"/>
      <c r="F35" s="110"/>
      <c r="G35" s="61"/>
      <c r="H35" s="56"/>
      <c r="I35" s="127"/>
      <c r="J35" s="128"/>
      <c r="K35" s="56"/>
      <c r="L35" s="110"/>
      <c r="M35" s="128"/>
      <c r="N35" s="56"/>
      <c r="O35" s="110"/>
      <c r="P35" s="128"/>
      <c r="Q35" s="56"/>
      <c r="R35" s="127"/>
      <c r="S35" s="177">
        <v>420000</v>
      </c>
      <c r="T35" s="176">
        <v>1</v>
      </c>
      <c r="U35" s="175">
        <f>S35*T35</f>
        <v>420000</v>
      </c>
      <c r="V35" s="61"/>
      <c r="W35" s="56"/>
      <c r="X35" s="127"/>
      <c r="Y35" s="174"/>
      <c r="Z35" s="173"/>
      <c r="AA35" s="172"/>
      <c r="AB35" s="171"/>
      <c r="AC35" s="63"/>
      <c r="AD35" s="170"/>
      <c r="AE35" s="169"/>
      <c r="AF35" s="168"/>
      <c r="AG35" s="167"/>
      <c r="AH35" s="61"/>
      <c r="AI35" s="56"/>
      <c r="AJ35" s="110"/>
      <c r="AK35" s="128"/>
      <c r="AL35" s="56"/>
      <c r="AM35" s="110"/>
      <c r="AN35" s="79"/>
      <c r="AO35" s="78"/>
      <c r="AP35" s="107"/>
      <c r="AQ35" s="128"/>
      <c r="AR35" s="56"/>
      <c r="AS35" s="110"/>
      <c r="AT35" s="128"/>
      <c r="AU35" s="56"/>
      <c r="AV35" s="110"/>
      <c r="AW35" s="128"/>
      <c r="AX35" s="56"/>
      <c r="AY35" s="110"/>
      <c r="AZ35" s="128"/>
      <c r="BA35" s="56"/>
      <c r="BB35" s="127"/>
      <c r="BC35" s="126">
        <f t="shared" si="1"/>
        <v>1</v>
      </c>
      <c r="BD35" s="125">
        <f t="shared" si="1"/>
        <v>420000</v>
      </c>
      <c r="BE35" s="124"/>
    </row>
    <row r="36" spans="1:57" ht="16.5" thickBot="1">
      <c r="A36" s="116" t="s">
        <v>23</v>
      </c>
      <c r="B36" s="115" t="s">
        <v>178</v>
      </c>
      <c r="C36" s="99"/>
      <c r="D36" s="23"/>
      <c r="E36" s="22"/>
      <c r="F36" s="108">
        <f>SUM(F37:F43)</f>
        <v>176000</v>
      </c>
      <c r="G36" s="23"/>
      <c r="H36" s="22"/>
      <c r="I36" s="108">
        <f>SUM(I37:I43)</f>
        <v>172000</v>
      </c>
      <c r="J36" s="23"/>
      <c r="K36" s="22"/>
      <c r="L36" s="108">
        <f>SUM(L37:L43)</f>
        <v>154700</v>
      </c>
      <c r="M36" s="23"/>
      <c r="N36" s="22"/>
      <c r="O36" s="108">
        <f>SUM(O37:O43)</f>
        <v>181600</v>
      </c>
      <c r="P36" s="23"/>
      <c r="Q36" s="22"/>
      <c r="R36" s="103">
        <f>SUM(R37:R43)</f>
        <v>135600</v>
      </c>
      <c r="S36" s="39"/>
      <c r="T36" s="38"/>
      <c r="U36" s="143">
        <f>SUM(U37:U43)</f>
        <v>169800</v>
      </c>
      <c r="V36" s="31"/>
      <c r="W36" s="22"/>
      <c r="X36" s="103">
        <f>SUM(X37:X43)</f>
        <v>178800</v>
      </c>
      <c r="Y36" s="33"/>
      <c r="Z36" s="32"/>
      <c r="AA36" s="111">
        <f>SUM(AA37:AA43)</f>
        <v>164800</v>
      </c>
      <c r="AB36" s="166"/>
      <c r="AC36" s="165"/>
      <c r="AD36" s="58">
        <f>SUM(AD37:AD43)</f>
        <v>188800</v>
      </c>
      <c r="AE36" s="48"/>
      <c r="AF36" s="47"/>
      <c r="AG36" s="58">
        <f>SUM(AG37:AG43)</f>
        <v>109000</v>
      </c>
      <c r="AH36" s="31"/>
      <c r="AI36" s="22"/>
      <c r="AJ36" s="108">
        <f>SUM(AJ37:AJ43)</f>
        <v>111000</v>
      </c>
      <c r="AK36" s="23"/>
      <c r="AL36" s="22"/>
      <c r="AM36" s="108">
        <f>SUM(AM37:AM43)</f>
        <v>73800</v>
      </c>
      <c r="AN36" s="29"/>
      <c r="AO36" s="28"/>
      <c r="AP36" s="142">
        <f>SUM(AP37:AP43)</f>
        <v>77800</v>
      </c>
      <c r="AQ36" s="23"/>
      <c r="AR36" s="22"/>
      <c r="AS36" s="108">
        <f>SUM(AS37:AS43)</f>
        <v>94200</v>
      </c>
      <c r="AT36" s="23"/>
      <c r="AU36" s="22"/>
      <c r="AV36" s="108">
        <f>SUM(AV37:AV43)</f>
        <v>188000</v>
      </c>
      <c r="AW36" s="23"/>
      <c r="AX36" s="22"/>
      <c r="AY36" s="108">
        <f>SUM(AY37:AY43)</f>
        <v>115800</v>
      </c>
      <c r="AZ36" s="23"/>
      <c r="BA36" s="22"/>
      <c r="BB36" s="103">
        <f>SUM(BB37:BB43)</f>
        <v>220800</v>
      </c>
      <c r="BC36" s="102"/>
      <c r="BD36" s="44">
        <f>SUM(F36,I36,L36,O36,R36,U36,X36,AA36,AD36,AG36,AJ36,AM36,AP36,AS36,AV36,AY36,BB36)</f>
        <v>2512500</v>
      </c>
      <c r="BE36" s="43">
        <f>BD36/$BD$55</f>
        <v>0.1159171689359519</v>
      </c>
    </row>
    <row r="37" spans="1:57" ht="15.75" outlineLevel="1">
      <c r="A37" s="141" t="s">
        <v>99</v>
      </c>
      <c r="B37" s="140" t="s">
        <v>177</v>
      </c>
      <c r="C37" s="526" t="s">
        <v>161</v>
      </c>
      <c r="D37" s="527">
        <v>12000</v>
      </c>
      <c r="E37" s="528">
        <v>7</v>
      </c>
      <c r="F37" s="529">
        <f t="shared" si="2"/>
        <v>84000</v>
      </c>
      <c r="G37" s="84">
        <v>12000</v>
      </c>
      <c r="H37" s="72">
        <v>8</v>
      </c>
      <c r="I37" s="530">
        <f>G37*H37</f>
        <v>96000</v>
      </c>
      <c r="J37" s="73">
        <v>12000</v>
      </c>
      <c r="K37" s="528">
        <v>6</v>
      </c>
      <c r="L37" s="529">
        <f t="shared" si="3"/>
        <v>72000</v>
      </c>
      <c r="M37" s="531">
        <v>12000</v>
      </c>
      <c r="N37" s="528">
        <v>7</v>
      </c>
      <c r="O37" s="532">
        <f t="shared" si="4"/>
        <v>84000</v>
      </c>
      <c r="P37" s="73">
        <v>12000</v>
      </c>
      <c r="Q37" s="528">
        <v>4</v>
      </c>
      <c r="R37" s="533">
        <f t="shared" si="5"/>
        <v>48000</v>
      </c>
      <c r="S37" s="114">
        <v>12000</v>
      </c>
      <c r="T37" s="534">
        <v>8</v>
      </c>
      <c r="U37" s="535">
        <f t="shared" ref="U37:U43" si="16">S37*T37</f>
        <v>96000</v>
      </c>
      <c r="V37" s="536">
        <v>15000</v>
      </c>
      <c r="W37" s="528">
        <v>6</v>
      </c>
      <c r="X37" s="533">
        <f t="shared" ref="X37:X43" si="17">V37*W37</f>
        <v>90000</v>
      </c>
      <c r="Y37" s="537">
        <v>12000</v>
      </c>
      <c r="Z37" s="538">
        <v>6</v>
      </c>
      <c r="AA37" s="539">
        <f t="shared" ref="AA37:AA43" si="18">Y37*Z37</f>
        <v>72000</v>
      </c>
      <c r="AB37" s="161">
        <v>12000</v>
      </c>
      <c r="AC37" s="160">
        <v>8</v>
      </c>
      <c r="AD37" s="540">
        <f t="shared" ref="AD37:AD43" si="19">AB37*AC37</f>
        <v>96000</v>
      </c>
      <c r="AE37" s="541">
        <v>12000</v>
      </c>
      <c r="AF37" s="542">
        <v>3</v>
      </c>
      <c r="AG37" s="543">
        <f t="shared" ref="AG37:AG43" si="20">AE37*AF37</f>
        <v>36000</v>
      </c>
      <c r="AH37" s="84">
        <v>12000</v>
      </c>
      <c r="AI37" s="72">
        <v>4</v>
      </c>
      <c r="AJ37" s="532">
        <f t="shared" si="6"/>
        <v>48000</v>
      </c>
      <c r="AK37" s="73">
        <v>12000</v>
      </c>
      <c r="AL37" s="72">
        <v>0</v>
      </c>
      <c r="AM37" s="137">
        <f t="shared" si="7"/>
        <v>0</v>
      </c>
      <c r="AN37" s="79">
        <v>12000</v>
      </c>
      <c r="AO37" s="544">
        <v>2</v>
      </c>
      <c r="AP37" s="545">
        <f t="shared" ref="AP37:AP43" si="21">AN37*AO37</f>
        <v>24000</v>
      </c>
      <c r="AQ37" s="73">
        <v>12000</v>
      </c>
      <c r="AR37" s="528">
        <v>2.5</v>
      </c>
      <c r="AS37" s="532">
        <f t="shared" si="8"/>
        <v>30000</v>
      </c>
      <c r="AT37" s="73">
        <v>12000</v>
      </c>
      <c r="AU37" s="72">
        <v>8</v>
      </c>
      <c r="AV37" s="532">
        <f t="shared" si="9"/>
        <v>96000</v>
      </c>
      <c r="AW37" s="73">
        <v>12000</v>
      </c>
      <c r="AX37" s="528">
        <v>1</v>
      </c>
      <c r="AY37" s="529">
        <f t="shared" si="10"/>
        <v>12000</v>
      </c>
      <c r="AZ37" s="73">
        <v>12000</v>
      </c>
      <c r="BA37" s="528">
        <v>10</v>
      </c>
      <c r="BB37" s="533">
        <f t="shared" si="11"/>
        <v>120000</v>
      </c>
      <c r="BC37" s="135">
        <f t="shared" si="1"/>
        <v>90.5</v>
      </c>
      <c r="BD37" s="134">
        <f t="shared" si="1"/>
        <v>1104000</v>
      </c>
      <c r="BE37" s="133">
        <f>BD37/$BD$55</f>
        <v>5.093435005185707E-2</v>
      </c>
    </row>
    <row r="38" spans="1:57" ht="15.75" outlineLevel="1">
      <c r="A38" s="159" t="s">
        <v>100</v>
      </c>
      <c r="B38" s="158" t="s">
        <v>176</v>
      </c>
      <c r="C38" s="546" t="s">
        <v>161</v>
      </c>
      <c r="D38" s="254">
        <v>20000</v>
      </c>
      <c r="E38" s="150">
        <v>1</v>
      </c>
      <c r="F38" s="119">
        <f t="shared" si="2"/>
        <v>20000</v>
      </c>
      <c r="G38" s="121">
        <v>21000</v>
      </c>
      <c r="H38" s="150">
        <v>1</v>
      </c>
      <c r="I38" s="149">
        <f>G38*H38</f>
        <v>21000</v>
      </c>
      <c r="J38" s="151">
        <v>20700</v>
      </c>
      <c r="K38" s="150">
        <v>1</v>
      </c>
      <c r="L38" s="119">
        <f t="shared" si="3"/>
        <v>20700</v>
      </c>
      <c r="M38" s="151">
        <v>20600</v>
      </c>
      <c r="N38" s="150">
        <v>1</v>
      </c>
      <c r="O38" s="119">
        <f t="shared" si="4"/>
        <v>20600</v>
      </c>
      <c r="P38" s="151">
        <v>20600</v>
      </c>
      <c r="Q38" s="150">
        <v>1</v>
      </c>
      <c r="R38" s="149">
        <f t="shared" si="5"/>
        <v>20600</v>
      </c>
      <c r="S38" s="114">
        <v>16800</v>
      </c>
      <c r="T38" s="113">
        <v>1</v>
      </c>
      <c r="U38" s="112">
        <f t="shared" si="16"/>
        <v>16800</v>
      </c>
      <c r="V38" s="121">
        <v>16800</v>
      </c>
      <c r="W38" s="150">
        <v>1</v>
      </c>
      <c r="X38" s="149">
        <f t="shared" si="17"/>
        <v>16800</v>
      </c>
      <c r="Y38" s="155">
        <v>20800</v>
      </c>
      <c r="Z38" s="120">
        <v>1</v>
      </c>
      <c r="AA38" s="154">
        <f t="shared" si="18"/>
        <v>20800</v>
      </c>
      <c r="AB38" s="153">
        <v>20800</v>
      </c>
      <c r="AC38" s="152">
        <v>1</v>
      </c>
      <c r="AD38" s="547">
        <f t="shared" si="19"/>
        <v>20800</v>
      </c>
      <c r="AE38" s="150">
        <v>21000</v>
      </c>
      <c r="AF38" s="150">
        <v>1</v>
      </c>
      <c r="AG38" s="541">
        <f t="shared" si="20"/>
        <v>21000</v>
      </c>
      <c r="AH38" s="121">
        <v>21000</v>
      </c>
      <c r="AI38" s="150">
        <v>1</v>
      </c>
      <c r="AJ38" s="119">
        <f t="shared" si="6"/>
        <v>21000</v>
      </c>
      <c r="AK38" s="151">
        <v>20800</v>
      </c>
      <c r="AL38" s="150">
        <v>1</v>
      </c>
      <c r="AM38" s="119">
        <f t="shared" si="7"/>
        <v>20800</v>
      </c>
      <c r="AN38" s="79">
        <v>16800</v>
      </c>
      <c r="AO38" s="78">
        <v>1</v>
      </c>
      <c r="AP38" s="107">
        <f t="shared" si="21"/>
        <v>16800</v>
      </c>
      <c r="AQ38" s="151">
        <v>15200</v>
      </c>
      <c r="AR38" s="150">
        <v>1</v>
      </c>
      <c r="AS38" s="119">
        <f t="shared" si="8"/>
        <v>15200</v>
      </c>
      <c r="AT38" s="151">
        <v>15000</v>
      </c>
      <c r="AU38" s="150">
        <v>1</v>
      </c>
      <c r="AV38" s="119">
        <f t="shared" si="9"/>
        <v>15000</v>
      </c>
      <c r="AW38" s="151">
        <v>16800</v>
      </c>
      <c r="AX38" s="150">
        <v>1</v>
      </c>
      <c r="AY38" s="119">
        <f t="shared" si="10"/>
        <v>16800</v>
      </c>
      <c r="AZ38" s="151">
        <v>16800</v>
      </c>
      <c r="BA38" s="150">
        <v>1</v>
      </c>
      <c r="BB38" s="149">
        <f t="shared" si="11"/>
        <v>16800</v>
      </c>
      <c r="BC38" s="148">
        <f t="shared" si="1"/>
        <v>17</v>
      </c>
      <c r="BD38" s="147">
        <f t="shared" si="1"/>
        <v>321500</v>
      </c>
      <c r="BE38" s="133">
        <f>BD38/$BD$55</f>
        <v>1.4832784005137725E-2</v>
      </c>
    </row>
    <row r="39" spans="1:57" ht="15.75" outlineLevel="1">
      <c r="A39" s="159" t="s">
        <v>175</v>
      </c>
      <c r="B39" s="158" t="s">
        <v>174</v>
      </c>
      <c r="C39" s="546" t="s">
        <v>161</v>
      </c>
      <c r="D39" s="548">
        <v>30000</v>
      </c>
      <c r="E39" s="150">
        <v>1</v>
      </c>
      <c r="F39" s="549">
        <f t="shared" si="2"/>
        <v>30000</v>
      </c>
      <c r="G39" s="550">
        <v>30000</v>
      </c>
      <c r="H39" s="150">
        <v>1</v>
      </c>
      <c r="I39" s="551">
        <f>G39*H39</f>
        <v>30000</v>
      </c>
      <c r="J39" s="552">
        <v>25000</v>
      </c>
      <c r="K39" s="150">
        <v>1</v>
      </c>
      <c r="L39" s="549">
        <f t="shared" si="3"/>
        <v>25000</v>
      </c>
      <c r="M39" s="552">
        <v>25000</v>
      </c>
      <c r="N39" s="553">
        <v>1</v>
      </c>
      <c r="O39" s="549">
        <f t="shared" si="4"/>
        <v>25000</v>
      </c>
      <c r="P39" s="552">
        <v>30000</v>
      </c>
      <c r="Q39" s="150">
        <v>1</v>
      </c>
      <c r="R39" s="551">
        <f t="shared" si="5"/>
        <v>30000</v>
      </c>
      <c r="S39" s="554">
        <v>30000</v>
      </c>
      <c r="T39" s="534">
        <v>1</v>
      </c>
      <c r="U39" s="555">
        <f t="shared" si="16"/>
        <v>30000</v>
      </c>
      <c r="V39" s="550">
        <v>30000</v>
      </c>
      <c r="W39" s="150">
        <v>1</v>
      </c>
      <c r="X39" s="551">
        <f t="shared" si="17"/>
        <v>30000</v>
      </c>
      <c r="Y39" s="556">
        <v>30000</v>
      </c>
      <c r="Z39" s="557">
        <v>1</v>
      </c>
      <c r="AA39" s="558">
        <f t="shared" si="18"/>
        <v>30000</v>
      </c>
      <c r="AB39" s="559">
        <v>30000</v>
      </c>
      <c r="AC39" s="560">
        <v>1</v>
      </c>
      <c r="AD39" s="561">
        <f t="shared" si="19"/>
        <v>30000</v>
      </c>
      <c r="AE39" s="150">
        <v>10000</v>
      </c>
      <c r="AF39" s="150">
        <v>1</v>
      </c>
      <c r="AG39" s="541">
        <f t="shared" si="20"/>
        <v>10000</v>
      </c>
      <c r="AH39" s="121">
        <v>5000</v>
      </c>
      <c r="AI39" s="150">
        <v>1</v>
      </c>
      <c r="AJ39" s="119">
        <f t="shared" si="6"/>
        <v>5000</v>
      </c>
      <c r="AK39" s="552">
        <v>30000</v>
      </c>
      <c r="AL39" s="553">
        <v>1</v>
      </c>
      <c r="AM39" s="549">
        <f t="shared" si="7"/>
        <v>30000</v>
      </c>
      <c r="AN39" s="562">
        <v>15000</v>
      </c>
      <c r="AO39" s="78">
        <v>1</v>
      </c>
      <c r="AP39" s="563">
        <f t="shared" si="21"/>
        <v>15000</v>
      </c>
      <c r="AQ39" s="552">
        <v>30000</v>
      </c>
      <c r="AR39" s="553">
        <v>1</v>
      </c>
      <c r="AS39" s="119">
        <f t="shared" si="8"/>
        <v>30000</v>
      </c>
      <c r="AT39" s="552">
        <v>30000</v>
      </c>
      <c r="AU39" s="150">
        <v>1</v>
      </c>
      <c r="AV39" s="549">
        <f t="shared" si="9"/>
        <v>30000</v>
      </c>
      <c r="AW39" s="552">
        <v>30000</v>
      </c>
      <c r="AX39" s="553">
        <v>1</v>
      </c>
      <c r="AY39" s="549">
        <f t="shared" si="10"/>
        <v>30000</v>
      </c>
      <c r="AZ39" s="552">
        <v>35000</v>
      </c>
      <c r="BA39" s="553">
        <v>1</v>
      </c>
      <c r="BB39" s="551">
        <f t="shared" si="11"/>
        <v>35000</v>
      </c>
      <c r="BC39" s="148">
        <f t="shared" si="1"/>
        <v>17</v>
      </c>
      <c r="BD39" s="147">
        <f t="shared" si="1"/>
        <v>445000</v>
      </c>
      <c r="BE39" s="133">
        <f>BD39/$BD$55</f>
        <v>2.0530603055322824E-2</v>
      </c>
    </row>
    <row r="40" spans="1:57" ht="15.75" outlineLevel="1">
      <c r="A40" s="159" t="s">
        <v>173</v>
      </c>
      <c r="B40" s="158" t="s">
        <v>730</v>
      </c>
      <c r="C40" s="564" t="s">
        <v>161</v>
      </c>
      <c r="D40" s="565">
        <v>7000</v>
      </c>
      <c r="E40" s="566">
        <v>1</v>
      </c>
      <c r="F40" s="542">
        <f>E40*D40</f>
        <v>7000</v>
      </c>
      <c r="G40" s="566">
        <v>7000</v>
      </c>
      <c r="H40" s="566">
        <v>1</v>
      </c>
      <c r="I40" s="542">
        <f>G40*H40</f>
        <v>7000</v>
      </c>
      <c r="J40" s="566">
        <v>7000</v>
      </c>
      <c r="K40" s="566">
        <v>1</v>
      </c>
      <c r="L40" s="542">
        <f t="shared" si="3"/>
        <v>7000</v>
      </c>
      <c r="M40" s="566">
        <v>7000</v>
      </c>
      <c r="N40" s="566">
        <v>1</v>
      </c>
      <c r="O40" s="542">
        <f t="shared" si="4"/>
        <v>7000</v>
      </c>
      <c r="P40" s="566">
        <v>7000</v>
      </c>
      <c r="Q40" s="566">
        <v>1</v>
      </c>
      <c r="R40" s="542">
        <f t="shared" si="5"/>
        <v>7000</v>
      </c>
      <c r="S40" s="567">
        <v>7000</v>
      </c>
      <c r="T40" s="567">
        <v>1</v>
      </c>
      <c r="U40" s="568">
        <f t="shared" si="16"/>
        <v>7000</v>
      </c>
      <c r="V40" s="566">
        <v>7000</v>
      </c>
      <c r="W40" s="566">
        <v>1</v>
      </c>
      <c r="X40" s="542">
        <f t="shared" si="17"/>
        <v>7000</v>
      </c>
      <c r="Y40" s="569">
        <v>7000</v>
      </c>
      <c r="Z40" s="560">
        <v>1</v>
      </c>
      <c r="AA40" s="570">
        <f t="shared" si="18"/>
        <v>7000</v>
      </c>
      <c r="AB40" s="566">
        <v>7000</v>
      </c>
      <c r="AC40" s="560">
        <v>1</v>
      </c>
      <c r="AD40" s="542">
        <f t="shared" si="19"/>
        <v>7000</v>
      </c>
      <c r="AE40" s="566">
        <v>7000</v>
      </c>
      <c r="AF40" s="566">
        <v>1</v>
      </c>
      <c r="AG40" s="542">
        <f t="shared" si="20"/>
        <v>7000</v>
      </c>
      <c r="AH40" s="566">
        <v>7000</v>
      </c>
      <c r="AI40" s="566">
        <v>1</v>
      </c>
      <c r="AJ40" s="542">
        <f t="shared" si="6"/>
        <v>7000</v>
      </c>
      <c r="AK40" s="566">
        <v>7000</v>
      </c>
      <c r="AL40" s="566">
        <v>1</v>
      </c>
      <c r="AM40" s="542">
        <f t="shared" si="7"/>
        <v>7000</v>
      </c>
      <c r="AN40" s="571">
        <v>7000</v>
      </c>
      <c r="AO40" s="571">
        <v>1</v>
      </c>
      <c r="AP40" s="572">
        <f t="shared" si="21"/>
        <v>7000</v>
      </c>
      <c r="AQ40" s="566">
        <v>7000</v>
      </c>
      <c r="AR40" s="566">
        <v>1</v>
      </c>
      <c r="AS40" s="542">
        <f t="shared" si="8"/>
        <v>7000</v>
      </c>
      <c r="AT40" s="566">
        <v>7000</v>
      </c>
      <c r="AU40" s="566">
        <v>1</v>
      </c>
      <c r="AV40" s="542">
        <f t="shared" si="9"/>
        <v>7000</v>
      </c>
      <c r="AW40" s="566">
        <v>8000</v>
      </c>
      <c r="AX40" s="566">
        <v>1</v>
      </c>
      <c r="AY40" s="542">
        <f t="shared" si="10"/>
        <v>8000</v>
      </c>
      <c r="AZ40" s="566">
        <v>8000</v>
      </c>
      <c r="BA40" s="566">
        <v>1</v>
      </c>
      <c r="BB40" s="561">
        <f t="shared" si="11"/>
        <v>8000</v>
      </c>
      <c r="BC40" s="148">
        <f t="shared" si="1"/>
        <v>17</v>
      </c>
      <c r="BD40" s="147">
        <f t="shared" si="1"/>
        <v>121000</v>
      </c>
      <c r="BE40" s="179"/>
    </row>
    <row r="41" spans="1:57" ht="15.75" outlineLevel="1">
      <c r="A41" s="159" t="s">
        <v>731</v>
      </c>
      <c r="B41" s="573" t="s">
        <v>732</v>
      </c>
      <c r="C41" s="564" t="s">
        <v>161</v>
      </c>
      <c r="D41" s="565">
        <v>25000</v>
      </c>
      <c r="E41" s="566">
        <v>1</v>
      </c>
      <c r="F41" s="542">
        <v>25000</v>
      </c>
      <c r="G41" s="250"/>
      <c r="H41" s="250" t="s">
        <v>733</v>
      </c>
      <c r="I41" s="541"/>
      <c r="J41" s="566">
        <v>25000</v>
      </c>
      <c r="K41" s="250">
        <v>1</v>
      </c>
      <c r="L41" s="542">
        <v>20000</v>
      </c>
      <c r="M41" s="250"/>
      <c r="N41" s="250"/>
      <c r="O41" s="541">
        <f t="shared" si="4"/>
        <v>0</v>
      </c>
      <c r="P41" s="566">
        <v>25000</v>
      </c>
      <c r="Q41" s="566">
        <v>1</v>
      </c>
      <c r="R41" s="542">
        <f t="shared" si="5"/>
        <v>25000</v>
      </c>
      <c r="S41" s="567">
        <v>0</v>
      </c>
      <c r="T41" s="574"/>
      <c r="U41" s="568">
        <f t="shared" si="16"/>
        <v>0</v>
      </c>
      <c r="V41" s="566">
        <v>25000</v>
      </c>
      <c r="W41" s="566">
        <v>1</v>
      </c>
      <c r="X41" s="542">
        <f t="shared" si="17"/>
        <v>25000</v>
      </c>
      <c r="Y41" s="569">
        <v>25000</v>
      </c>
      <c r="Z41" s="560">
        <v>1</v>
      </c>
      <c r="AA41" s="570">
        <f t="shared" si="18"/>
        <v>25000</v>
      </c>
      <c r="AB41" s="566">
        <v>25000</v>
      </c>
      <c r="AC41" s="560">
        <v>1</v>
      </c>
      <c r="AD41" s="542">
        <f t="shared" si="19"/>
        <v>25000</v>
      </c>
      <c r="AE41" s="566">
        <v>25000</v>
      </c>
      <c r="AF41" s="566">
        <v>1</v>
      </c>
      <c r="AG41" s="542">
        <f t="shared" si="20"/>
        <v>25000</v>
      </c>
      <c r="AH41" s="566">
        <v>25000</v>
      </c>
      <c r="AI41" s="566">
        <v>1</v>
      </c>
      <c r="AJ41" s="542">
        <f t="shared" si="6"/>
        <v>25000</v>
      </c>
      <c r="AK41" s="566"/>
      <c r="AL41" s="250"/>
      <c r="AM41" s="542"/>
      <c r="AN41" s="575"/>
      <c r="AO41" s="575"/>
      <c r="AP41" s="576">
        <f t="shared" si="21"/>
        <v>0</v>
      </c>
      <c r="AQ41" s="250"/>
      <c r="AR41" s="250"/>
      <c r="AS41" s="541">
        <f t="shared" si="8"/>
        <v>0</v>
      </c>
      <c r="AT41" s="566">
        <v>30000</v>
      </c>
      <c r="AU41" s="566">
        <v>1</v>
      </c>
      <c r="AV41" s="542">
        <f t="shared" si="9"/>
        <v>30000</v>
      </c>
      <c r="AW41" s="566">
        <v>25000</v>
      </c>
      <c r="AX41" s="566">
        <v>1</v>
      </c>
      <c r="AY41" s="542">
        <f t="shared" si="10"/>
        <v>25000</v>
      </c>
      <c r="AZ41" s="566">
        <v>25000</v>
      </c>
      <c r="BA41" s="566">
        <v>1</v>
      </c>
      <c r="BB41" s="561">
        <f t="shared" si="11"/>
        <v>25000</v>
      </c>
      <c r="BC41" s="148">
        <f t="shared" si="1"/>
        <v>11</v>
      </c>
      <c r="BD41" s="147">
        <f t="shared" si="1"/>
        <v>275000</v>
      </c>
      <c r="BE41" s="179"/>
    </row>
    <row r="42" spans="1:57" ht="15.75" outlineLevel="1">
      <c r="A42" s="159" t="s">
        <v>734</v>
      </c>
      <c r="B42" s="573" t="s">
        <v>735</v>
      </c>
      <c r="C42" s="577" t="s">
        <v>161</v>
      </c>
      <c r="D42" s="565"/>
      <c r="E42" s="250">
        <v>0</v>
      </c>
      <c r="F42" s="542">
        <f t="shared" si="2"/>
        <v>0</v>
      </c>
      <c r="G42" s="250"/>
      <c r="H42" s="250" t="s">
        <v>733</v>
      </c>
      <c r="I42" s="541"/>
      <c r="J42" s="250"/>
      <c r="K42" s="250"/>
      <c r="L42" s="541">
        <f t="shared" si="3"/>
        <v>0</v>
      </c>
      <c r="M42" s="566">
        <v>35000</v>
      </c>
      <c r="N42" s="566">
        <v>1</v>
      </c>
      <c r="O42" s="542">
        <f t="shared" si="4"/>
        <v>35000</v>
      </c>
      <c r="P42" s="250"/>
      <c r="Q42" s="250"/>
      <c r="R42" s="541">
        <f t="shared" si="5"/>
        <v>0</v>
      </c>
      <c r="S42" s="574"/>
      <c r="T42" s="574"/>
      <c r="U42" s="568">
        <f t="shared" si="16"/>
        <v>0</v>
      </c>
      <c r="V42" s="250"/>
      <c r="W42" s="250"/>
      <c r="X42" s="541">
        <f t="shared" si="17"/>
        <v>0</v>
      </c>
      <c r="Y42" s="578"/>
      <c r="Z42" s="152"/>
      <c r="AA42" s="579">
        <f t="shared" si="18"/>
        <v>0</v>
      </c>
      <c r="AB42" s="250"/>
      <c r="AC42" s="152"/>
      <c r="AD42" s="541">
        <f t="shared" si="19"/>
        <v>0</v>
      </c>
      <c r="AE42" s="250"/>
      <c r="AF42" s="250"/>
      <c r="AG42" s="541">
        <f t="shared" si="20"/>
        <v>0</v>
      </c>
      <c r="AH42" s="250"/>
      <c r="AI42" s="250"/>
      <c r="AJ42" s="541">
        <f t="shared" si="6"/>
        <v>0</v>
      </c>
      <c r="AK42" s="566">
        <v>6000</v>
      </c>
      <c r="AL42" s="250">
        <v>1</v>
      </c>
      <c r="AM42" s="542">
        <f t="shared" si="7"/>
        <v>6000</v>
      </c>
      <c r="AN42" s="575"/>
      <c r="AO42" s="575"/>
      <c r="AP42" s="576">
        <f t="shared" si="21"/>
        <v>0</v>
      </c>
      <c r="AQ42" s="250"/>
      <c r="AR42" s="250"/>
      <c r="AS42" s="541">
        <f t="shared" si="8"/>
        <v>0</v>
      </c>
      <c r="AT42" s="250"/>
      <c r="AU42" s="250"/>
      <c r="AV42" s="541">
        <f t="shared" si="9"/>
        <v>0</v>
      </c>
      <c r="AW42" s="566">
        <v>4000</v>
      </c>
      <c r="AX42" s="566">
        <v>1</v>
      </c>
      <c r="AY42" s="542">
        <f t="shared" si="10"/>
        <v>4000</v>
      </c>
      <c r="AZ42" s="250"/>
      <c r="BA42" s="250"/>
      <c r="BB42" s="547">
        <f t="shared" si="11"/>
        <v>0</v>
      </c>
      <c r="BC42" s="148">
        <f t="shared" si="1"/>
        <v>3</v>
      </c>
      <c r="BD42" s="147">
        <f t="shared" si="1"/>
        <v>45000</v>
      </c>
      <c r="BE42" s="179"/>
    </row>
    <row r="43" spans="1:57" ht="16.5" outlineLevel="1" thickBot="1">
      <c r="A43" s="217" t="s">
        <v>736</v>
      </c>
      <c r="B43" s="216" t="s">
        <v>172</v>
      </c>
      <c r="C43" s="580" t="s">
        <v>161</v>
      </c>
      <c r="D43" s="59">
        <v>10000</v>
      </c>
      <c r="E43" s="47">
        <v>1</v>
      </c>
      <c r="F43" s="209">
        <f t="shared" si="2"/>
        <v>10000</v>
      </c>
      <c r="G43" s="210">
        <v>18000</v>
      </c>
      <c r="H43" s="47">
        <v>1</v>
      </c>
      <c r="I43" s="207">
        <f>G43*H43</f>
        <v>18000</v>
      </c>
      <c r="J43" s="208">
        <v>10000</v>
      </c>
      <c r="K43" s="47">
        <v>1</v>
      </c>
      <c r="L43" s="209">
        <f t="shared" si="3"/>
        <v>10000</v>
      </c>
      <c r="M43" s="208">
        <v>10000</v>
      </c>
      <c r="N43" s="47">
        <v>1</v>
      </c>
      <c r="O43" s="209">
        <f t="shared" si="4"/>
        <v>10000</v>
      </c>
      <c r="P43" s="208">
        <v>5000</v>
      </c>
      <c r="Q43" s="47">
        <v>1</v>
      </c>
      <c r="R43" s="207">
        <f t="shared" si="5"/>
        <v>5000</v>
      </c>
      <c r="S43" s="581">
        <v>20000</v>
      </c>
      <c r="T43" s="582">
        <v>1</v>
      </c>
      <c r="U43" s="583">
        <f t="shared" si="16"/>
        <v>20000</v>
      </c>
      <c r="V43" s="210">
        <v>10000</v>
      </c>
      <c r="W43" s="47">
        <v>1</v>
      </c>
      <c r="X43" s="207">
        <f t="shared" si="17"/>
        <v>10000</v>
      </c>
      <c r="Y43" s="166">
        <v>10000</v>
      </c>
      <c r="Z43" s="165">
        <v>1</v>
      </c>
      <c r="AA43" s="584">
        <f t="shared" si="18"/>
        <v>10000</v>
      </c>
      <c r="AB43" s="585">
        <v>10000</v>
      </c>
      <c r="AC43" s="586">
        <v>1</v>
      </c>
      <c r="AD43" s="587">
        <f t="shared" si="19"/>
        <v>10000</v>
      </c>
      <c r="AE43" s="72">
        <v>10000</v>
      </c>
      <c r="AF43" s="72">
        <v>1</v>
      </c>
      <c r="AG43" s="588">
        <f t="shared" si="20"/>
        <v>10000</v>
      </c>
      <c r="AH43" s="210">
        <v>5000</v>
      </c>
      <c r="AI43" s="47">
        <v>1</v>
      </c>
      <c r="AJ43" s="209">
        <f t="shared" si="6"/>
        <v>5000</v>
      </c>
      <c r="AK43" s="208">
        <v>10000</v>
      </c>
      <c r="AL43" s="47">
        <v>1</v>
      </c>
      <c r="AM43" s="209">
        <f t="shared" si="7"/>
        <v>10000</v>
      </c>
      <c r="AN43" s="589">
        <v>15000</v>
      </c>
      <c r="AO43" s="188">
        <v>1</v>
      </c>
      <c r="AP43" s="187">
        <f t="shared" si="21"/>
        <v>15000</v>
      </c>
      <c r="AQ43" s="208">
        <v>12000</v>
      </c>
      <c r="AR43" s="47">
        <v>1</v>
      </c>
      <c r="AS43" s="209">
        <f t="shared" si="8"/>
        <v>12000</v>
      </c>
      <c r="AT43" s="208">
        <v>10000</v>
      </c>
      <c r="AU43" s="47">
        <v>1</v>
      </c>
      <c r="AV43" s="209">
        <f t="shared" si="9"/>
        <v>10000</v>
      </c>
      <c r="AW43" s="208">
        <v>20000</v>
      </c>
      <c r="AX43" s="47">
        <v>1</v>
      </c>
      <c r="AY43" s="209">
        <f t="shared" si="10"/>
        <v>20000</v>
      </c>
      <c r="AZ43" s="208">
        <v>16000</v>
      </c>
      <c r="BA43" s="47">
        <v>1</v>
      </c>
      <c r="BB43" s="207">
        <f t="shared" si="11"/>
        <v>16000</v>
      </c>
      <c r="BC43" s="590">
        <f t="shared" si="1"/>
        <v>17</v>
      </c>
      <c r="BD43" s="591">
        <f t="shared" si="1"/>
        <v>201000</v>
      </c>
      <c r="BE43" s="124">
        <f t="shared" ref="BE43:BE55" si="22">BD43/$BD$55</f>
        <v>9.2733735148761518E-3</v>
      </c>
    </row>
    <row r="44" spans="1:57" ht="16.5" thickBot="1">
      <c r="A44" s="116" t="s">
        <v>24</v>
      </c>
      <c r="B44" s="115" t="s">
        <v>171</v>
      </c>
      <c r="C44" s="99"/>
      <c r="D44" s="23"/>
      <c r="E44" s="22"/>
      <c r="F44" s="108">
        <f>SUM(F45:F46)</f>
        <v>246000</v>
      </c>
      <c r="G44" s="23"/>
      <c r="H44" s="22"/>
      <c r="I44" s="108">
        <f>SUM(I45:I46)</f>
        <v>246000</v>
      </c>
      <c r="J44" s="23"/>
      <c r="K44" s="22"/>
      <c r="L44" s="108">
        <f>SUM(L45:L46)</f>
        <v>246000</v>
      </c>
      <c r="M44" s="23"/>
      <c r="N44" s="22"/>
      <c r="O44" s="108">
        <f>SUM(O45:O46)</f>
        <v>246000</v>
      </c>
      <c r="P44" s="23"/>
      <c r="Q44" s="22"/>
      <c r="R44" s="103">
        <f>SUM(R45:R46)</f>
        <v>246000</v>
      </c>
      <c r="S44" s="39"/>
      <c r="T44" s="38"/>
      <c r="U44" s="143">
        <f>SUM(U45:U46)</f>
        <v>348000</v>
      </c>
      <c r="V44" s="31"/>
      <c r="W44" s="22"/>
      <c r="X44" s="103">
        <f>SUM(X45:X46)</f>
        <v>270000</v>
      </c>
      <c r="Y44" s="33"/>
      <c r="Z44" s="32"/>
      <c r="AA44" s="111">
        <f>SUM(AA45:AA46)</f>
        <v>246000</v>
      </c>
      <c r="AB44" s="36"/>
      <c r="AC44" s="35"/>
      <c r="AD44" s="145">
        <f>SUM(AD45:AD46)</f>
        <v>246000</v>
      </c>
      <c r="AE44" s="164"/>
      <c r="AF44" s="163"/>
      <c r="AG44" s="145">
        <v>246000</v>
      </c>
      <c r="AH44" s="31"/>
      <c r="AI44" s="22"/>
      <c r="AJ44" s="108">
        <f>SUM(AJ45:AJ46)</f>
        <v>246000</v>
      </c>
      <c r="AK44" s="23"/>
      <c r="AL44" s="22"/>
      <c r="AM44" s="108">
        <f>SUM(AM45:AM46)</f>
        <v>246000</v>
      </c>
      <c r="AN44" s="29"/>
      <c r="AO44" s="28"/>
      <c r="AP44" s="142">
        <f>SUM(AP45:AP46)</f>
        <v>270000</v>
      </c>
      <c r="AQ44" s="23"/>
      <c r="AR44" s="22"/>
      <c r="AS44" s="108">
        <f>SUM(AS45:AS46)</f>
        <v>405000</v>
      </c>
      <c r="AT44" s="23"/>
      <c r="AU44" s="22"/>
      <c r="AV44" s="108">
        <f>SUM(AV45:AV46)</f>
        <v>246000</v>
      </c>
      <c r="AW44" s="23"/>
      <c r="AX44" s="22"/>
      <c r="AY44" s="108">
        <f>SUM(AY45:AY46)</f>
        <v>270000</v>
      </c>
      <c r="AZ44" s="23"/>
      <c r="BA44" s="22"/>
      <c r="BB44" s="103">
        <f>SUM(BB45:BB46)</f>
        <v>312000</v>
      </c>
      <c r="BC44" s="102"/>
      <c r="BD44" s="44">
        <f t="shared" si="1"/>
        <v>4581000</v>
      </c>
      <c r="BE44" s="43">
        <f t="shared" si="22"/>
        <v>0.21134987100322214</v>
      </c>
    </row>
    <row r="45" spans="1:57" ht="15.75" outlineLevel="1">
      <c r="A45" s="141" t="s">
        <v>101</v>
      </c>
      <c r="B45" s="140" t="s">
        <v>169</v>
      </c>
      <c r="C45" s="91" t="s">
        <v>161</v>
      </c>
      <c r="D45" s="80">
        <v>6000</v>
      </c>
      <c r="E45" s="72">
        <v>6</v>
      </c>
      <c r="F45" s="532">
        <f t="shared" si="2"/>
        <v>36000</v>
      </c>
      <c r="G45" s="84">
        <v>6000</v>
      </c>
      <c r="H45" s="72">
        <v>6</v>
      </c>
      <c r="I45" s="530">
        <f>G45*H45</f>
        <v>36000</v>
      </c>
      <c r="J45" s="73">
        <v>6000</v>
      </c>
      <c r="K45" s="72">
        <v>6</v>
      </c>
      <c r="L45" s="532">
        <f t="shared" si="3"/>
        <v>36000</v>
      </c>
      <c r="M45" s="73">
        <v>6000</v>
      </c>
      <c r="N45" s="72">
        <v>6</v>
      </c>
      <c r="O45" s="532">
        <f t="shared" si="4"/>
        <v>36000</v>
      </c>
      <c r="P45" s="73">
        <v>6000</v>
      </c>
      <c r="Q45" s="72">
        <v>6</v>
      </c>
      <c r="R45" s="530">
        <f t="shared" si="5"/>
        <v>36000</v>
      </c>
      <c r="S45" s="114">
        <v>6000</v>
      </c>
      <c r="T45" s="113">
        <v>6</v>
      </c>
      <c r="U45" s="592">
        <f>S45*T45</f>
        <v>36000</v>
      </c>
      <c r="V45" s="84">
        <v>6000</v>
      </c>
      <c r="W45" s="72">
        <v>6</v>
      </c>
      <c r="X45" s="530">
        <f>V45*W45</f>
        <v>36000</v>
      </c>
      <c r="Y45" s="139">
        <v>6000</v>
      </c>
      <c r="Z45" s="83">
        <v>6</v>
      </c>
      <c r="AA45" s="593">
        <f>Y45*Z45</f>
        <v>36000</v>
      </c>
      <c r="AB45" s="61">
        <v>6000</v>
      </c>
      <c r="AC45" s="60">
        <v>6</v>
      </c>
      <c r="AD45" s="594">
        <f>AB45*AC45</f>
        <v>36000</v>
      </c>
      <c r="AE45" s="73">
        <v>6000</v>
      </c>
      <c r="AF45" s="72">
        <v>6</v>
      </c>
      <c r="AG45" s="532">
        <v>36000</v>
      </c>
      <c r="AH45" s="84">
        <v>6000</v>
      </c>
      <c r="AI45" s="72">
        <v>6</v>
      </c>
      <c r="AJ45" s="532">
        <f t="shared" si="6"/>
        <v>36000</v>
      </c>
      <c r="AK45" s="73">
        <v>6000</v>
      </c>
      <c r="AL45" s="72">
        <v>6</v>
      </c>
      <c r="AM45" s="532">
        <f t="shared" si="7"/>
        <v>36000</v>
      </c>
      <c r="AN45" s="79">
        <v>6000</v>
      </c>
      <c r="AO45" s="78">
        <v>6</v>
      </c>
      <c r="AP45" s="545">
        <f>AN45*AO45</f>
        <v>36000</v>
      </c>
      <c r="AQ45" s="73">
        <v>6000</v>
      </c>
      <c r="AR45" s="72">
        <v>9</v>
      </c>
      <c r="AS45" s="532">
        <f t="shared" si="8"/>
        <v>54000</v>
      </c>
      <c r="AT45" s="73">
        <v>6000</v>
      </c>
      <c r="AU45" s="72">
        <v>6</v>
      </c>
      <c r="AV45" s="532">
        <f t="shared" si="9"/>
        <v>36000</v>
      </c>
      <c r="AW45" s="73">
        <v>6000</v>
      </c>
      <c r="AX45" s="72">
        <v>6</v>
      </c>
      <c r="AY45" s="532">
        <f t="shared" si="10"/>
        <v>36000</v>
      </c>
      <c r="AZ45" s="73">
        <v>6000</v>
      </c>
      <c r="BA45" s="72">
        <v>6</v>
      </c>
      <c r="BB45" s="530">
        <v>48000</v>
      </c>
      <c r="BC45" s="135">
        <f t="shared" si="1"/>
        <v>105</v>
      </c>
      <c r="BD45" s="595">
        <f>SUM(F45,I45,L45,O45,R45,U45,X45,AA45,AD45,AG45,AJ45,AM45,AP45,AS45,AV45,AY45,BB45)</f>
        <v>642000</v>
      </c>
      <c r="BE45" s="133">
        <f t="shared" si="22"/>
        <v>2.9619431823634277E-2</v>
      </c>
    </row>
    <row r="46" spans="1:57" ht="16.5" outlineLevel="1" thickBot="1">
      <c r="A46" s="144" t="s">
        <v>102</v>
      </c>
      <c r="B46" s="131" t="s">
        <v>168</v>
      </c>
      <c r="C46" s="68" t="s">
        <v>161</v>
      </c>
      <c r="D46" s="57">
        <v>35000</v>
      </c>
      <c r="E46" s="56">
        <v>6</v>
      </c>
      <c r="F46" s="594">
        <f t="shared" si="2"/>
        <v>210000</v>
      </c>
      <c r="G46" s="61">
        <v>35000</v>
      </c>
      <c r="H46" s="56">
        <v>6</v>
      </c>
      <c r="I46" s="596">
        <f>G46*H46</f>
        <v>210000</v>
      </c>
      <c r="J46" s="128">
        <v>35000</v>
      </c>
      <c r="K46" s="56">
        <v>6</v>
      </c>
      <c r="L46" s="594">
        <f t="shared" si="3"/>
        <v>210000</v>
      </c>
      <c r="M46" s="128">
        <v>35000</v>
      </c>
      <c r="N46" s="56">
        <v>6</v>
      </c>
      <c r="O46" s="594">
        <f t="shared" si="4"/>
        <v>210000</v>
      </c>
      <c r="P46" s="128">
        <v>35000</v>
      </c>
      <c r="Q46" s="56">
        <v>6</v>
      </c>
      <c r="R46" s="596">
        <f t="shared" si="5"/>
        <v>210000</v>
      </c>
      <c r="S46" s="114">
        <v>39000</v>
      </c>
      <c r="T46" s="113">
        <v>8</v>
      </c>
      <c r="U46" s="592">
        <f>S46*T46</f>
        <v>312000</v>
      </c>
      <c r="V46" s="61">
        <v>39000</v>
      </c>
      <c r="W46" s="56">
        <v>6</v>
      </c>
      <c r="X46" s="596">
        <f>V46*W46</f>
        <v>234000</v>
      </c>
      <c r="Y46" s="130">
        <v>35000</v>
      </c>
      <c r="Z46" s="60">
        <v>6</v>
      </c>
      <c r="AA46" s="597">
        <f>Y46*Z46</f>
        <v>210000</v>
      </c>
      <c r="AB46" s="61">
        <v>35000</v>
      </c>
      <c r="AC46" s="60">
        <v>6</v>
      </c>
      <c r="AD46" s="594">
        <f>AB46*AC46</f>
        <v>210000</v>
      </c>
      <c r="AE46" s="128">
        <v>35000</v>
      </c>
      <c r="AF46" s="56">
        <v>6</v>
      </c>
      <c r="AG46" s="594">
        <v>210000</v>
      </c>
      <c r="AH46" s="61">
        <v>35000</v>
      </c>
      <c r="AI46" s="56">
        <v>6</v>
      </c>
      <c r="AJ46" s="594">
        <f t="shared" si="6"/>
        <v>210000</v>
      </c>
      <c r="AK46" s="128">
        <v>35000</v>
      </c>
      <c r="AL46" s="56">
        <v>6</v>
      </c>
      <c r="AM46" s="594">
        <f t="shared" si="7"/>
        <v>210000</v>
      </c>
      <c r="AN46" s="79">
        <v>39000</v>
      </c>
      <c r="AO46" s="78">
        <v>6</v>
      </c>
      <c r="AP46" s="545">
        <f>AN46*AO46</f>
        <v>234000</v>
      </c>
      <c r="AQ46" s="128">
        <v>39000</v>
      </c>
      <c r="AR46" s="56">
        <v>9</v>
      </c>
      <c r="AS46" s="594">
        <f t="shared" si="8"/>
        <v>351000</v>
      </c>
      <c r="AT46" s="128">
        <v>35000</v>
      </c>
      <c r="AU46" s="56">
        <v>6</v>
      </c>
      <c r="AV46" s="594">
        <f t="shared" si="9"/>
        <v>210000</v>
      </c>
      <c r="AW46" s="128">
        <v>39000</v>
      </c>
      <c r="AX46" s="56">
        <v>6</v>
      </c>
      <c r="AY46" s="594">
        <f t="shared" si="10"/>
        <v>234000</v>
      </c>
      <c r="AZ46" s="128">
        <v>39000</v>
      </c>
      <c r="BA46" s="56">
        <v>6</v>
      </c>
      <c r="BB46" s="596">
        <v>264000</v>
      </c>
      <c r="BC46" s="126">
        <f t="shared" si="1"/>
        <v>107</v>
      </c>
      <c r="BD46" s="598">
        <f t="shared" si="1"/>
        <v>3939000</v>
      </c>
      <c r="BE46" s="124">
        <f t="shared" si="22"/>
        <v>0.18173043917958787</v>
      </c>
    </row>
    <row r="47" spans="1:57" ht="16.5" thickBot="1">
      <c r="A47" s="116" t="s">
        <v>26</v>
      </c>
      <c r="B47" s="115" t="s">
        <v>170</v>
      </c>
      <c r="C47" s="99"/>
      <c r="D47" s="23"/>
      <c r="E47" s="22"/>
      <c r="F47" s="108">
        <f>SUM(F48:F49)</f>
        <v>12300</v>
      </c>
      <c r="G47" s="23"/>
      <c r="H47" s="22"/>
      <c r="I47" s="108">
        <f>SUM(I48:I49)</f>
        <v>12300</v>
      </c>
      <c r="J47" s="23"/>
      <c r="K47" s="22"/>
      <c r="L47" s="108">
        <f>SUM(L48:L49)</f>
        <v>12300</v>
      </c>
      <c r="M47" s="23"/>
      <c r="N47" s="22"/>
      <c r="O47" s="108">
        <f>SUM(O48:O49)</f>
        <v>12300</v>
      </c>
      <c r="P47" s="23"/>
      <c r="Q47" s="22"/>
      <c r="R47" s="103">
        <f>SUM(R48:R49)</f>
        <v>12300</v>
      </c>
      <c r="S47" s="39"/>
      <c r="T47" s="38"/>
      <c r="U47" s="143">
        <f>SUM(U48:U49)</f>
        <v>12300</v>
      </c>
      <c r="V47" s="31"/>
      <c r="W47" s="22"/>
      <c r="X47" s="103">
        <f>SUM(X48:X49)</f>
        <v>12300</v>
      </c>
      <c r="Y47" s="33"/>
      <c r="Z47" s="32"/>
      <c r="AA47" s="111">
        <f>SUM(AA48:AA49)</f>
        <v>12300</v>
      </c>
      <c r="AB47" s="33"/>
      <c r="AC47" s="32"/>
      <c r="AD47" s="108">
        <f>SUM(AD48:AD49)</f>
        <v>12300</v>
      </c>
      <c r="AE47" s="23"/>
      <c r="AF47" s="22"/>
      <c r="AG47" s="108">
        <v>12300</v>
      </c>
      <c r="AH47" s="31"/>
      <c r="AI47" s="22"/>
      <c r="AJ47" s="108">
        <f>SUM(AJ48:AJ49)</f>
        <v>12300</v>
      </c>
      <c r="AK47" s="23"/>
      <c r="AL47" s="22"/>
      <c r="AM47" s="108">
        <f>SUM(AM48:AM49)</f>
        <v>12300</v>
      </c>
      <c r="AN47" s="29"/>
      <c r="AO47" s="28"/>
      <c r="AP47" s="142">
        <f>SUM(AP48:AP49)</f>
        <v>12300</v>
      </c>
      <c r="AQ47" s="23"/>
      <c r="AR47" s="22"/>
      <c r="AS47" s="108">
        <f>SUM(AS48:AS49)</f>
        <v>12300</v>
      </c>
      <c r="AT47" s="23"/>
      <c r="AU47" s="22"/>
      <c r="AV47" s="108">
        <f>SUM(AV48:AV49)</f>
        <v>12300</v>
      </c>
      <c r="AW47" s="23"/>
      <c r="AX47" s="22"/>
      <c r="AY47" s="108">
        <f>SUM(AY48:AY49)</f>
        <v>12300</v>
      </c>
      <c r="AZ47" s="23"/>
      <c r="BA47" s="22"/>
      <c r="BB47" s="103">
        <f>SUM(BB48:BB49)</f>
        <v>12300</v>
      </c>
      <c r="BC47" s="102"/>
      <c r="BD47" s="44">
        <f t="shared" si="1"/>
        <v>209100</v>
      </c>
      <c r="BE47" s="43">
        <f t="shared" si="22"/>
        <v>9.6470766266696685E-3</v>
      </c>
    </row>
    <row r="48" spans="1:57" ht="15.75" outlineLevel="1">
      <c r="A48" s="141" t="s">
        <v>94</v>
      </c>
      <c r="B48" s="140" t="s">
        <v>169</v>
      </c>
      <c r="C48" s="91" t="s">
        <v>161</v>
      </c>
      <c r="D48" s="80">
        <v>4500</v>
      </c>
      <c r="E48" s="72">
        <v>1</v>
      </c>
      <c r="F48" s="137">
        <v>4500</v>
      </c>
      <c r="G48" s="84">
        <v>4500</v>
      </c>
      <c r="H48" s="72">
        <v>1</v>
      </c>
      <c r="I48" s="136">
        <v>4500</v>
      </c>
      <c r="J48" s="73">
        <v>4500</v>
      </c>
      <c r="K48" s="72">
        <v>1</v>
      </c>
      <c r="L48" s="137">
        <v>4500</v>
      </c>
      <c r="M48" s="73">
        <v>4500</v>
      </c>
      <c r="N48" s="72">
        <v>1</v>
      </c>
      <c r="O48" s="137">
        <v>4500</v>
      </c>
      <c r="P48" s="73">
        <v>4500</v>
      </c>
      <c r="Q48" s="72">
        <v>1</v>
      </c>
      <c r="R48" s="136">
        <v>4500</v>
      </c>
      <c r="S48" s="114">
        <v>4500</v>
      </c>
      <c r="T48" s="113">
        <v>1</v>
      </c>
      <c r="U48" s="112">
        <v>4500</v>
      </c>
      <c r="V48" s="84">
        <v>4500</v>
      </c>
      <c r="W48" s="72">
        <v>1</v>
      </c>
      <c r="X48" s="136">
        <v>4500</v>
      </c>
      <c r="Y48" s="139">
        <v>4500</v>
      </c>
      <c r="Z48" s="83">
        <v>1</v>
      </c>
      <c r="AA48" s="138">
        <v>4500</v>
      </c>
      <c r="AB48" s="84">
        <v>4500</v>
      </c>
      <c r="AC48" s="83">
        <v>1</v>
      </c>
      <c r="AD48" s="137">
        <v>4500</v>
      </c>
      <c r="AE48" s="73">
        <v>4500</v>
      </c>
      <c r="AF48" s="72">
        <v>1</v>
      </c>
      <c r="AG48" s="137">
        <v>4500</v>
      </c>
      <c r="AH48" s="84">
        <v>4500</v>
      </c>
      <c r="AI48" s="72">
        <v>1</v>
      </c>
      <c r="AJ48" s="137">
        <v>4500</v>
      </c>
      <c r="AK48" s="73">
        <v>4500</v>
      </c>
      <c r="AL48" s="72">
        <v>1</v>
      </c>
      <c r="AM48" s="137">
        <v>4500</v>
      </c>
      <c r="AN48" s="79">
        <v>4500</v>
      </c>
      <c r="AO48" s="78">
        <v>1</v>
      </c>
      <c r="AP48" s="107">
        <v>4500</v>
      </c>
      <c r="AQ48" s="73">
        <v>4500</v>
      </c>
      <c r="AR48" s="72">
        <v>1</v>
      </c>
      <c r="AS48" s="137">
        <v>4500</v>
      </c>
      <c r="AT48" s="73">
        <v>4500</v>
      </c>
      <c r="AU48" s="72">
        <v>1</v>
      </c>
      <c r="AV48" s="137">
        <v>4500</v>
      </c>
      <c r="AW48" s="73">
        <v>4500</v>
      </c>
      <c r="AX48" s="72">
        <v>1</v>
      </c>
      <c r="AY48" s="137">
        <v>4500</v>
      </c>
      <c r="AZ48" s="73">
        <v>4500</v>
      </c>
      <c r="BA48" s="72">
        <v>1</v>
      </c>
      <c r="BB48" s="136">
        <v>4500</v>
      </c>
      <c r="BC48" s="135">
        <f t="shared" si="1"/>
        <v>17</v>
      </c>
      <c r="BD48" s="134">
        <f t="shared" si="1"/>
        <v>76500</v>
      </c>
      <c r="BE48" s="133">
        <f t="shared" si="22"/>
        <v>3.5294182780498786E-3</v>
      </c>
    </row>
    <row r="49" spans="1:57" ht="16.5" outlineLevel="1" thickBot="1">
      <c r="A49" s="132" t="s">
        <v>95</v>
      </c>
      <c r="B49" s="131" t="s">
        <v>168</v>
      </c>
      <c r="C49" s="68" t="s">
        <v>161</v>
      </c>
      <c r="D49" s="57">
        <v>7800</v>
      </c>
      <c r="E49" s="56">
        <v>1</v>
      </c>
      <c r="F49" s="110">
        <v>7800</v>
      </c>
      <c r="G49" s="61">
        <v>7800</v>
      </c>
      <c r="H49" s="56">
        <v>1</v>
      </c>
      <c r="I49" s="127">
        <v>7800</v>
      </c>
      <c r="J49" s="128">
        <v>7800</v>
      </c>
      <c r="K49" s="56">
        <v>1</v>
      </c>
      <c r="L49" s="110">
        <v>7800</v>
      </c>
      <c r="M49" s="128">
        <v>7800</v>
      </c>
      <c r="N49" s="56">
        <v>1</v>
      </c>
      <c r="O49" s="110">
        <v>7800</v>
      </c>
      <c r="P49" s="128">
        <v>7800</v>
      </c>
      <c r="Q49" s="56">
        <v>1</v>
      </c>
      <c r="R49" s="127">
        <v>7800</v>
      </c>
      <c r="S49" s="114">
        <v>7800</v>
      </c>
      <c r="T49" s="113">
        <v>1</v>
      </c>
      <c r="U49" s="112">
        <v>7800</v>
      </c>
      <c r="V49" s="61">
        <v>7800</v>
      </c>
      <c r="W49" s="56">
        <v>1</v>
      </c>
      <c r="X49" s="127">
        <v>7800</v>
      </c>
      <c r="Y49" s="130">
        <v>7800</v>
      </c>
      <c r="Z49" s="60">
        <v>1</v>
      </c>
      <c r="AA49" s="129">
        <v>7800</v>
      </c>
      <c r="AB49" s="121">
        <v>7800</v>
      </c>
      <c r="AC49" s="120">
        <v>1</v>
      </c>
      <c r="AD49" s="119">
        <v>7800</v>
      </c>
      <c r="AE49" s="128">
        <v>7800</v>
      </c>
      <c r="AF49" s="56">
        <v>1</v>
      </c>
      <c r="AG49" s="110">
        <v>7800</v>
      </c>
      <c r="AH49" s="61">
        <v>7800</v>
      </c>
      <c r="AI49" s="56">
        <v>1</v>
      </c>
      <c r="AJ49" s="110">
        <v>7800</v>
      </c>
      <c r="AK49" s="128">
        <v>7800</v>
      </c>
      <c r="AL49" s="56">
        <v>1</v>
      </c>
      <c r="AM49" s="110">
        <v>7800</v>
      </c>
      <c r="AN49" s="79">
        <v>7800</v>
      </c>
      <c r="AO49" s="78">
        <v>1</v>
      </c>
      <c r="AP49" s="107">
        <v>7800</v>
      </c>
      <c r="AQ49" s="128">
        <v>7800</v>
      </c>
      <c r="AR49" s="56">
        <v>1</v>
      </c>
      <c r="AS49" s="110">
        <v>7800</v>
      </c>
      <c r="AT49" s="128">
        <v>7800</v>
      </c>
      <c r="AU49" s="56">
        <v>1</v>
      </c>
      <c r="AV49" s="110">
        <v>7800</v>
      </c>
      <c r="AW49" s="128">
        <v>7800</v>
      </c>
      <c r="AX49" s="56">
        <v>1</v>
      </c>
      <c r="AY49" s="110">
        <v>7800</v>
      </c>
      <c r="AZ49" s="128">
        <v>7800</v>
      </c>
      <c r="BA49" s="56">
        <v>1</v>
      </c>
      <c r="BB49" s="127">
        <v>7800</v>
      </c>
      <c r="BC49" s="126">
        <f t="shared" si="1"/>
        <v>17</v>
      </c>
      <c r="BD49" s="125">
        <f t="shared" si="1"/>
        <v>132600</v>
      </c>
      <c r="BE49" s="124">
        <f t="shared" si="22"/>
        <v>6.1176583486197899E-3</v>
      </c>
    </row>
    <row r="50" spans="1:57" ht="24" customHeight="1" thickBot="1">
      <c r="A50" s="123" t="s">
        <v>28</v>
      </c>
      <c r="B50" s="115" t="s">
        <v>167</v>
      </c>
      <c r="C50" s="99" t="s">
        <v>161</v>
      </c>
      <c r="D50" s="23">
        <v>8000</v>
      </c>
      <c r="E50" s="22">
        <v>1</v>
      </c>
      <c r="F50" s="108">
        <f>D50*E50</f>
        <v>8000</v>
      </c>
      <c r="G50" s="109">
        <v>10000</v>
      </c>
      <c r="H50" s="22">
        <v>1</v>
      </c>
      <c r="I50" s="103">
        <v>34000</v>
      </c>
      <c r="J50" s="104">
        <v>34000</v>
      </c>
      <c r="K50" s="22">
        <v>1</v>
      </c>
      <c r="L50" s="108">
        <f t="shared" si="3"/>
        <v>34000</v>
      </c>
      <c r="M50" s="104">
        <v>8000</v>
      </c>
      <c r="N50" s="22">
        <v>1</v>
      </c>
      <c r="O50" s="108">
        <f t="shared" si="4"/>
        <v>8000</v>
      </c>
      <c r="P50" s="104">
        <v>34000</v>
      </c>
      <c r="Q50" s="22">
        <v>1</v>
      </c>
      <c r="R50" s="103">
        <f>P50*Q50</f>
        <v>34000</v>
      </c>
      <c r="S50" s="114">
        <v>300000</v>
      </c>
      <c r="T50" s="113">
        <v>1</v>
      </c>
      <c r="U50" s="112">
        <f>S50*T50</f>
        <v>300000</v>
      </c>
      <c r="V50" s="109">
        <v>27000</v>
      </c>
      <c r="W50" s="22">
        <v>1</v>
      </c>
      <c r="X50" s="103">
        <f>V50*W50</f>
        <v>27000</v>
      </c>
      <c r="Y50" s="33">
        <v>45000</v>
      </c>
      <c r="Z50" s="32">
        <v>1</v>
      </c>
      <c r="AA50" s="122">
        <f>Y50*Z50</f>
        <v>45000</v>
      </c>
      <c r="AB50" s="121">
        <v>45000</v>
      </c>
      <c r="AC50" s="120">
        <v>1</v>
      </c>
      <c r="AD50" s="119">
        <f>AB50*AC50</f>
        <v>45000</v>
      </c>
      <c r="AE50" s="104">
        <v>34000</v>
      </c>
      <c r="AF50" s="22">
        <v>1</v>
      </c>
      <c r="AG50" s="108">
        <v>34000</v>
      </c>
      <c r="AH50" s="109">
        <v>43500</v>
      </c>
      <c r="AI50" s="22">
        <v>1</v>
      </c>
      <c r="AJ50" s="108">
        <f t="shared" si="6"/>
        <v>43500</v>
      </c>
      <c r="AK50" s="104">
        <v>57000</v>
      </c>
      <c r="AL50" s="22">
        <v>1</v>
      </c>
      <c r="AM50" s="105">
        <f t="shared" si="7"/>
        <v>57000</v>
      </c>
      <c r="AN50" s="118">
        <v>15000</v>
      </c>
      <c r="AO50" s="78">
        <v>1</v>
      </c>
      <c r="AP50" s="117">
        <f>AN50*AO50</f>
        <v>15000</v>
      </c>
      <c r="AQ50" s="106">
        <v>38500</v>
      </c>
      <c r="AR50" s="25">
        <v>1</v>
      </c>
      <c r="AS50" s="105">
        <f t="shared" si="8"/>
        <v>38500</v>
      </c>
      <c r="AT50" s="106">
        <v>202000</v>
      </c>
      <c r="AU50" s="25">
        <v>1</v>
      </c>
      <c r="AV50" s="105">
        <f t="shared" si="9"/>
        <v>202000</v>
      </c>
      <c r="AW50" s="106">
        <v>0</v>
      </c>
      <c r="AX50" s="25">
        <v>1</v>
      </c>
      <c r="AY50" s="105">
        <f t="shared" si="10"/>
        <v>0</v>
      </c>
      <c r="AZ50" s="104">
        <v>60000</v>
      </c>
      <c r="BA50" s="22">
        <v>1</v>
      </c>
      <c r="BB50" s="103">
        <f t="shared" si="11"/>
        <v>60000</v>
      </c>
      <c r="BC50" s="102">
        <f t="shared" si="1"/>
        <v>17</v>
      </c>
      <c r="BD50" s="44">
        <f>SUM(F50,I50,L50,O50,R50,U50,X50,AA50,AD50,AG50,AJ50,AM50,AP50,AS50,AV50,AY50,BB50)</f>
        <v>985000</v>
      </c>
      <c r="BE50" s="43">
        <f t="shared" si="22"/>
        <v>4.5444143841557261E-2</v>
      </c>
    </row>
    <row r="51" spans="1:57" ht="16.5" thickBot="1">
      <c r="A51" s="116" t="s">
        <v>79</v>
      </c>
      <c r="B51" s="115" t="s">
        <v>166</v>
      </c>
      <c r="C51" s="99" t="s">
        <v>165</v>
      </c>
      <c r="D51" s="23">
        <v>14</v>
      </c>
      <c r="E51" s="22">
        <v>660</v>
      </c>
      <c r="F51" s="108">
        <f t="shared" si="2"/>
        <v>9240</v>
      </c>
      <c r="G51" s="109">
        <v>14</v>
      </c>
      <c r="H51" s="22">
        <v>660</v>
      </c>
      <c r="I51" s="103">
        <f>G51*H51</f>
        <v>9240</v>
      </c>
      <c r="J51" s="104">
        <v>14</v>
      </c>
      <c r="K51" s="22">
        <v>1200</v>
      </c>
      <c r="L51" s="108">
        <f t="shared" si="3"/>
        <v>16800</v>
      </c>
      <c r="M51" s="104">
        <v>14</v>
      </c>
      <c r="N51" s="22">
        <v>480</v>
      </c>
      <c r="O51" s="108">
        <f t="shared" si="4"/>
        <v>6720</v>
      </c>
      <c r="P51" s="104">
        <v>14</v>
      </c>
      <c r="Q51" s="22">
        <v>1200</v>
      </c>
      <c r="R51" s="103">
        <f>P51*Q51</f>
        <v>16800</v>
      </c>
      <c r="S51" s="114">
        <v>14</v>
      </c>
      <c r="T51" s="113">
        <v>1480</v>
      </c>
      <c r="U51" s="112">
        <f>S51*T51</f>
        <v>20720</v>
      </c>
      <c r="V51" s="109">
        <v>14</v>
      </c>
      <c r="W51" s="22">
        <v>880</v>
      </c>
      <c r="X51" s="103">
        <f>V51*W51</f>
        <v>12320</v>
      </c>
      <c r="Y51" s="33">
        <v>14</v>
      </c>
      <c r="Z51" s="32">
        <v>820</v>
      </c>
      <c r="AA51" s="111">
        <f>Y51*Z51</f>
        <v>11480</v>
      </c>
      <c r="AB51" s="61">
        <v>14</v>
      </c>
      <c r="AC51" s="60">
        <v>960</v>
      </c>
      <c r="AD51" s="110">
        <f>AB51*AC51</f>
        <v>13440</v>
      </c>
      <c r="AE51" s="104">
        <v>14</v>
      </c>
      <c r="AF51" s="22">
        <v>2800</v>
      </c>
      <c r="AG51" s="108">
        <v>39200</v>
      </c>
      <c r="AH51" s="109">
        <v>14</v>
      </c>
      <c r="AI51" s="22">
        <v>1200</v>
      </c>
      <c r="AJ51" s="108">
        <f t="shared" si="6"/>
        <v>16800</v>
      </c>
      <c r="AK51" s="104">
        <v>14</v>
      </c>
      <c r="AL51" s="22">
        <v>660</v>
      </c>
      <c r="AM51" s="105">
        <f t="shared" si="7"/>
        <v>9240</v>
      </c>
      <c r="AN51" s="79">
        <v>14</v>
      </c>
      <c r="AO51" s="78">
        <v>480</v>
      </c>
      <c r="AP51" s="107">
        <f>AN51*AO51</f>
        <v>6720</v>
      </c>
      <c r="AQ51" s="106">
        <v>14</v>
      </c>
      <c r="AR51" s="25">
        <v>480</v>
      </c>
      <c r="AS51" s="105">
        <f t="shared" si="8"/>
        <v>6720</v>
      </c>
      <c r="AT51" s="106">
        <v>14</v>
      </c>
      <c r="AU51" s="25">
        <v>660</v>
      </c>
      <c r="AV51" s="105">
        <f t="shared" si="9"/>
        <v>9240</v>
      </c>
      <c r="AW51" s="106">
        <v>14</v>
      </c>
      <c r="AX51" s="25">
        <v>480</v>
      </c>
      <c r="AY51" s="105">
        <f t="shared" si="10"/>
        <v>6720</v>
      </c>
      <c r="AZ51" s="104">
        <v>14</v>
      </c>
      <c r="BA51" s="22">
        <v>2200</v>
      </c>
      <c r="BB51" s="103">
        <f t="shared" si="11"/>
        <v>30800</v>
      </c>
      <c r="BC51" s="102">
        <f t="shared" si="1"/>
        <v>17300</v>
      </c>
      <c r="BD51" s="44">
        <f t="shared" si="1"/>
        <v>242200</v>
      </c>
      <c r="BE51" s="43">
        <f t="shared" si="22"/>
        <v>1.1174184404492558E-2</v>
      </c>
    </row>
    <row r="52" spans="1:57" ht="21" customHeight="1" thickBot="1">
      <c r="A52" s="101" t="s">
        <v>159</v>
      </c>
      <c r="B52" s="100" t="s">
        <v>164</v>
      </c>
      <c r="C52" s="99"/>
      <c r="D52" s="23"/>
      <c r="E52" s="22"/>
      <c r="F52" s="30">
        <f>SUM(F53,F54)</f>
        <v>86000</v>
      </c>
      <c r="G52" s="23"/>
      <c r="H52" s="22"/>
      <c r="I52" s="30">
        <f>SUM(I53,I54)</f>
        <v>80000</v>
      </c>
      <c r="J52" s="23"/>
      <c r="K52" s="22"/>
      <c r="L52" s="30">
        <f>SUM(L53,L54)</f>
        <v>84000</v>
      </c>
      <c r="M52" s="23"/>
      <c r="N52" s="22"/>
      <c r="O52" s="30">
        <f>SUM(O53,O54)</f>
        <v>73800</v>
      </c>
      <c r="P52" s="23"/>
      <c r="Q52" s="22"/>
      <c r="R52" s="21">
        <f>SUM(R53,R54)</f>
        <v>84000</v>
      </c>
      <c r="S52" s="39"/>
      <c r="T52" s="38"/>
      <c r="U52" s="98">
        <f>SUM(U53,U54)</f>
        <v>117000</v>
      </c>
      <c r="V52" s="31"/>
      <c r="W52" s="22"/>
      <c r="X52" s="21">
        <f>SUM(X53,X54)</f>
        <v>81000</v>
      </c>
      <c r="Y52" s="97"/>
      <c r="Z52" s="96"/>
      <c r="AA52" s="95">
        <f>SUM(AA53:AA54)</f>
        <v>63000</v>
      </c>
      <c r="AB52" s="33"/>
      <c r="AC52" s="32"/>
      <c r="AD52" s="30">
        <f>SUM(AD53:AD54)</f>
        <v>66000</v>
      </c>
      <c r="AE52" s="23"/>
      <c r="AF52" s="22"/>
      <c r="AG52" s="30">
        <v>114000</v>
      </c>
      <c r="AH52" s="31"/>
      <c r="AI52" s="22"/>
      <c r="AJ52" s="30">
        <f>SUM(AJ53,AJ54)</f>
        <v>88000</v>
      </c>
      <c r="AK52" s="23"/>
      <c r="AL52" s="22"/>
      <c r="AM52" s="24">
        <f>SUM(AM53,AM54)</f>
        <v>68000</v>
      </c>
      <c r="AN52" s="29"/>
      <c r="AO52" s="28"/>
      <c r="AP52" s="27">
        <f>SUM(AP53,AP54)</f>
        <v>93000</v>
      </c>
      <c r="AQ52" s="26"/>
      <c r="AR52" s="25"/>
      <c r="AS52" s="24">
        <f>SUM(AS53,AS54)</f>
        <v>108000</v>
      </c>
      <c r="AT52" s="26"/>
      <c r="AU52" s="25"/>
      <c r="AV52" s="24">
        <f>SUM(AV53,AV54)</f>
        <v>93000</v>
      </c>
      <c r="AW52" s="26"/>
      <c r="AX52" s="25"/>
      <c r="AY52" s="24">
        <f>SUM(AY53,AY54)</f>
        <v>93000</v>
      </c>
      <c r="AZ52" s="23"/>
      <c r="BA52" s="22"/>
      <c r="BB52" s="21">
        <f>SUM(BB53,BB54)</f>
        <v>194000</v>
      </c>
      <c r="BC52" s="20"/>
      <c r="BD52" s="19">
        <f>SUM(F52,I52,L52,O52,R52,U52,X52,AA52,AD52,AG52,AJ52,AM52,AP52,AS52,AV52,AY52,BB52)</f>
        <v>1585800</v>
      </c>
      <c r="BE52" s="94">
        <f t="shared" si="22"/>
        <v>7.3162764775575137E-2</v>
      </c>
    </row>
    <row r="53" spans="1:57" ht="20.25" customHeight="1" thickBot="1">
      <c r="A53" s="93" t="s">
        <v>33</v>
      </c>
      <c r="B53" s="92" t="s">
        <v>163</v>
      </c>
      <c r="C53" s="91" t="s">
        <v>161</v>
      </c>
      <c r="D53" s="80"/>
      <c r="E53" s="72"/>
      <c r="F53" s="81">
        <v>30000</v>
      </c>
      <c r="G53" s="84"/>
      <c r="H53" s="72"/>
      <c r="I53" s="71">
        <v>26000</v>
      </c>
      <c r="J53" s="73"/>
      <c r="K53" s="72"/>
      <c r="L53" s="81">
        <v>28000</v>
      </c>
      <c r="M53" s="73"/>
      <c r="N53" s="72"/>
      <c r="O53" s="81">
        <v>23800</v>
      </c>
      <c r="P53" s="73"/>
      <c r="Q53" s="72"/>
      <c r="R53" s="71">
        <v>28000</v>
      </c>
      <c r="S53" s="90"/>
      <c r="T53" s="89"/>
      <c r="U53" s="88">
        <v>45000</v>
      </c>
      <c r="V53" s="84"/>
      <c r="W53" s="72"/>
      <c r="X53" s="71">
        <v>25000</v>
      </c>
      <c r="Y53" s="87"/>
      <c r="Z53" s="86"/>
      <c r="AA53" s="85">
        <v>25000</v>
      </c>
      <c r="AB53" s="84"/>
      <c r="AC53" s="83"/>
      <c r="AD53" s="81">
        <v>25000</v>
      </c>
      <c r="AE53" s="73"/>
      <c r="AF53" s="72"/>
      <c r="AG53" s="81">
        <v>42000</v>
      </c>
      <c r="AH53" s="82"/>
      <c r="AI53" s="75"/>
      <c r="AJ53" s="81">
        <v>28000</v>
      </c>
      <c r="AK53" s="80"/>
      <c r="AL53" s="72"/>
      <c r="AM53" s="74">
        <v>25000</v>
      </c>
      <c r="AN53" s="79"/>
      <c r="AO53" s="78"/>
      <c r="AP53" s="77">
        <v>30000</v>
      </c>
      <c r="AQ53" s="76"/>
      <c r="AR53" s="75"/>
      <c r="AS53" s="74">
        <v>36000</v>
      </c>
      <c r="AT53" s="76"/>
      <c r="AU53" s="75"/>
      <c r="AV53" s="74">
        <v>30000</v>
      </c>
      <c r="AW53" s="76"/>
      <c r="AX53" s="75"/>
      <c r="AY53" s="74">
        <v>30000</v>
      </c>
      <c r="AZ53" s="73"/>
      <c r="BA53" s="72"/>
      <c r="BB53" s="71">
        <v>68000</v>
      </c>
      <c r="BC53" s="45"/>
      <c r="BD53" s="44">
        <f>SUM(F53,I53,L53,O53,R53,U53,X53,AA53,AD53,AG53,AJ53,AM53,AP53,AS53,AV53,AY53,BB53)</f>
        <v>544800</v>
      </c>
      <c r="BE53" s="43">
        <f t="shared" si="22"/>
        <v>2.5134994482112077E-2</v>
      </c>
    </row>
    <row r="54" spans="1:57" ht="16.5" thickBot="1">
      <c r="A54" s="70" t="s">
        <v>34</v>
      </c>
      <c r="B54" s="69" t="s">
        <v>162</v>
      </c>
      <c r="C54" s="68" t="s">
        <v>161</v>
      </c>
      <c r="D54" s="57"/>
      <c r="E54" s="56"/>
      <c r="F54" s="67">
        <v>56000</v>
      </c>
      <c r="G54" s="59"/>
      <c r="H54" s="47"/>
      <c r="I54" s="46">
        <v>54000</v>
      </c>
      <c r="J54" s="48"/>
      <c r="K54" s="47"/>
      <c r="L54" s="58">
        <v>56000</v>
      </c>
      <c r="M54" s="48"/>
      <c r="N54" s="47"/>
      <c r="O54" s="58">
        <v>50000</v>
      </c>
      <c r="P54" s="48"/>
      <c r="Q54" s="47"/>
      <c r="R54" s="46">
        <v>56000</v>
      </c>
      <c r="S54" s="66"/>
      <c r="T54" s="65"/>
      <c r="U54" s="62">
        <v>72000</v>
      </c>
      <c r="V54" s="59"/>
      <c r="W54" s="47"/>
      <c r="X54" s="46">
        <v>56000</v>
      </c>
      <c r="Y54" s="64"/>
      <c r="Z54" s="63"/>
      <c r="AA54" s="62">
        <v>38000</v>
      </c>
      <c r="AB54" s="61"/>
      <c r="AC54" s="60"/>
      <c r="AD54" s="55">
        <v>41000</v>
      </c>
      <c r="AE54" s="48"/>
      <c r="AF54" s="47"/>
      <c r="AG54" s="58">
        <v>72000</v>
      </c>
      <c r="AH54" s="59"/>
      <c r="AI54" s="47"/>
      <c r="AJ54" s="58">
        <v>60000</v>
      </c>
      <c r="AK54" s="57"/>
      <c r="AL54" s="56"/>
      <c r="AM54" s="55">
        <v>43000</v>
      </c>
      <c r="AN54" s="54"/>
      <c r="AO54" s="53"/>
      <c r="AP54" s="52">
        <v>63000</v>
      </c>
      <c r="AQ54" s="51"/>
      <c r="AR54" s="50"/>
      <c r="AS54" s="49">
        <v>72000</v>
      </c>
      <c r="AT54" s="51"/>
      <c r="AU54" s="50"/>
      <c r="AV54" s="49">
        <v>63000</v>
      </c>
      <c r="AW54" s="51"/>
      <c r="AX54" s="50"/>
      <c r="AY54" s="49">
        <v>63000</v>
      </c>
      <c r="AZ54" s="48"/>
      <c r="BA54" s="47"/>
      <c r="BB54" s="46">
        <v>126000</v>
      </c>
      <c r="BC54" s="45"/>
      <c r="BD54" s="44">
        <f>SUM(F54,I54,L54,O54,R54,U54,X54,AA54,AD54,AG54,AJ54,AM54,AP54,AS54,AV54,AY54,BB54)</f>
        <v>1041000</v>
      </c>
      <c r="BE54" s="43">
        <f t="shared" si="22"/>
        <v>4.8027770293463057E-2</v>
      </c>
    </row>
    <row r="55" spans="1:57" ht="18.75" thickBot="1">
      <c r="A55" s="42"/>
      <c r="B55" s="41" t="s">
        <v>160</v>
      </c>
      <c r="C55" s="40"/>
      <c r="D55" s="23"/>
      <c r="E55" s="22"/>
      <c r="F55" s="30">
        <f>SUM(F52,F6,F5)</f>
        <v>1008880</v>
      </c>
      <c r="G55" s="23"/>
      <c r="H55" s="22"/>
      <c r="I55" s="30">
        <f>SUM(I52,I6,I5)</f>
        <v>968660</v>
      </c>
      <c r="J55" s="23"/>
      <c r="K55" s="22"/>
      <c r="L55" s="30">
        <f>SUM(L52,L6,L5)</f>
        <v>1053240</v>
      </c>
      <c r="M55" s="23"/>
      <c r="N55" s="22"/>
      <c r="O55" s="30">
        <f>SUM(O52,O6,O5)</f>
        <v>940212</v>
      </c>
      <c r="P55" s="23"/>
      <c r="Q55" s="22"/>
      <c r="R55" s="21">
        <f>SUM(R52,R6,R5)</f>
        <v>1059632</v>
      </c>
      <c r="S55" s="39"/>
      <c r="T55" s="38"/>
      <c r="U55" s="37">
        <f>SUM(U52,U6,U5)</f>
        <v>1959200</v>
      </c>
      <c r="V55" s="31"/>
      <c r="W55" s="22"/>
      <c r="X55" s="21">
        <f>SUM(X52,X6,X5)</f>
        <v>1045804</v>
      </c>
      <c r="Y55" s="36"/>
      <c r="Z55" s="35"/>
      <c r="AA55" s="34">
        <f>SUM(AA52,AA6,AA5)</f>
        <v>895096</v>
      </c>
      <c r="AB55" s="33"/>
      <c r="AC55" s="32"/>
      <c r="AD55" s="30">
        <f>SUM(AD52,AD6,AD5)</f>
        <v>962136</v>
      </c>
      <c r="AE55" s="23"/>
      <c r="AF55" s="22"/>
      <c r="AG55" s="30">
        <f>SUM(AG52,AG6,AG5)</f>
        <v>1299364</v>
      </c>
      <c r="AH55" s="31"/>
      <c r="AI55" s="22"/>
      <c r="AJ55" s="30">
        <f>SUM(AJ52,AJ6,AJ5)</f>
        <v>1070808</v>
      </c>
      <c r="AK55" s="23"/>
      <c r="AL55" s="22"/>
      <c r="AM55" s="24">
        <f>SUM(AM52,AM6,AM5)</f>
        <v>801632</v>
      </c>
      <c r="AN55" s="29"/>
      <c r="AO55" s="28"/>
      <c r="AP55" s="27">
        <f>SUM(AP52,AP6,AP5)</f>
        <v>1045143</v>
      </c>
      <c r="AQ55" s="26"/>
      <c r="AR55" s="25"/>
      <c r="AS55" s="24">
        <f>SUM(AS52,AS6,AS5)</f>
        <v>1767838</v>
      </c>
      <c r="AT55" s="26"/>
      <c r="AU55" s="25"/>
      <c r="AV55" s="24">
        <f>SUM(AV52,AV6,AV5)</f>
        <v>1109388</v>
      </c>
      <c r="AW55" s="26"/>
      <c r="AX55" s="25"/>
      <c r="AY55" s="24">
        <f>SUM(AY52,AY6,AY5)</f>
        <v>1194507</v>
      </c>
      <c r="AZ55" s="23"/>
      <c r="BA55" s="22"/>
      <c r="BB55" s="21">
        <f>SUM(BB52,BB6,BB5)</f>
        <v>3493420</v>
      </c>
      <c r="BC55" s="20"/>
      <c r="BD55" s="19">
        <f>SUM(F55,I55,L55,O55,R55,U55,X55,AA55,AD55,AG55,AJ55,AM55,AP55,AS55,AV55,AY55,BB55)</f>
        <v>21674960</v>
      </c>
      <c r="BE55" s="18">
        <f t="shared" si="22"/>
        <v>1</v>
      </c>
    </row>
    <row r="56" spans="1:57" ht="15">
      <c r="A56" s="16"/>
      <c r="B56" s="16"/>
      <c r="C56" s="16"/>
      <c r="D56" s="17"/>
      <c r="E56" s="17"/>
      <c r="F56" s="16"/>
      <c r="G56" s="17"/>
      <c r="H56" s="17"/>
      <c r="I56" s="16"/>
      <c r="J56" s="17"/>
      <c r="K56" s="17"/>
      <c r="L56" s="16"/>
      <c r="M56" s="17"/>
      <c r="N56" s="17"/>
      <c r="O56" s="16"/>
      <c r="P56" s="17"/>
      <c r="Q56" s="17"/>
      <c r="R56" s="16"/>
      <c r="S56" s="17"/>
      <c r="T56" s="17"/>
      <c r="U56" s="16"/>
      <c r="V56" s="17"/>
      <c r="W56" s="17"/>
      <c r="X56" s="16"/>
      <c r="Y56" s="17"/>
      <c r="Z56" s="17"/>
      <c r="AA56" s="16"/>
      <c r="AB56" s="17"/>
      <c r="AC56" s="17"/>
      <c r="AD56" s="16"/>
      <c r="AE56" s="17"/>
      <c r="AF56" s="17"/>
      <c r="AG56" s="16"/>
      <c r="AH56" s="17"/>
      <c r="AI56" s="17"/>
      <c r="AJ56" s="16"/>
      <c r="AK56" s="17"/>
      <c r="AL56" s="17"/>
      <c r="AM56" s="16"/>
      <c r="AN56" s="17"/>
      <c r="AO56" s="17"/>
      <c r="AP56" s="16"/>
      <c r="AQ56" s="17"/>
      <c r="AR56" s="17"/>
      <c r="AS56" s="16"/>
      <c r="AT56" s="15"/>
      <c r="AU56" s="14"/>
      <c r="AV56" s="13"/>
      <c r="BD56" s="469"/>
      <c r="BE56" s="13"/>
    </row>
    <row r="57" spans="1:57">
      <c r="AB57" s="12"/>
    </row>
    <row r="59" spans="1:57">
      <c r="F59" s="599"/>
    </row>
  </sheetData>
  <mergeCells count="20">
    <mergeCell ref="AE3:AG3"/>
    <mergeCell ref="A3:A4"/>
    <mergeCell ref="B3:B4"/>
    <mergeCell ref="D3:F3"/>
    <mergeCell ref="G3:I3"/>
    <mergeCell ref="J3:L3"/>
    <mergeCell ref="M3:O3"/>
    <mergeCell ref="P3:R3"/>
    <mergeCell ref="S3:U3"/>
    <mergeCell ref="V3:X3"/>
    <mergeCell ref="Y3:AA3"/>
    <mergeCell ref="AB3:AD3"/>
    <mergeCell ref="AZ3:BB3"/>
    <mergeCell ref="BC3:BE3"/>
    <mergeCell ref="AH3:AJ3"/>
    <mergeCell ref="AK3:AM3"/>
    <mergeCell ref="AN3:AP3"/>
    <mergeCell ref="AQ3:AS3"/>
    <mergeCell ref="AT3:AV3"/>
    <mergeCell ref="AW3:AY3"/>
  </mergeCell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dimension ref="A1:J92"/>
  <sheetViews>
    <sheetView topLeftCell="A79" workbookViewId="0">
      <selection activeCell="E79" sqref="E79"/>
    </sheetView>
  </sheetViews>
  <sheetFormatPr defaultColWidth="13.140625" defaultRowHeight="15.75"/>
  <cols>
    <col min="1" max="1" width="21.85546875" style="281" customWidth="1"/>
    <col min="2" max="2" width="15.42578125" style="281" customWidth="1"/>
    <col min="3" max="3" width="21.85546875" style="281" customWidth="1"/>
    <col min="4" max="4" width="11.7109375" style="281" customWidth="1"/>
    <col min="5" max="5" width="13.42578125" style="281" customWidth="1"/>
    <col min="6" max="6" width="15.85546875" style="281" customWidth="1"/>
    <col min="7" max="7" width="11.7109375" style="281" customWidth="1"/>
    <col min="8" max="8" width="12.42578125" style="281" customWidth="1"/>
    <col min="9" max="9" width="20.85546875" style="281" customWidth="1"/>
    <col min="10" max="250" width="9.140625" style="281" customWidth="1"/>
    <col min="251" max="251" width="12.42578125" style="281" customWidth="1"/>
    <col min="252" max="252" width="12.7109375" style="281" customWidth="1"/>
    <col min="253" max="253" width="13.140625" style="281" customWidth="1"/>
    <col min="254" max="254" width="11.7109375" style="281" customWidth="1"/>
    <col min="255" max="255" width="12.7109375" style="281" customWidth="1"/>
    <col min="256" max="16384" width="13.140625" style="281"/>
  </cols>
  <sheetData>
    <row r="1" spans="1:7" ht="20.25">
      <c r="A1" s="322" t="s">
        <v>291</v>
      </c>
    </row>
    <row r="2" spans="1:7">
      <c r="A2" s="327" t="s">
        <v>290</v>
      </c>
    </row>
    <row r="3" spans="1:7">
      <c r="A3" s="2244" t="s">
        <v>263</v>
      </c>
      <c r="B3" s="2246" t="s">
        <v>288</v>
      </c>
      <c r="C3" s="2247"/>
      <c r="D3" s="2248"/>
      <c r="E3" s="2246" t="s">
        <v>287</v>
      </c>
      <c r="F3" s="2247"/>
      <c r="G3" s="2248"/>
    </row>
    <row r="4" spans="1:7">
      <c r="A4" s="2245"/>
      <c r="B4" s="284" t="s">
        <v>262</v>
      </c>
      <c r="C4" s="284" t="s">
        <v>261</v>
      </c>
      <c r="D4" s="284" t="s">
        <v>2</v>
      </c>
      <c r="E4" s="284" t="s">
        <v>262</v>
      </c>
      <c r="F4" s="284" t="s">
        <v>261</v>
      </c>
      <c r="G4" s="284" t="s">
        <v>2</v>
      </c>
    </row>
    <row r="5" spans="1:7">
      <c r="A5" s="283" t="s">
        <v>260</v>
      </c>
      <c r="B5" s="320">
        <v>2755937</v>
      </c>
      <c r="C5" s="320">
        <v>3957265</v>
      </c>
      <c r="D5" s="320">
        <v>6713202</v>
      </c>
      <c r="E5" s="320">
        <v>8931457</v>
      </c>
      <c r="F5" s="320">
        <v>19978360</v>
      </c>
      <c r="G5" s="320">
        <v>28909817</v>
      </c>
    </row>
    <row r="6" spans="1:7">
      <c r="A6" s="283" t="s">
        <v>259</v>
      </c>
      <c r="B6" s="320">
        <v>2746553</v>
      </c>
      <c r="C6" s="320">
        <v>4151483</v>
      </c>
      <c r="D6" s="320">
        <v>6898036</v>
      </c>
      <c r="E6" s="320">
        <v>9663601</v>
      </c>
      <c r="F6" s="320">
        <v>20797704</v>
      </c>
      <c r="G6" s="320">
        <v>30461305</v>
      </c>
    </row>
    <row r="7" spans="1:7">
      <c r="A7" s="283" t="s">
        <v>258</v>
      </c>
      <c r="B7" s="320">
        <v>2634207</v>
      </c>
      <c r="C7" s="320">
        <v>3719779</v>
      </c>
      <c r="D7" s="320">
        <v>6353986</v>
      </c>
      <c r="E7" s="320">
        <v>9297570</v>
      </c>
      <c r="F7" s="320">
        <v>18525570</v>
      </c>
      <c r="G7" s="320">
        <v>27823140</v>
      </c>
    </row>
    <row r="8" spans="1:7">
      <c r="A8" s="283" t="s">
        <v>257</v>
      </c>
      <c r="B8" s="320">
        <v>2175072</v>
      </c>
      <c r="C8" s="320">
        <v>3541464</v>
      </c>
      <c r="D8" s="320">
        <v>5716536</v>
      </c>
      <c r="E8" s="320">
        <v>7342178</v>
      </c>
      <c r="F8" s="320">
        <v>17841902</v>
      </c>
      <c r="G8" s="320">
        <v>25184080</v>
      </c>
    </row>
    <row r="9" spans="1:7">
      <c r="A9" s="283" t="s">
        <v>256</v>
      </c>
      <c r="B9" s="320">
        <v>2166275</v>
      </c>
      <c r="C9" s="320">
        <v>3590379</v>
      </c>
      <c r="D9" s="320">
        <v>5756654</v>
      </c>
      <c r="E9" s="320">
        <v>7461616</v>
      </c>
      <c r="F9" s="320">
        <v>18038154</v>
      </c>
      <c r="G9" s="320">
        <v>25499770</v>
      </c>
    </row>
    <row r="10" spans="1:7">
      <c r="A10" s="327"/>
      <c r="B10" s="326"/>
      <c r="C10" s="326" t="e">
        <f>#REF!*C5</f>
        <v>#REF!</v>
      </c>
      <c r="D10" s="326"/>
      <c r="E10" s="326"/>
      <c r="F10" s="326"/>
      <c r="G10" s="326"/>
    </row>
    <row r="11" spans="1:7">
      <c r="A11" s="327" t="s">
        <v>289</v>
      </c>
      <c r="B11" s="326"/>
      <c r="C11" s="326"/>
      <c r="D11" s="326"/>
      <c r="E11" s="326"/>
      <c r="F11" s="326"/>
      <c r="G11" s="326"/>
    </row>
    <row r="12" spans="1:7">
      <c r="A12" s="2244" t="s">
        <v>263</v>
      </c>
      <c r="B12" s="2246" t="s">
        <v>288</v>
      </c>
      <c r="C12" s="2247"/>
      <c r="D12" s="2248"/>
      <c r="E12" s="2246" t="s">
        <v>287</v>
      </c>
      <c r="F12" s="2247"/>
      <c r="G12" s="2248"/>
    </row>
    <row r="13" spans="1:7">
      <c r="A13" s="2245"/>
      <c r="B13" s="284" t="s">
        <v>262</v>
      </c>
      <c r="C13" s="284" t="s">
        <v>261</v>
      </c>
      <c r="D13" s="325" t="s">
        <v>2</v>
      </c>
      <c r="E13" s="284" t="s">
        <v>262</v>
      </c>
      <c r="F13" s="284" t="s">
        <v>261</v>
      </c>
      <c r="G13" s="325" t="s">
        <v>2</v>
      </c>
    </row>
    <row r="14" spans="1:7">
      <c r="A14" s="283" t="s">
        <v>260</v>
      </c>
      <c r="B14" s="320">
        <v>2697423</v>
      </c>
      <c r="C14" s="320">
        <v>3919394</v>
      </c>
      <c r="D14" s="321">
        <v>6616817</v>
      </c>
      <c r="E14" s="320">
        <v>8739991</v>
      </c>
      <c r="F14" s="320">
        <v>19761160</v>
      </c>
      <c r="G14" s="321">
        <v>28501151</v>
      </c>
    </row>
    <row r="15" spans="1:7">
      <c r="A15" s="283" t="s">
        <v>259</v>
      </c>
      <c r="B15" s="320">
        <v>2705746</v>
      </c>
      <c r="C15" s="320">
        <v>4105799</v>
      </c>
      <c r="D15" s="321">
        <v>6811545</v>
      </c>
      <c r="E15" s="320">
        <v>9520101</v>
      </c>
      <c r="F15" s="320">
        <v>20545902</v>
      </c>
      <c r="G15" s="321">
        <v>30066003</v>
      </c>
    </row>
    <row r="16" spans="1:7">
      <c r="A16" s="283" t="s">
        <v>258</v>
      </c>
      <c r="B16" s="320">
        <v>2608296</v>
      </c>
      <c r="C16" s="320">
        <v>3689075</v>
      </c>
      <c r="D16" s="321">
        <v>6297371</v>
      </c>
      <c r="E16" s="320">
        <v>9213238</v>
      </c>
      <c r="F16" s="320">
        <v>18326294</v>
      </c>
      <c r="G16" s="321">
        <v>27539532</v>
      </c>
    </row>
    <row r="17" spans="1:9">
      <c r="A17" s="283" t="s">
        <v>257</v>
      </c>
      <c r="B17" s="320">
        <v>2163134</v>
      </c>
      <c r="C17" s="320">
        <v>3502657</v>
      </c>
      <c r="D17" s="321">
        <v>5665791</v>
      </c>
      <c r="E17" s="320">
        <v>7304203</v>
      </c>
      <c r="F17" s="320">
        <v>17646884</v>
      </c>
      <c r="G17" s="321">
        <v>24951087</v>
      </c>
    </row>
    <row r="18" spans="1:9">
      <c r="A18" s="283" t="s">
        <v>256</v>
      </c>
      <c r="B18" s="320">
        <v>2146643</v>
      </c>
      <c r="C18" s="320">
        <v>3554217</v>
      </c>
      <c r="D18" s="321">
        <v>5700860</v>
      </c>
      <c r="E18" s="320">
        <v>7399223</v>
      </c>
      <c r="F18" s="320">
        <v>17864544</v>
      </c>
      <c r="G18" s="321">
        <v>25263767</v>
      </c>
    </row>
    <row r="19" spans="1:9">
      <c r="A19" s="324"/>
      <c r="B19" s="323"/>
      <c r="C19" s="747">
        <f>C18/D18</f>
        <v>0.62345277730026694</v>
      </c>
      <c r="D19" s="323"/>
      <c r="E19" s="746"/>
      <c r="F19" s="748">
        <f>F18/G18</f>
        <v>0.70712115101441519</v>
      </c>
      <c r="G19" s="323"/>
    </row>
    <row r="20" spans="1:9" ht="20.25">
      <c r="A20" s="322" t="s">
        <v>286</v>
      </c>
    </row>
    <row r="22" spans="1:9">
      <c r="A22" s="2244" t="s">
        <v>263</v>
      </c>
      <c r="B22" s="2246" t="s">
        <v>285</v>
      </c>
      <c r="C22" s="2247"/>
      <c r="D22" s="2248"/>
      <c r="E22" s="2249" t="s">
        <v>284</v>
      </c>
      <c r="F22" s="2250"/>
      <c r="G22" s="2251"/>
    </row>
    <row r="23" spans="1:9">
      <c r="A23" s="2245"/>
      <c r="B23" s="284" t="s">
        <v>262</v>
      </c>
      <c r="C23" s="284" t="s">
        <v>261</v>
      </c>
      <c r="D23" s="284" t="s">
        <v>2</v>
      </c>
      <c r="E23" s="284" t="s">
        <v>262</v>
      </c>
      <c r="F23" s="284" t="s">
        <v>261</v>
      </c>
      <c r="G23" s="284" t="s">
        <v>2</v>
      </c>
    </row>
    <row r="24" spans="1:9">
      <c r="A24" s="283" t="s">
        <v>260</v>
      </c>
      <c r="B24" s="320">
        <v>3024226</v>
      </c>
      <c r="C24" s="320">
        <v>23951036</v>
      </c>
      <c r="D24" s="320">
        <v>26975262</v>
      </c>
      <c r="E24" s="321">
        <v>287131.43</v>
      </c>
      <c r="F24" s="320">
        <v>590414.56400000001</v>
      </c>
      <c r="G24" s="320">
        <v>877545.99399999995</v>
      </c>
    </row>
    <row r="25" spans="1:9">
      <c r="A25" s="283" t="s">
        <v>259</v>
      </c>
      <c r="B25" s="320">
        <v>2941288.6500000013</v>
      </c>
      <c r="C25" s="320">
        <v>23429185.350000001</v>
      </c>
      <c r="D25" s="320">
        <v>26370474.000000004</v>
      </c>
      <c r="E25" s="321">
        <v>281048.97759970004</v>
      </c>
      <c r="F25" s="320">
        <v>574419.41840000008</v>
      </c>
      <c r="G25" s="320">
        <v>855468.39599970006</v>
      </c>
    </row>
    <row r="26" spans="1:9">
      <c r="A26" s="283" t="s">
        <v>258</v>
      </c>
      <c r="B26" s="320">
        <v>2227678.04</v>
      </c>
      <c r="C26" s="320">
        <v>19018714.959999993</v>
      </c>
      <c r="D26" s="320">
        <v>21246392.999999993</v>
      </c>
      <c r="E26" s="321">
        <v>192993.15906720009</v>
      </c>
      <c r="F26" s="320">
        <v>488196.97666109999</v>
      </c>
      <c r="G26" s="320">
        <v>681190.13572830008</v>
      </c>
    </row>
    <row r="27" spans="1:9">
      <c r="A27" s="283" t="s">
        <v>257</v>
      </c>
      <c r="B27" s="320">
        <v>2131101.3303645407</v>
      </c>
      <c r="C27" s="320">
        <v>18386423.669635467</v>
      </c>
      <c r="D27" s="320">
        <v>20517525.000000007</v>
      </c>
      <c r="E27" s="321">
        <v>195402.3422001001</v>
      </c>
      <c r="F27" s="320">
        <v>470528.08330040006</v>
      </c>
      <c r="G27" s="320">
        <v>665930.42550050013</v>
      </c>
    </row>
    <row r="28" spans="1:9">
      <c r="A28" s="283" t="s">
        <v>256</v>
      </c>
      <c r="B28" s="320">
        <v>2009776</v>
      </c>
      <c r="C28" s="320">
        <v>18148247</v>
      </c>
      <c r="D28" s="320">
        <v>20158023</v>
      </c>
      <c r="E28" s="321">
        <v>190663.799</v>
      </c>
      <c r="F28" s="320">
        <v>466470.76500000001</v>
      </c>
      <c r="G28" s="320">
        <v>657134.56400000001</v>
      </c>
      <c r="H28" s="319">
        <f>F63/(G28*1000)</f>
        <v>0.58295470835080732</v>
      </c>
      <c r="I28" s="281" t="s">
        <v>283</v>
      </c>
    </row>
    <row r="31" spans="1:9">
      <c r="A31" s="292" t="s">
        <v>282</v>
      </c>
      <c r="B31"/>
      <c r="C31"/>
      <c r="D31"/>
      <c r="E31"/>
      <c r="F31"/>
      <c r="G31"/>
    </row>
    <row r="32" spans="1:9">
      <c r="A32"/>
      <c r="B32"/>
      <c r="C32"/>
      <c r="D32"/>
      <c r="E32"/>
      <c r="F32"/>
      <c r="G32"/>
    </row>
    <row r="33" spans="1:8">
      <c r="A33" s="318" t="s">
        <v>277</v>
      </c>
      <c r="B33" s="318">
        <v>2007</v>
      </c>
      <c r="C33" s="318">
        <v>2008</v>
      </c>
      <c r="D33" s="318">
        <v>2009</v>
      </c>
      <c r="E33" s="318">
        <v>2010</v>
      </c>
      <c r="F33" s="318">
        <v>2011</v>
      </c>
      <c r="G33" s="317" t="s">
        <v>281</v>
      </c>
      <c r="H33" s="317" t="s">
        <v>275</v>
      </c>
    </row>
    <row r="34" spans="1:8">
      <c r="A34" s="299" t="s">
        <v>272</v>
      </c>
      <c r="B34" s="282">
        <v>4788067.6867699903</v>
      </c>
      <c r="C34" s="282">
        <v>4606560.49368113</v>
      </c>
      <c r="D34" s="282">
        <v>3717769.6616127351</v>
      </c>
      <c r="E34" s="282">
        <v>3557292.6352063082</v>
      </c>
      <c r="F34" s="282">
        <v>3562381.6397375413</v>
      </c>
      <c r="G34" s="315">
        <f>AVERAGE(D34:F34)</f>
        <v>3612481.3121855282</v>
      </c>
      <c r="H34" s="297">
        <f>G34/$G$38</f>
        <v>0.2957011084952702</v>
      </c>
    </row>
    <row r="35" spans="1:8">
      <c r="A35" s="299" t="s">
        <v>271</v>
      </c>
      <c r="B35" s="282">
        <v>9816142.1145332102</v>
      </c>
      <c r="C35" s="282">
        <v>9735830.0848374013</v>
      </c>
      <c r="D35" s="282">
        <v>8181006.8767382745</v>
      </c>
      <c r="E35" s="282">
        <v>7881254.9834306706</v>
      </c>
      <c r="F35" s="282">
        <v>7685341.3234778084</v>
      </c>
      <c r="G35" s="315">
        <f>AVERAGE(D35:F35)</f>
        <v>7915867.7278822511</v>
      </c>
      <c r="H35" s="297">
        <f>G35/$G$38</f>
        <v>0.64795653168945821</v>
      </c>
    </row>
    <row r="36" spans="1:8">
      <c r="A36" s="299" t="s">
        <v>270</v>
      </c>
      <c r="B36" s="282">
        <v>551738.21744333173</v>
      </c>
      <c r="C36" s="282">
        <v>542950.67111472122</v>
      </c>
      <c r="D36" s="282">
        <v>416088.88569083554</v>
      </c>
      <c r="E36" s="282">
        <v>399820.50822409068</v>
      </c>
      <c r="F36" s="282">
        <v>397561.19858313067</v>
      </c>
      <c r="G36" s="315">
        <f>AVERAGE(D36:F36)</f>
        <v>404490.19749935227</v>
      </c>
      <c r="H36" s="297">
        <f>G36/$G$38</f>
        <v>3.3109707549924199E-2</v>
      </c>
    </row>
    <row r="37" spans="1:8">
      <c r="A37" s="316" t="s">
        <v>269</v>
      </c>
      <c r="B37" s="282">
        <v>402796.10596747161</v>
      </c>
      <c r="C37" s="282">
        <v>387115.427606927</v>
      </c>
      <c r="D37" s="282">
        <v>279374.92358677083</v>
      </c>
      <c r="E37" s="282">
        <v>288921.67206223903</v>
      </c>
      <c r="F37" s="282">
        <v>283179.97711211047</v>
      </c>
      <c r="G37" s="315">
        <f>AVERAGE(D37:F37)</f>
        <v>283825.52425370674</v>
      </c>
      <c r="H37" s="297">
        <f>G37/$G$38</f>
        <v>2.3232652265347407E-2</v>
      </c>
    </row>
    <row r="38" spans="1:8">
      <c r="A38" s="304"/>
      <c r="B38" s="314">
        <f t="shared" ref="B38:H38" si="0">SUM(B34:B37)</f>
        <v>15558744.124714004</v>
      </c>
      <c r="C38" s="314">
        <f t="shared" si="0"/>
        <v>15272456.67724018</v>
      </c>
      <c r="D38" s="314">
        <f t="shared" si="0"/>
        <v>12594240.347628618</v>
      </c>
      <c r="E38" s="314">
        <f t="shared" si="0"/>
        <v>12127289.798923308</v>
      </c>
      <c r="F38" s="314">
        <f t="shared" si="0"/>
        <v>11928464.13891059</v>
      </c>
      <c r="G38" s="314">
        <f t="shared" si="0"/>
        <v>12216664.761820838</v>
      </c>
      <c r="H38" s="313">
        <f t="shared" si="0"/>
        <v>1</v>
      </c>
    </row>
    <row r="39" spans="1:8">
      <c r="A39"/>
      <c r="B39" s="312"/>
      <c r="C39" s="311"/>
      <c r="D39" s="311"/>
      <c r="E39" s="311"/>
      <c r="F39" s="311"/>
      <c r="G39" s="311"/>
    </row>
    <row r="40" spans="1:8">
      <c r="A40" s="292" t="s">
        <v>4</v>
      </c>
      <c r="B40" s="310"/>
      <c r="C40" s="309"/>
      <c r="D40" s="309"/>
      <c r="E40" s="309"/>
      <c r="F40" s="309"/>
      <c r="G40" s="309"/>
    </row>
    <row r="41" spans="1:8">
      <c r="A41"/>
      <c r="B41" s="310"/>
      <c r="C41" s="309"/>
      <c r="D41" s="308"/>
      <c r="E41"/>
      <c r="F41"/>
      <c r="G41"/>
    </row>
    <row r="42" spans="1:8">
      <c r="A42" s="307" t="s">
        <v>277</v>
      </c>
      <c r="B42" s="307">
        <v>2007</v>
      </c>
      <c r="C42" s="307">
        <v>2008</v>
      </c>
      <c r="D42" s="307">
        <v>2009</v>
      </c>
      <c r="E42" s="307">
        <v>2010</v>
      </c>
      <c r="F42" s="307">
        <v>2011</v>
      </c>
      <c r="G42"/>
    </row>
    <row r="43" spans="1:8">
      <c r="A43" s="306" t="s">
        <v>272</v>
      </c>
      <c r="B43" s="282">
        <v>2260825.96</v>
      </c>
      <c r="C43" s="282">
        <v>2584674.15</v>
      </c>
      <c r="D43" s="282">
        <v>3042516.22</v>
      </c>
      <c r="E43" s="282">
        <v>2389108.5557290753</v>
      </c>
      <c r="F43" s="282">
        <v>2386706.4090481978</v>
      </c>
      <c r="G43"/>
    </row>
    <row r="44" spans="1:8">
      <c r="A44" s="306" t="s">
        <v>271</v>
      </c>
      <c r="B44" s="282">
        <v>4085849.8600000003</v>
      </c>
      <c r="C44" s="282">
        <v>4477404.4099999992</v>
      </c>
      <c r="D44" s="282">
        <v>5339716.3099999996</v>
      </c>
      <c r="E44" s="282">
        <v>4136396.3060660874</v>
      </c>
      <c r="F44" s="282">
        <v>4154329.5941475127</v>
      </c>
      <c r="G44"/>
    </row>
    <row r="45" spans="1:8">
      <c r="A45" s="306" t="s">
        <v>270</v>
      </c>
      <c r="B45" s="282">
        <v>1112941.06</v>
      </c>
      <c r="C45" s="282">
        <v>1308583.74</v>
      </c>
      <c r="D45" s="282">
        <v>1177648.76</v>
      </c>
      <c r="E45" s="282">
        <v>1075613.8677134556</v>
      </c>
      <c r="F45" s="282">
        <v>1079467.3863071231</v>
      </c>
      <c r="G45"/>
    </row>
    <row r="46" spans="1:8">
      <c r="A46" s="306" t="s">
        <v>269</v>
      </c>
      <c r="B46" s="282">
        <v>926158.7300000001</v>
      </c>
      <c r="C46" s="282">
        <v>1040953.7799999999</v>
      </c>
      <c r="D46" s="282">
        <v>894851.38</v>
      </c>
      <c r="E46" s="282">
        <v>850277.74920541525</v>
      </c>
      <c r="F46" s="282">
        <v>834857.07815737324</v>
      </c>
      <c r="G46"/>
    </row>
    <row r="47" spans="1:8">
      <c r="A47" s="304"/>
      <c r="B47" s="303"/>
      <c r="C47" s="303"/>
      <c r="D47" s="303"/>
      <c r="E47" s="303"/>
      <c r="F47" s="303"/>
      <c r="G47"/>
    </row>
    <row r="48" spans="1:8">
      <c r="A48" s="292" t="s">
        <v>280</v>
      </c>
      <c r="B48" s="303"/>
      <c r="C48" s="303"/>
      <c r="D48" s="303"/>
      <c r="E48" s="303"/>
      <c r="F48" s="303"/>
      <c r="G48"/>
    </row>
    <row r="49" spans="1:7">
      <c r="A49" s="304"/>
      <c r="B49" s="303"/>
      <c r="C49" s="303"/>
      <c r="D49" s="303"/>
      <c r="E49" s="303"/>
      <c r="F49" s="303"/>
      <c r="G49"/>
    </row>
    <row r="50" spans="1:7">
      <c r="A50" s="307" t="s">
        <v>277</v>
      </c>
      <c r="B50" s="307">
        <v>2007</v>
      </c>
      <c r="C50" s="307">
        <v>2008</v>
      </c>
      <c r="D50" s="307">
        <v>2009</v>
      </c>
      <c r="E50" s="307">
        <v>2010</v>
      </c>
      <c r="F50" s="307">
        <v>2011</v>
      </c>
      <c r="G50"/>
    </row>
    <row r="51" spans="1:7">
      <c r="A51" s="306" t="s">
        <v>272</v>
      </c>
      <c r="B51" s="305">
        <f t="shared" ref="B51:F54" si="1">B43/B59</f>
        <v>1.5973584712684626E-2</v>
      </c>
      <c r="C51" s="305">
        <f t="shared" si="1"/>
        <v>1.9052889398859726E-2</v>
      </c>
      <c r="D51" s="305">
        <f t="shared" si="1"/>
        <v>2.729158497254985E-2</v>
      </c>
      <c r="E51" s="305">
        <f t="shared" si="1"/>
        <v>2.2258905110375548E-2</v>
      </c>
      <c r="F51" s="305">
        <f t="shared" si="1"/>
        <v>2.213803502233213E-2</v>
      </c>
      <c r="G51"/>
    </row>
    <row r="52" spans="1:7">
      <c r="A52" s="306" t="s">
        <v>271</v>
      </c>
      <c r="B52" s="305">
        <f t="shared" si="1"/>
        <v>2.0121299347010686E-2</v>
      </c>
      <c r="C52" s="305">
        <f t="shared" si="1"/>
        <v>2.2247785422164306E-2</v>
      </c>
      <c r="D52" s="305">
        <f t="shared" si="1"/>
        <v>2.9973807613327259E-2</v>
      </c>
      <c r="E52" s="305">
        <f t="shared" si="1"/>
        <v>2.4497782876027996E-2</v>
      </c>
      <c r="F52" s="305">
        <f t="shared" si="1"/>
        <v>2.4729954924542521E-2</v>
      </c>
      <c r="G52"/>
    </row>
    <row r="53" spans="1:7">
      <c r="A53" s="306" t="s">
        <v>270</v>
      </c>
      <c r="B53" s="305">
        <f t="shared" si="1"/>
        <v>1.3517080882178492E-2</v>
      </c>
      <c r="C53" s="305">
        <f t="shared" si="1"/>
        <v>1.6190163950716676E-2</v>
      </c>
      <c r="D53" s="305">
        <f t="shared" si="1"/>
        <v>2.1059912782025205E-2</v>
      </c>
      <c r="E53" s="305">
        <f t="shared" si="1"/>
        <v>1.8326550135094311E-2</v>
      </c>
      <c r="F53" s="305">
        <f t="shared" si="1"/>
        <v>1.8152417531700837E-2</v>
      </c>
      <c r="G53"/>
    </row>
    <row r="54" spans="1:7">
      <c r="A54" s="306" t="s">
        <v>269</v>
      </c>
      <c r="B54" s="305">
        <f t="shared" si="1"/>
        <v>1.3439528436165388E-2</v>
      </c>
      <c r="C54" s="305">
        <f t="shared" si="1"/>
        <v>1.5759768322353155E-2</v>
      </c>
      <c r="D54" s="305">
        <f t="shared" si="1"/>
        <v>2.0719179156067004E-2</v>
      </c>
      <c r="E54" s="305">
        <f t="shared" si="1"/>
        <v>1.7675371126308421E-2</v>
      </c>
      <c r="F54" s="305">
        <f t="shared" si="1"/>
        <v>1.7460205562087921E-2</v>
      </c>
      <c r="G54"/>
    </row>
    <row r="55" spans="1:7">
      <c r="A55" s="304"/>
      <c r="B55" s="303"/>
      <c r="C55" s="303"/>
      <c r="D55" s="303"/>
      <c r="E55" s="303"/>
      <c r="F55" s="303"/>
      <c r="G55"/>
    </row>
    <row r="56" spans="1:7">
      <c r="A56" s="292" t="s">
        <v>279</v>
      </c>
      <c r="B56"/>
      <c r="C56"/>
      <c r="D56"/>
      <c r="E56"/>
      <c r="F56"/>
      <c r="G56"/>
    </row>
    <row r="57" spans="1:7">
      <c r="A57"/>
      <c r="B57"/>
      <c r="C57"/>
      <c r="D57"/>
      <c r="E57"/>
      <c r="F57"/>
      <c r="G57"/>
    </row>
    <row r="58" spans="1:7">
      <c r="A58" s="300" t="s">
        <v>277</v>
      </c>
      <c r="B58" s="300">
        <v>2007</v>
      </c>
      <c r="C58" s="300">
        <v>2008</v>
      </c>
      <c r="D58" s="300">
        <v>2009</v>
      </c>
      <c r="E58" s="300">
        <v>2010</v>
      </c>
      <c r="F58" s="300">
        <v>2011</v>
      </c>
      <c r="G58"/>
    </row>
    <row r="59" spans="1:7">
      <c r="A59" s="299" t="s">
        <v>272</v>
      </c>
      <c r="B59" s="282">
        <v>141535290.961</v>
      </c>
      <c r="C59" s="282">
        <v>135657857.2358</v>
      </c>
      <c r="D59" s="282">
        <v>111481844.05779999</v>
      </c>
      <c r="E59" s="282">
        <v>107332707.69079472</v>
      </c>
      <c r="F59" s="282">
        <v>107810219.22860661</v>
      </c>
      <c r="G59"/>
    </row>
    <row r="60" spans="1:7">
      <c r="A60" s="299" t="s">
        <v>271</v>
      </c>
      <c r="B60" s="282">
        <v>203060935.05870003</v>
      </c>
      <c r="C60" s="282">
        <v>201251689.77669999</v>
      </c>
      <c r="D60" s="282">
        <v>178146079.36649999</v>
      </c>
      <c r="E60" s="282">
        <v>168847782.14414281</v>
      </c>
      <c r="F60" s="282">
        <v>167987754.39839843</v>
      </c>
      <c r="G60"/>
    </row>
    <row r="61" spans="1:7">
      <c r="A61" s="299" t="s">
        <v>270</v>
      </c>
      <c r="B61" s="282">
        <v>82335902.973499998</v>
      </c>
      <c r="C61" s="282">
        <v>80825848.582100004</v>
      </c>
      <c r="D61" s="282">
        <v>55918976.122500002</v>
      </c>
      <c r="E61" s="282">
        <v>58691562.775566556</v>
      </c>
      <c r="F61" s="282">
        <v>59466866.296016693</v>
      </c>
      <c r="G61"/>
    </row>
    <row r="62" spans="1:7">
      <c r="A62" s="299" t="s">
        <v>269</v>
      </c>
      <c r="B62" s="282">
        <v>68913037.715499997</v>
      </c>
      <c r="C62" s="282">
        <v>66051337.729600005</v>
      </c>
      <c r="D62" s="282">
        <v>43189518.911899991</v>
      </c>
      <c r="E62" s="282">
        <v>48105227.501551166</v>
      </c>
      <c r="F62" s="282">
        <v>47814848.180833191</v>
      </c>
      <c r="G62"/>
    </row>
    <row r="63" spans="1:7">
      <c r="A63" s="301"/>
      <c r="B63" s="287"/>
      <c r="C63" s="287"/>
      <c r="D63" s="287"/>
      <c r="E63" s="287"/>
      <c r="F63" s="302">
        <f>SUM(F59:F62)</f>
        <v>383079688.10385489</v>
      </c>
      <c r="G63"/>
    </row>
    <row r="64" spans="1:7">
      <c r="A64" s="292" t="s">
        <v>278</v>
      </c>
      <c r="B64" s="287"/>
      <c r="C64" s="287"/>
      <c r="D64" s="287"/>
      <c r="E64" s="287"/>
      <c r="F64" s="287"/>
      <c r="G64"/>
    </row>
    <row r="65" spans="1:10">
      <c r="A65" s="301"/>
      <c r="B65" s="287"/>
      <c r="C65" s="287"/>
      <c r="D65" s="287"/>
      <c r="E65" s="287"/>
      <c r="F65" s="287"/>
      <c r="G65"/>
    </row>
    <row r="66" spans="1:10">
      <c r="A66" s="300" t="s">
        <v>277</v>
      </c>
      <c r="B66" s="300">
        <v>2007</v>
      </c>
      <c r="C66" s="300">
        <v>2008</v>
      </c>
      <c r="D66" s="300">
        <v>2009</v>
      </c>
      <c r="E66" s="300">
        <v>2010</v>
      </c>
      <c r="F66" s="300">
        <v>2011</v>
      </c>
      <c r="G66" s="6" t="s">
        <v>276</v>
      </c>
      <c r="H66" s="281" t="s">
        <v>275</v>
      </c>
      <c r="I66" s="281" t="s">
        <v>274</v>
      </c>
      <c r="J66" s="281" t="s">
        <v>273</v>
      </c>
    </row>
    <row r="67" spans="1:10">
      <c r="A67" s="299" t="s">
        <v>272</v>
      </c>
      <c r="B67" s="282">
        <f t="shared" ref="B67:F70" si="2">B59/B34</f>
        <v>29.560002117781064</v>
      </c>
      <c r="C67" s="282">
        <f t="shared" si="2"/>
        <v>29.448838764167622</v>
      </c>
      <c r="D67" s="282">
        <f t="shared" si="2"/>
        <v>29.986215985591794</v>
      </c>
      <c r="E67" s="282">
        <f t="shared" si="2"/>
        <v>30.172583112373005</v>
      </c>
      <c r="F67" s="282">
        <f t="shared" si="2"/>
        <v>30.26352315148063</v>
      </c>
      <c r="G67" s="298">
        <f>AVERAGE(D67:F67)</f>
        <v>30.140774083148475</v>
      </c>
      <c r="H67" s="295">
        <f>H34</f>
        <v>0.2957011084952702</v>
      </c>
      <c r="I67" s="281">
        <f>attalumi!B86</f>
        <v>43</v>
      </c>
      <c r="J67" s="297">
        <f>G67/I67</f>
        <v>0.70094823449182497</v>
      </c>
    </row>
    <row r="68" spans="1:10">
      <c r="A68" s="299" t="s">
        <v>271</v>
      </c>
      <c r="B68" s="282">
        <f t="shared" si="2"/>
        <v>20.68642983051965</v>
      </c>
      <c r="C68" s="282">
        <f t="shared" si="2"/>
        <v>20.671240975140858</v>
      </c>
      <c r="D68" s="282">
        <f t="shared" si="2"/>
        <v>21.775568955092471</v>
      </c>
      <c r="E68" s="282">
        <f t="shared" si="2"/>
        <v>21.423971499351772</v>
      </c>
      <c r="F68" s="282">
        <f t="shared" si="2"/>
        <v>21.858203471746364</v>
      </c>
      <c r="G68" s="298">
        <f>AVERAGE(D68:F68)</f>
        <v>21.685914642063537</v>
      </c>
      <c r="H68" s="295">
        <f>H35</f>
        <v>0.64795653168945821</v>
      </c>
      <c r="I68" s="281">
        <f>attalumi!B75</f>
        <v>68</v>
      </c>
      <c r="J68" s="297">
        <f>G68/I68</f>
        <v>0.31891050944211086</v>
      </c>
    </row>
    <row r="69" spans="1:10">
      <c r="A69" s="299" t="s">
        <v>270</v>
      </c>
      <c r="B69" s="282">
        <f t="shared" si="2"/>
        <v>149.23001592137598</v>
      </c>
      <c r="C69" s="282">
        <f t="shared" si="2"/>
        <v>148.86407344549011</v>
      </c>
      <c r="D69" s="282">
        <f t="shared" si="2"/>
        <v>134.39190049418721</v>
      </c>
      <c r="E69" s="282">
        <f t="shared" si="2"/>
        <v>146.79477807744473</v>
      </c>
      <c r="F69" s="282">
        <f t="shared" si="2"/>
        <v>149.57915034955826</v>
      </c>
      <c r="G69" s="298">
        <f>AVERAGE(D69:F69)</f>
        <v>143.58860964039673</v>
      </c>
      <c r="H69" s="295">
        <f>H36</f>
        <v>3.3109707549924199E-2</v>
      </c>
      <c r="I69" s="281">
        <f>attalumi!B154</f>
        <v>218</v>
      </c>
      <c r="J69" s="297">
        <f>G69/I69</f>
        <v>0.65866334697429696</v>
      </c>
    </row>
    <row r="70" spans="1:10">
      <c r="A70" s="299" t="s">
        <v>269</v>
      </c>
      <c r="B70" s="282">
        <f t="shared" si="2"/>
        <v>171.08665325842344</v>
      </c>
      <c r="C70" s="282">
        <f t="shared" si="2"/>
        <v>170.62440042215999</v>
      </c>
      <c r="D70" s="282">
        <f t="shared" si="2"/>
        <v>154.59339856780593</v>
      </c>
      <c r="E70" s="282">
        <f t="shared" si="2"/>
        <v>166.4992008324956</v>
      </c>
      <c r="F70" s="282">
        <f t="shared" si="2"/>
        <v>168.84967881010661</v>
      </c>
      <c r="G70" s="298">
        <f>AVERAGE(D70:F70)</f>
        <v>163.31409273680273</v>
      </c>
      <c r="H70" s="295">
        <f>H37</f>
        <v>2.3232652265347407E-2</v>
      </c>
      <c r="I70" s="281">
        <f>attalumi!B169</f>
        <v>279</v>
      </c>
      <c r="J70" s="297">
        <f>G70/I70</f>
        <v>0.58535517109965141</v>
      </c>
    </row>
    <row r="71" spans="1:10">
      <c r="A71" s="296" t="s">
        <v>268</v>
      </c>
      <c r="B71" s="287"/>
      <c r="C71" s="287"/>
      <c r="D71" s="287"/>
      <c r="E71" s="287"/>
      <c r="F71" s="287"/>
      <c r="G71" s="294">
        <f>G67*H67+G68*H68+G69*H69+G70*H70</f>
        <v>31.512586744556241</v>
      </c>
      <c r="H71" s="295">
        <f>H38</f>
        <v>1</v>
      </c>
      <c r="I71" s="294">
        <f>SUM(I67:I70)</f>
        <v>608</v>
      </c>
      <c r="J71" s="293">
        <f>SUM(G67:G70)/I71</f>
        <v>0.59001544589212407</v>
      </c>
    </row>
    <row r="76" spans="1:10">
      <c r="A76" s="292" t="s">
        <v>267</v>
      </c>
    </row>
    <row r="78" spans="1:10" ht="45">
      <c r="A78" s="291" t="s">
        <v>263</v>
      </c>
      <c r="B78" s="290" t="s">
        <v>266</v>
      </c>
      <c r="C78" s="289" t="s">
        <v>265</v>
      </c>
      <c r="D78" s="288"/>
    </row>
    <row r="79" spans="1:10">
      <c r="A79" s="283" t="s">
        <v>260</v>
      </c>
      <c r="B79" s="282">
        <v>39227119</v>
      </c>
      <c r="C79" s="282">
        <v>3644976.047904192</v>
      </c>
      <c r="D79" s="287"/>
    </row>
    <row r="80" spans="1:10">
      <c r="A80" s="283" t="s">
        <v>259</v>
      </c>
      <c r="B80" s="282">
        <v>43397809</v>
      </c>
      <c r="C80" s="282">
        <v>3905892.2155688624</v>
      </c>
      <c r="D80" s="287"/>
    </row>
    <row r="81" spans="1:4">
      <c r="A81" s="283" t="s">
        <v>258</v>
      </c>
      <c r="B81" s="282">
        <v>39747026</v>
      </c>
      <c r="C81" s="282">
        <v>3237510</v>
      </c>
    </row>
    <row r="82" spans="1:4">
      <c r="A82" s="283" t="s">
        <v>257</v>
      </c>
      <c r="B82" s="282">
        <v>39819016</v>
      </c>
      <c r="C82" s="282">
        <v>2678336</v>
      </c>
    </row>
    <row r="83" spans="1:4">
      <c r="A83" s="283" t="s">
        <v>256</v>
      </c>
      <c r="B83" s="282">
        <v>39420945</v>
      </c>
      <c r="C83" s="282">
        <v>2676425</v>
      </c>
    </row>
    <row r="86" spans="1:4">
      <c r="A86" s="286"/>
      <c r="B86" s="2252" t="s">
        <v>264</v>
      </c>
      <c r="C86" s="2252"/>
      <c r="D86" s="2252"/>
    </row>
    <row r="87" spans="1:4">
      <c r="A87" s="285" t="s">
        <v>263</v>
      </c>
      <c r="B87" s="284" t="s">
        <v>262</v>
      </c>
      <c r="C87" s="284" t="s">
        <v>261</v>
      </c>
      <c r="D87" s="284" t="s">
        <v>2</v>
      </c>
    </row>
    <row r="88" spans="1:4">
      <c r="A88" s="283" t="s">
        <v>260</v>
      </c>
      <c r="B88" s="282">
        <v>534658</v>
      </c>
      <c r="C88" s="282">
        <v>1166341</v>
      </c>
      <c r="D88" s="282">
        <v>1700999</v>
      </c>
    </row>
    <row r="89" spans="1:4">
      <c r="A89" s="283" t="s">
        <v>259</v>
      </c>
      <c r="B89" s="282">
        <v>577761</v>
      </c>
      <c r="C89" s="282">
        <v>1225494</v>
      </c>
      <c r="D89" s="282">
        <v>1803255</v>
      </c>
    </row>
    <row r="90" spans="1:4">
      <c r="A90" s="283" t="s">
        <v>258</v>
      </c>
      <c r="B90" s="282">
        <v>558616</v>
      </c>
      <c r="C90" s="282">
        <v>1092575</v>
      </c>
      <c r="D90" s="282">
        <v>1651191</v>
      </c>
    </row>
    <row r="91" spans="1:4">
      <c r="A91" s="283" t="s">
        <v>257</v>
      </c>
      <c r="B91" s="282">
        <v>441682.30200000003</v>
      </c>
      <c r="C91" s="282">
        <v>1050516.966</v>
      </c>
      <c r="D91" s="282">
        <v>1492199.2680000002</v>
      </c>
    </row>
    <row r="92" spans="1:4">
      <c r="A92" s="283" t="s">
        <v>256</v>
      </c>
      <c r="B92" s="282">
        <v>443006.837</v>
      </c>
      <c r="C92" s="282">
        <v>1062322.8829999999</v>
      </c>
      <c r="D92" s="282">
        <v>1505329.72</v>
      </c>
    </row>
  </sheetData>
  <mergeCells count="10">
    <mergeCell ref="A22:A23"/>
    <mergeCell ref="B22:D22"/>
    <mergeCell ref="E22:G22"/>
    <mergeCell ref="B86:D86"/>
    <mergeCell ref="A3:A4"/>
    <mergeCell ref="B3:D3"/>
    <mergeCell ref="E3:G3"/>
    <mergeCell ref="A12:A13"/>
    <mergeCell ref="B12:D12"/>
    <mergeCell ref="E12:G12"/>
  </mergeCell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dimension ref="A1:M57"/>
  <sheetViews>
    <sheetView topLeftCell="A13" workbookViewId="0">
      <selection activeCell="B30" sqref="B30"/>
    </sheetView>
  </sheetViews>
  <sheetFormatPr defaultRowHeight="12.75"/>
  <cols>
    <col min="1" max="1" width="20.28515625" customWidth="1"/>
    <col min="2" max="2" width="8.42578125" customWidth="1"/>
    <col min="3" max="3" width="11.5703125" customWidth="1"/>
    <col min="4" max="5" width="10.7109375" customWidth="1"/>
    <col min="6" max="6" width="9" customWidth="1"/>
    <col min="7" max="7" width="11.5703125" customWidth="1"/>
    <col min="8" max="9" width="10.7109375" customWidth="1"/>
    <col min="10" max="10" width="11.28515625" customWidth="1"/>
    <col min="11" max="11" width="11.7109375" customWidth="1"/>
    <col min="12" max="13" width="10.7109375" customWidth="1"/>
  </cols>
  <sheetData>
    <row r="1" spans="1:13" s="218" customFormat="1" ht="17.25" customHeight="1">
      <c r="A1" s="470"/>
      <c r="B1" s="470"/>
      <c r="C1" s="471"/>
      <c r="D1" s="471"/>
      <c r="E1" s="471"/>
      <c r="F1" s="471"/>
      <c r="G1" s="471"/>
      <c r="H1" s="471"/>
      <c r="I1" s="471"/>
      <c r="J1" s="471"/>
      <c r="K1" s="471"/>
      <c r="L1" s="471"/>
      <c r="M1" s="471"/>
    </row>
    <row r="2" spans="1:13" s="218" customFormat="1" ht="15.75">
      <c r="A2" s="472" t="s">
        <v>696</v>
      </c>
      <c r="B2" s="472"/>
    </row>
    <row r="3" spans="1:13" s="218" customFormat="1" ht="15">
      <c r="A3" s="473"/>
      <c r="B3" s="473"/>
    </row>
    <row r="4" spans="1:13" s="218" customFormat="1" ht="15">
      <c r="A4" s="473"/>
      <c r="B4" s="473"/>
    </row>
    <row r="5" spans="1:13" s="218" customFormat="1" ht="15">
      <c r="A5" s="474"/>
      <c r="B5" s="473"/>
      <c r="F5" s="475"/>
      <c r="J5" s="475"/>
      <c r="M5" s="218" t="s">
        <v>697</v>
      </c>
    </row>
    <row r="6" spans="1:13" s="478" customFormat="1" ht="30" customHeight="1">
      <c r="A6" s="476"/>
      <c r="B6" s="2253" t="s">
        <v>257</v>
      </c>
      <c r="C6" s="2253"/>
      <c r="D6" s="2253"/>
      <c r="E6" s="2254"/>
      <c r="F6" s="2255" t="s">
        <v>256</v>
      </c>
      <c r="G6" s="2253"/>
      <c r="H6" s="2253"/>
      <c r="I6" s="2254"/>
      <c r="J6" s="477"/>
      <c r="K6" s="2253" t="s">
        <v>698</v>
      </c>
      <c r="L6" s="2253"/>
      <c r="M6" s="2256"/>
    </row>
    <row r="7" spans="1:13" s="478" customFormat="1" ht="80.25" customHeight="1">
      <c r="A7" s="476"/>
      <c r="B7" s="479" t="s">
        <v>699</v>
      </c>
      <c r="C7" s="480" t="s">
        <v>700</v>
      </c>
      <c r="D7" s="481" t="s">
        <v>701</v>
      </c>
      <c r="E7" s="482" t="s">
        <v>702</v>
      </c>
      <c r="F7" s="483" t="s">
        <v>699</v>
      </c>
      <c r="G7" s="480" t="s">
        <v>700</v>
      </c>
      <c r="H7" s="481" t="s">
        <v>701</v>
      </c>
      <c r="I7" s="482" t="s">
        <v>702</v>
      </c>
      <c r="J7" s="483" t="s">
        <v>703</v>
      </c>
      <c r="K7" s="480" t="s">
        <v>700</v>
      </c>
      <c r="L7" s="481" t="s">
        <v>701</v>
      </c>
      <c r="M7" s="484" t="s">
        <v>702</v>
      </c>
    </row>
    <row r="8" spans="1:13" ht="111" customHeight="1">
      <c r="A8" s="485" t="s">
        <v>704</v>
      </c>
      <c r="B8" s="486"/>
      <c r="C8" s="487">
        <f>C26/12/17</f>
        <v>1285.6960784313724</v>
      </c>
      <c r="D8" s="488">
        <f>D26/12/17</f>
        <v>714.4460784313726</v>
      </c>
      <c r="E8" s="489">
        <f>E26/12/17</f>
        <v>571.25</v>
      </c>
      <c r="F8" s="490"/>
      <c r="G8" s="491">
        <f>G26/12/17</f>
        <v>1297.7009803921569</v>
      </c>
      <c r="H8" s="488">
        <f>H26/12/17</f>
        <v>686.1960784313726</v>
      </c>
      <c r="I8" s="492">
        <f>I26/12/17</f>
        <v>611.50490196078431</v>
      </c>
      <c r="J8" s="493"/>
      <c r="K8" s="491">
        <f>K26/11/17</f>
        <v>1347.6470588235295</v>
      </c>
      <c r="L8" s="494">
        <f>L26/11/17</f>
        <v>743.0320855614973</v>
      </c>
      <c r="M8" s="494">
        <f>M26/11/17</f>
        <v>604.61497326203209</v>
      </c>
    </row>
    <row r="9" spans="1:13" ht="20.100000000000001" customHeight="1">
      <c r="A9" s="495" t="s">
        <v>705</v>
      </c>
      <c r="B9" s="496"/>
      <c r="C9" s="497">
        <v>11417</v>
      </c>
      <c r="D9" s="498">
        <v>5677</v>
      </c>
      <c r="E9" s="499">
        <f t="shared" ref="E9:E26" si="0">C9-D9</f>
        <v>5740</v>
      </c>
      <c r="F9" s="500"/>
      <c r="G9" s="501">
        <v>12079</v>
      </c>
      <c r="H9" s="498">
        <v>4844</v>
      </c>
      <c r="I9" s="499">
        <f t="shared" ref="I9:I26" si="1">G9-H9</f>
        <v>7235</v>
      </c>
      <c r="J9" s="500"/>
      <c r="K9" s="501">
        <f t="shared" ref="K9:K25" si="2">L9+M9</f>
        <v>11365</v>
      </c>
      <c r="L9" s="502">
        <v>4938</v>
      </c>
      <c r="M9" s="498">
        <v>6427</v>
      </c>
    </row>
    <row r="10" spans="1:13" ht="20.100000000000001" customHeight="1">
      <c r="A10" s="495" t="s">
        <v>706</v>
      </c>
      <c r="B10" s="496"/>
      <c r="C10" s="497">
        <v>11109</v>
      </c>
      <c r="D10" s="498">
        <v>5542</v>
      </c>
      <c r="E10" s="499">
        <f t="shared" si="0"/>
        <v>5567</v>
      </c>
      <c r="F10" s="500"/>
      <c r="G10" s="501">
        <v>11283</v>
      </c>
      <c r="H10" s="498">
        <v>4243</v>
      </c>
      <c r="I10" s="499">
        <f t="shared" si="1"/>
        <v>7040</v>
      </c>
      <c r="J10" s="500"/>
      <c r="K10" s="501">
        <f t="shared" si="2"/>
        <v>11473</v>
      </c>
      <c r="L10" s="502">
        <v>5462</v>
      </c>
      <c r="M10" s="498">
        <v>6011</v>
      </c>
    </row>
    <row r="11" spans="1:13" ht="20.100000000000001" customHeight="1">
      <c r="A11" s="495" t="s">
        <v>707</v>
      </c>
      <c r="B11" s="496"/>
      <c r="C11" s="497">
        <v>19108</v>
      </c>
      <c r="D11" s="498">
        <v>11173</v>
      </c>
      <c r="E11" s="499">
        <f t="shared" si="0"/>
        <v>7935</v>
      </c>
      <c r="F11" s="500"/>
      <c r="G11" s="501">
        <v>20540</v>
      </c>
      <c r="H11" s="498">
        <v>11613</v>
      </c>
      <c r="I11" s="499">
        <f t="shared" si="1"/>
        <v>8927</v>
      </c>
      <c r="J11" s="500">
        <v>5282</v>
      </c>
      <c r="K11" s="501">
        <f t="shared" si="2"/>
        <v>18121</v>
      </c>
      <c r="L11" s="502">
        <v>9787</v>
      </c>
      <c r="M11" s="498">
        <v>8334</v>
      </c>
    </row>
    <row r="12" spans="1:13" ht="20.100000000000001" customHeight="1">
      <c r="A12" s="495" t="s">
        <v>708</v>
      </c>
      <c r="B12" s="496"/>
      <c r="C12" s="497">
        <v>16982</v>
      </c>
      <c r="D12" s="498">
        <v>9319</v>
      </c>
      <c r="E12" s="499">
        <f t="shared" si="0"/>
        <v>7663</v>
      </c>
      <c r="F12" s="500"/>
      <c r="G12" s="501">
        <v>15785</v>
      </c>
      <c r="H12" s="498">
        <v>7576</v>
      </c>
      <c r="I12" s="499">
        <f t="shared" si="1"/>
        <v>8209</v>
      </c>
      <c r="J12" s="500">
        <v>14983</v>
      </c>
      <c r="K12" s="501">
        <f t="shared" si="2"/>
        <v>14711</v>
      </c>
      <c r="L12" s="502">
        <v>7900</v>
      </c>
      <c r="M12" s="498">
        <v>6811</v>
      </c>
    </row>
    <row r="13" spans="1:13" ht="20.100000000000001" customHeight="1">
      <c r="A13" s="495" t="s">
        <v>709</v>
      </c>
      <c r="B13" s="496"/>
      <c r="C13" s="497">
        <v>10123</v>
      </c>
      <c r="D13" s="498">
        <v>4853</v>
      </c>
      <c r="E13" s="499">
        <f t="shared" si="0"/>
        <v>5270</v>
      </c>
      <c r="F13" s="500"/>
      <c r="G13" s="501">
        <v>10774</v>
      </c>
      <c r="H13" s="498">
        <v>4995</v>
      </c>
      <c r="I13" s="499">
        <f t="shared" si="1"/>
        <v>5779</v>
      </c>
      <c r="J13" s="500"/>
      <c r="K13" s="501">
        <f t="shared" si="2"/>
        <v>10755</v>
      </c>
      <c r="L13" s="502">
        <v>5196</v>
      </c>
      <c r="M13" s="498">
        <v>5559</v>
      </c>
    </row>
    <row r="14" spans="1:13" ht="20.100000000000001" customHeight="1">
      <c r="A14" s="495" t="s">
        <v>710</v>
      </c>
      <c r="B14" s="496"/>
      <c r="C14" s="497">
        <v>12141</v>
      </c>
      <c r="D14" s="498">
        <v>6856</v>
      </c>
      <c r="E14" s="499">
        <f t="shared" si="0"/>
        <v>5285</v>
      </c>
      <c r="F14" s="500"/>
      <c r="G14" s="501">
        <v>13733</v>
      </c>
      <c r="H14" s="498">
        <v>7524</v>
      </c>
      <c r="I14" s="499">
        <f t="shared" si="1"/>
        <v>6209</v>
      </c>
      <c r="J14" s="500">
        <v>5297</v>
      </c>
      <c r="K14" s="501">
        <f t="shared" si="2"/>
        <v>11419</v>
      </c>
      <c r="L14" s="502">
        <v>5539</v>
      </c>
      <c r="M14" s="498">
        <v>5880</v>
      </c>
    </row>
    <row r="15" spans="1:13" ht="20.100000000000001" customHeight="1">
      <c r="A15" s="495" t="s">
        <v>711</v>
      </c>
      <c r="B15" s="496"/>
      <c r="C15" s="497">
        <v>8355</v>
      </c>
      <c r="D15" s="498">
        <v>4025</v>
      </c>
      <c r="E15" s="499">
        <f t="shared" si="0"/>
        <v>4330</v>
      </c>
      <c r="F15" s="500"/>
      <c r="G15" s="501">
        <v>7473</v>
      </c>
      <c r="H15" s="498">
        <v>3457</v>
      </c>
      <c r="I15" s="499">
        <f t="shared" si="1"/>
        <v>4016</v>
      </c>
      <c r="J15" s="500"/>
      <c r="K15" s="501">
        <f t="shared" si="2"/>
        <v>9116</v>
      </c>
      <c r="L15" s="502">
        <v>5039</v>
      </c>
      <c r="M15" s="498">
        <v>4077</v>
      </c>
    </row>
    <row r="16" spans="1:13" ht="20.100000000000001" customHeight="1">
      <c r="A16" s="495" t="s">
        <v>712</v>
      </c>
      <c r="B16" s="496">
        <v>29001</v>
      </c>
      <c r="C16" s="497">
        <v>17891</v>
      </c>
      <c r="D16" s="498">
        <v>11300</v>
      </c>
      <c r="E16" s="499">
        <f t="shared" si="0"/>
        <v>6591</v>
      </c>
      <c r="F16" s="500"/>
      <c r="G16" s="501">
        <v>15724</v>
      </c>
      <c r="H16" s="498">
        <v>8788</v>
      </c>
      <c r="I16" s="499">
        <f t="shared" si="1"/>
        <v>6936</v>
      </c>
      <c r="J16" s="500">
        <v>48403</v>
      </c>
      <c r="K16" s="501">
        <f t="shared" si="2"/>
        <v>16424</v>
      </c>
      <c r="L16" s="502">
        <v>9290</v>
      </c>
      <c r="M16" s="498">
        <v>7134</v>
      </c>
    </row>
    <row r="17" spans="1:13" ht="20.100000000000001" customHeight="1">
      <c r="A17" s="495" t="s">
        <v>713</v>
      </c>
      <c r="B17" s="496">
        <v>11997</v>
      </c>
      <c r="C17" s="497">
        <v>18412</v>
      </c>
      <c r="D17" s="498">
        <v>10949</v>
      </c>
      <c r="E17" s="499">
        <f t="shared" si="0"/>
        <v>7463</v>
      </c>
      <c r="F17" s="500"/>
      <c r="G17" s="501">
        <v>16625</v>
      </c>
      <c r="H17" s="498">
        <v>10054</v>
      </c>
      <c r="I17" s="499">
        <f t="shared" si="1"/>
        <v>6571</v>
      </c>
      <c r="J17" s="500">
        <v>7884</v>
      </c>
      <c r="K17" s="501">
        <f t="shared" si="2"/>
        <v>16389</v>
      </c>
      <c r="L17" s="502">
        <v>10074</v>
      </c>
      <c r="M17" s="498">
        <v>6315</v>
      </c>
    </row>
    <row r="18" spans="1:13" ht="20.100000000000001" customHeight="1">
      <c r="A18" s="495" t="s">
        <v>714</v>
      </c>
      <c r="B18" s="496"/>
      <c r="C18" s="497">
        <v>10716</v>
      </c>
      <c r="D18" s="498">
        <v>5133</v>
      </c>
      <c r="E18" s="499">
        <f t="shared" si="0"/>
        <v>5583</v>
      </c>
      <c r="F18" s="500">
        <v>4499</v>
      </c>
      <c r="G18" s="501">
        <v>10328</v>
      </c>
      <c r="H18" s="498">
        <v>5010</v>
      </c>
      <c r="I18" s="499">
        <f t="shared" si="1"/>
        <v>5318</v>
      </c>
      <c r="J18" s="500">
        <v>7032</v>
      </c>
      <c r="K18" s="501">
        <f t="shared" si="2"/>
        <v>10550</v>
      </c>
      <c r="L18" s="502">
        <v>4854</v>
      </c>
      <c r="M18" s="498">
        <v>5696</v>
      </c>
    </row>
    <row r="19" spans="1:13" ht="20.100000000000001" customHeight="1">
      <c r="A19" s="495" t="s">
        <v>715</v>
      </c>
      <c r="B19" s="496"/>
      <c r="C19" s="497">
        <v>5901</v>
      </c>
      <c r="D19" s="498">
        <v>2918</v>
      </c>
      <c r="E19" s="499">
        <f t="shared" si="0"/>
        <v>2983</v>
      </c>
      <c r="F19" s="500"/>
      <c r="G19" s="501">
        <v>5832</v>
      </c>
      <c r="H19" s="498">
        <v>2562</v>
      </c>
      <c r="I19" s="499">
        <f t="shared" si="1"/>
        <v>3270</v>
      </c>
      <c r="J19" s="500"/>
      <c r="K19" s="501">
        <f t="shared" si="2"/>
        <v>5948</v>
      </c>
      <c r="L19" s="502">
        <v>3016</v>
      </c>
      <c r="M19" s="498">
        <v>2932</v>
      </c>
    </row>
    <row r="20" spans="1:13" ht="20.100000000000001" customHeight="1">
      <c r="A20" s="495" t="s">
        <v>716</v>
      </c>
      <c r="B20" s="496">
        <v>11000</v>
      </c>
      <c r="C20" s="497">
        <v>17308</v>
      </c>
      <c r="D20" s="498">
        <v>9619</v>
      </c>
      <c r="E20" s="499">
        <f t="shared" si="0"/>
        <v>7689</v>
      </c>
      <c r="F20" s="500"/>
      <c r="G20" s="501">
        <v>17651</v>
      </c>
      <c r="H20" s="498">
        <v>9960</v>
      </c>
      <c r="I20" s="499">
        <f t="shared" si="1"/>
        <v>7691</v>
      </c>
      <c r="J20" s="500">
        <v>3803</v>
      </c>
      <c r="K20" s="501">
        <f t="shared" si="2"/>
        <v>13106</v>
      </c>
      <c r="L20" s="502">
        <v>7426</v>
      </c>
      <c r="M20" s="498">
        <v>5680</v>
      </c>
    </row>
    <row r="21" spans="1:13" ht="20.100000000000001" customHeight="1">
      <c r="A21" s="495" t="s">
        <v>717</v>
      </c>
      <c r="B21" s="496">
        <v>9182</v>
      </c>
      <c r="C21" s="497">
        <v>57607</v>
      </c>
      <c r="D21" s="498">
        <v>34950</v>
      </c>
      <c r="E21" s="499">
        <f t="shared" si="0"/>
        <v>22657</v>
      </c>
      <c r="F21" s="500">
        <v>14626</v>
      </c>
      <c r="G21" s="501">
        <v>55161</v>
      </c>
      <c r="H21" s="498">
        <v>32438</v>
      </c>
      <c r="I21" s="499">
        <f t="shared" si="1"/>
        <v>22723</v>
      </c>
      <c r="J21" s="500">
        <v>15909</v>
      </c>
      <c r="K21" s="501">
        <f t="shared" si="2"/>
        <v>50751</v>
      </c>
      <c r="L21" s="502">
        <v>31148</v>
      </c>
      <c r="M21" s="498">
        <v>19603</v>
      </c>
    </row>
    <row r="22" spans="1:13" ht="20.100000000000001" customHeight="1">
      <c r="A22" s="495" t="s">
        <v>718</v>
      </c>
      <c r="B22" s="496"/>
      <c r="C22" s="497">
        <v>5115</v>
      </c>
      <c r="D22" s="498">
        <v>338</v>
      </c>
      <c r="E22" s="499">
        <f t="shared" si="0"/>
        <v>4777</v>
      </c>
      <c r="F22" s="500"/>
      <c r="G22" s="501">
        <v>5203</v>
      </c>
      <c r="H22" s="498">
        <v>319</v>
      </c>
      <c r="I22" s="499">
        <f t="shared" si="1"/>
        <v>4884</v>
      </c>
      <c r="J22" s="500"/>
      <c r="K22" s="501">
        <f t="shared" si="2"/>
        <v>4980</v>
      </c>
      <c r="L22" s="502">
        <v>360</v>
      </c>
      <c r="M22" s="498">
        <v>4620</v>
      </c>
    </row>
    <row r="23" spans="1:13" ht="20.100000000000001" customHeight="1">
      <c r="A23" s="495" t="s">
        <v>719</v>
      </c>
      <c r="B23" s="496"/>
      <c r="C23" s="497">
        <v>7259</v>
      </c>
      <c r="D23" s="498">
        <v>4010</v>
      </c>
      <c r="E23" s="499">
        <f t="shared" si="0"/>
        <v>3249</v>
      </c>
      <c r="F23" s="500"/>
      <c r="G23" s="501">
        <v>9517</v>
      </c>
      <c r="H23" s="498">
        <v>4193</v>
      </c>
      <c r="I23" s="499">
        <f t="shared" si="1"/>
        <v>5324</v>
      </c>
      <c r="J23" s="500">
        <v>4981</v>
      </c>
      <c r="K23" s="501">
        <f t="shared" si="2"/>
        <v>11358</v>
      </c>
      <c r="L23" s="502">
        <v>5930</v>
      </c>
      <c r="M23" s="498">
        <v>5428</v>
      </c>
    </row>
    <row r="24" spans="1:13" ht="20.100000000000001" customHeight="1">
      <c r="A24" s="495" t="s">
        <v>720</v>
      </c>
      <c r="B24" s="496"/>
      <c r="C24" s="497">
        <v>19042</v>
      </c>
      <c r="D24" s="498">
        <v>11804</v>
      </c>
      <c r="E24" s="499">
        <f t="shared" si="0"/>
        <v>7238</v>
      </c>
      <c r="F24" s="500"/>
      <c r="G24" s="501">
        <v>21826</v>
      </c>
      <c r="H24" s="498">
        <v>14154</v>
      </c>
      <c r="I24" s="499">
        <f t="shared" si="1"/>
        <v>7672</v>
      </c>
      <c r="J24" s="500">
        <v>43970</v>
      </c>
      <c r="K24" s="501">
        <f t="shared" si="2"/>
        <v>21883</v>
      </c>
      <c r="L24" s="502">
        <v>14957</v>
      </c>
      <c r="M24" s="498">
        <v>6926</v>
      </c>
    </row>
    <row r="25" spans="1:13" ht="20.100000000000001" customHeight="1">
      <c r="A25" s="495" t="s">
        <v>721</v>
      </c>
      <c r="B25" s="496">
        <v>5930</v>
      </c>
      <c r="C25" s="497">
        <v>13796</v>
      </c>
      <c r="D25" s="498">
        <v>7281</v>
      </c>
      <c r="E25" s="499">
        <f t="shared" si="0"/>
        <v>6515</v>
      </c>
      <c r="F25" s="500">
        <v>32759</v>
      </c>
      <c r="G25" s="501">
        <v>15197</v>
      </c>
      <c r="H25" s="498">
        <v>8254</v>
      </c>
      <c r="I25" s="499">
        <f t="shared" si="1"/>
        <v>6943</v>
      </c>
      <c r="J25" s="500">
        <v>76755</v>
      </c>
      <c r="K25" s="501">
        <f t="shared" si="2"/>
        <v>13661</v>
      </c>
      <c r="L25" s="502">
        <v>8031</v>
      </c>
      <c r="M25" s="498">
        <v>5630</v>
      </c>
    </row>
    <row r="26" spans="1:13" ht="15">
      <c r="A26" s="503" t="s">
        <v>2</v>
      </c>
      <c r="B26" s="504">
        <f>SUM(B9:B25)</f>
        <v>67110</v>
      </c>
      <c r="C26" s="505">
        <f>SUM(C9:C25)</f>
        <v>262282</v>
      </c>
      <c r="D26" s="506">
        <f>SUM(D9:D25)</f>
        <v>145747</v>
      </c>
      <c r="E26" s="499">
        <f t="shared" si="0"/>
        <v>116535</v>
      </c>
      <c r="F26" s="500">
        <f>SUM(F9:F25)</f>
        <v>51884</v>
      </c>
      <c r="G26" s="497">
        <f>SUM(G9:G25)</f>
        <v>264731</v>
      </c>
      <c r="H26" s="498">
        <f>SUM(H9:H25)</f>
        <v>139984</v>
      </c>
      <c r="I26" s="499">
        <f t="shared" si="1"/>
        <v>124747</v>
      </c>
      <c r="J26" s="500">
        <f>SUM(J9:J25)</f>
        <v>234299</v>
      </c>
      <c r="K26" s="501">
        <f>SUM(K9:K25)</f>
        <v>252010</v>
      </c>
      <c r="L26" s="502">
        <f>SUM(L9:L25)</f>
        <v>138947</v>
      </c>
      <c r="M26" s="498">
        <f>K26-L26</f>
        <v>113063</v>
      </c>
    </row>
    <row r="27" spans="1:13" ht="15">
      <c r="A27" s="507"/>
      <c r="B27" s="508"/>
      <c r="C27" s="509"/>
      <c r="D27" s="510"/>
      <c r="E27" s="511"/>
      <c r="F27" s="508"/>
      <c r="G27" s="508">
        <f>G26/12</f>
        <v>22060.916666666668</v>
      </c>
      <c r="H27" s="511"/>
      <c r="I27" s="511"/>
      <c r="J27" s="508"/>
      <c r="K27" s="508">
        <f>K26/11*12</f>
        <v>274920</v>
      </c>
      <c r="L27" s="511"/>
      <c r="M27" s="511"/>
    </row>
    <row r="28" spans="1:13" ht="15">
      <c r="C28" s="512"/>
      <c r="D28" s="512"/>
      <c r="E28" s="513"/>
      <c r="F28" s="513"/>
      <c r="G28" s="218"/>
      <c r="H28" s="218"/>
      <c r="I28" s="514"/>
      <c r="J28" s="514"/>
      <c r="K28" s="218"/>
      <c r="L28" s="218"/>
      <c r="M28" s="514"/>
    </row>
    <row r="29" spans="1:13" ht="15">
      <c r="B29" t="s">
        <v>722</v>
      </c>
      <c r="C29" s="512"/>
      <c r="D29" s="512"/>
      <c r="E29" s="513"/>
      <c r="F29" s="513"/>
      <c r="G29" s="218"/>
      <c r="H29" s="218"/>
      <c r="I29" s="514"/>
      <c r="J29" s="514"/>
      <c r="K29" s="218"/>
      <c r="L29" s="218"/>
      <c r="M29" s="514"/>
    </row>
    <row r="30" spans="1:13" ht="15">
      <c r="B30" t="s">
        <v>723</v>
      </c>
      <c r="C30" s="512"/>
      <c r="D30" s="512"/>
      <c r="E30" s="513"/>
      <c r="F30" s="513"/>
      <c r="G30" s="218"/>
      <c r="H30" s="218"/>
      <c r="I30" s="514"/>
      <c r="J30" s="514"/>
      <c r="K30" s="218"/>
      <c r="L30" s="218"/>
      <c r="M30" s="514"/>
    </row>
    <row r="31" spans="1:13" ht="15">
      <c r="B31" t="s">
        <v>724</v>
      </c>
      <c r="C31" s="512"/>
      <c r="D31" s="512"/>
      <c r="E31" s="513"/>
      <c r="F31" s="513"/>
      <c r="G31" s="218"/>
      <c r="H31" s="218"/>
      <c r="I31" s="514"/>
      <c r="J31" s="514"/>
      <c r="K31" s="218"/>
      <c r="L31" s="218"/>
      <c r="M31" s="514"/>
    </row>
    <row r="35" spans="1:2">
      <c r="A35" s="515"/>
      <c r="B35" s="515"/>
    </row>
    <row r="44" spans="1:2">
      <c r="A44" s="515"/>
    </row>
    <row r="54" spans="1:1">
      <c r="A54" s="515" t="s">
        <v>725</v>
      </c>
    </row>
    <row r="55" spans="1:1">
      <c r="A55" t="s">
        <v>726</v>
      </c>
    </row>
    <row r="57" spans="1:1">
      <c r="A57" s="515"/>
    </row>
  </sheetData>
  <mergeCells count="3">
    <mergeCell ref="B6:E6"/>
    <mergeCell ref="F6:I6"/>
    <mergeCell ref="K6:M6"/>
  </mergeCell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dimension ref="A1:G70"/>
  <sheetViews>
    <sheetView topLeftCell="A64" workbookViewId="0">
      <selection activeCell="F70" sqref="F70"/>
    </sheetView>
  </sheetViews>
  <sheetFormatPr defaultRowHeight="12.75"/>
  <cols>
    <col min="1" max="1" width="21.28515625" customWidth="1"/>
  </cols>
  <sheetData>
    <row r="1" spans="1:3" ht="15.75" thickBot="1">
      <c r="A1" s="468" t="s">
        <v>693</v>
      </c>
      <c r="B1" s="460" t="s">
        <v>657</v>
      </c>
      <c r="C1" s="460" t="s">
        <v>656</v>
      </c>
    </row>
    <row r="2" spans="1:3" ht="30.75" thickBot="1">
      <c r="A2" s="457" t="s">
        <v>692</v>
      </c>
      <c r="B2" s="453">
        <v>2</v>
      </c>
      <c r="C2" s="453">
        <v>1</v>
      </c>
    </row>
    <row r="3" spans="1:3" ht="15.75" thickBot="1">
      <c r="A3" s="459" t="s">
        <v>672</v>
      </c>
      <c r="B3" s="458">
        <v>2</v>
      </c>
      <c r="C3" s="458">
        <v>1</v>
      </c>
    </row>
    <row r="4" spans="1:3" ht="15.75" thickBot="1">
      <c r="A4" s="457" t="s">
        <v>691</v>
      </c>
      <c r="B4" s="453">
        <v>2</v>
      </c>
      <c r="C4" s="453">
        <v>2</v>
      </c>
    </row>
    <row r="5" spans="1:3" ht="15.75" thickBot="1">
      <c r="A5" s="457" t="s">
        <v>690</v>
      </c>
      <c r="B5" s="453">
        <v>1</v>
      </c>
      <c r="C5" s="453">
        <v>1</v>
      </c>
    </row>
    <row r="6" spans="1:3" ht="15.75" thickBot="1">
      <c r="A6" s="467" t="s">
        <v>689</v>
      </c>
      <c r="B6" s="453">
        <v>1</v>
      </c>
      <c r="C6" s="453">
        <v>1</v>
      </c>
    </row>
    <row r="7" spans="1:3" ht="15.75" thickBot="1">
      <c r="A7" s="467" t="s">
        <v>688</v>
      </c>
      <c r="B7" s="453">
        <v>1</v>
      </c>
      <c r="C7" s="453">
        <v>1</v>
      </c>
    </row>
    <row r="8" spans="1:3" ht="15.75" thickBot="1">
      <c r="A8" s="457" t="s">
        <v>687</v>
      </c>
      <c r="B8" s="453">
        <v>1</v>
      </c>
      <c r="C8" s="453"/>
    </row>
    <row r="9" spans="1:3" ht="15.75" thickBot="1">
      <c r="A9" s="457" t="s">
        <v>649</v>
      </c>
      <c r="B9" s="453">
        <v>1</v>
      </c>
      <c r="C9" s="453"/>
    </row>
    <row r="10" spans="1:3" ht="15.75" thickBot="1">
      <c r="A10" s="466"/>
      <c r="B10" s="453">
        <v>11</v>
      </c>
      <c r="C10" s="453">
        <v>7</v>
      </c>
    </row>
    <row r="11" spans="1:3" ht="15">
      <c r="A11" s="451"/>
    </row>
    <row r="12" spans="1:3" ht="15.75" thickBot="1">
      <c r="A12" s="451"/>
    </row>
    <row r="13" spans="1:3" ht="15.75" thickBot="1">
      <c r="A13" s="461" t="s">
        <v>508</v>
      </c>
      <c r="B13" s="460" t="s">
        <v>657</v>
      </c>
      <c r="C13" s="460" t="s">
        <v>656</v>
      </c>
    </row>
    <row r="14" spans="1:3" ht="15.75" thickBot="1">
      <c r="A14" s="457" t="s">
        <v>686</v>
      </c>
      <c r="B14" s="453">
        <v>3</v>
      </c>
      <c r="C14" s="453">
        <v>2</v>
      </c>
    </row>
    <row r="15" spans="1:3" ht="15.75" thickBot="1">
      <c r="A15" s="459" t="s">
        <v>685</v>
      </c>
      <c r="B15" s="458">
        <v>2</v>
      </c>
      <c r="C15" s="458">
        <v>2</v>
      </c>
    </row>
    <row r="16" spans="1:3" ht="15.75" thickBot="1">
      <c r="A16" s="459" t="s">
        <v>672</v>
      </c>
      <c r="B16" s="458">
        <v>2</v>
      </c>
      <c r="C16" s="458"/>
    </row>
    <row r="17" spans="1:4" ht="15.75" thickBot="1">
      <c r="A17" s="457" t="s">
        <v>684</v>
      </c>
      <c r="B17" s="453">
        <v>1</v>
      </c>
      <c r="C17" s="453">
        <v>1</v>
      </c>
    </row>
    <row r="18" spans="1:4" ht="15.75" thickBot="1">
      <c r="A18" s="457" t="s">
        <v>668</v>
      </c>
      <c r="B18" s="453">
        <v>1</v>
      </c>
      <c r="C18" s="453"/>
    </row>
    <row r="19" spans="1:4" ht="15.75" thickBot="1">
      <c r="A19" s="457" t="s">
        <v>683</v>
      </c>
      <c r="B19" s="453">
        <v>1</v>
      </c>
      <c r="C19" s="453"/>
    </row>
    <row r="20" spans="1:4" ht="15.75" thickBot="1">
      <c r="A20" s="457" t="s">
        <v>682</v>
      </c>
      <c r="B20" s="453">
        <v>1</v>
      </c>
      <c r="C20" s="453"/>
    </row>
    <row r="21" spans="1:4" ht="15.75" thickBot="1">
      <c r="A21" s="459" t="s">
        <v>681</v>
      </c>
      <c r="B21" s="458">
        <v>1</v>
      </c>
      <c r="C21" s="458">
        <v>1</v>
      </c>
    </row>
    <row r="22" spans="1:4" ht="15.75" thickBot="1">
      <c r="A22" s="457" t="s">
        <v>680</v>
      </c>
      <c r="B22" s="453">
        <v>1</v>
      </c>
      <c r="C22" s="453">
        <v>1</v>
      </c>
    </row>
    <row r="23" spans="1:4" ht="15.75" thickBot="1">
      <c r="A23" s="457" t="s">
        <v>679</v>
      </c>
      <c r="B23" s="453">
        <v>1</v>
      </c>
      <c r="C23" s="453"/>
    </row>
    <row r="24" spans="1:4" ht="15.75" thickBot="1">
      <c r="A24" s="455" t="s">
        <v>678</v>
      </c>
      <c r="B24" s="453">
        <v>1</v>
      </c>
      <c r="C24" s="453"/>
    </row>
    <row r="25" spans="1:4" ht="15.75" thickBot="1">
      <c r="A25" s="455" t="s">
        <v>677</v>
      </c>
      <c r="B25" s="453">
        <v>1</v>
      </c>
      <c r="C25" s="453">
        <v>1</v>
      </c>
    </row>
    <row r="26" spans="1:4" ht="15.75" thickBot="1">
      <c r="A26" s="455" t="s">
        <v>676</v>
      </c>
      <c r="B26" s="453">
        <v>1</v>
      </c>
      <c r="C26" s="453">
        <v>1</v>
      </c>
    </row>
    <row r="27" spans="1:4" ht="15.75" thickBot="1">
      <c r="A27" s="455" t="s">
        <v>675</v>
      </c>
      <c r="B27" s="453">
        <v>1</v>
      </c>
      <c r="C27" s="453"/>
    </row>
    <row r="28" spans="1:4" ht="15.75" thickBot="1">
      <c r="A28" s="455" t="s">
        <v>674</v>
      </c>
      <c r="B28" s="453">
        <v>1</v>
      </c>
      <c r="C28" s="453">
        <v>1</v>
      </c>
    </row>
    <row r="29" spans="1:4" ht="15.75" thickBot="1">
      <c r="A29" s="454"/>
      <c r="B29" s="453">
        <v>19</v>
      </c>
      <c r="C29" s="453">
        <v>10</v>
      </c>
    </row>
    <row r="30" spans="1:4" ht="15.75" thickBot="1">
      <c r="A30" s="451"/>
    </row>
    <row r="31" spans="1:4" ht="45.75" thickBot="1">
      <c r="A31" s="461" t="s">
        <v>673</v>
      </c>
      <c r="B31" s="460" t="s">
        <v>657</v>
      </c>
      <c r="C31" s="460" t="s">
        <v>656</v>
      </c>
      <c r="D31" s="460" t="s">
        <v>655</v>
      </c>
    </row>
    <row r="32" spans="1:4" ht="15.75" thickBot="1">
      <c r="A32" s="459" t="s">
        <v>672</v>
      </c>
      <c r="B32" s="458">
        <v>3</v>
      </c>
      <c r="C32" s="458">
        <v>1</v>
      </c>
      <c r="D32" s="458"/>
    </row>
    <row r="33" spans="1:7" ht="30.75" thickBot="1">
      <c r="A33" s="457" t="s">
        <v>671</v>
      </c>
      <c r="B33" s="453">
        <v>3</v>
      </c>
      <c r="C33" s="453">
        <v>2</v>
      </c>
      <c r="D33" s="453" t="s">
        <v>670</v>
      </c>
    </row>
    <row r="34" spans="1:7" ht="15.75" thickBot="1">
      <c r="A34" s="457" t="s">
        <v>669</v>
      </c>
      <c r="B34" s="453">
        <v>2</v>
      </c>
      <c r="C34" s="453"/>
      <c r="D34" s="453"/>
    </row>
    <row r="35" spans="1:7" ht="15.75" thickBot="1">
      <c r="A35" s="457" t="s">
        <v>668</v>
      </c>
      <c r="B35" s="453">
        <v>2</v>
      </c>
      <c r="C35" s="453"/>
      <c r="D35" s="453"/>
    </row>
    <row r="36" spans="1:7" ht="15.75" thickBot="1">
      <c r="A36" s="465" t="s">
        <v>667</v>
      </c>
      <c r="B36" s="464">
        <v>2</v>
      </c>
      <c r="C36" s="464">
        <v>1</v>
      </c>
      <c r="D36" s="453" t="s">
        <v>666</v>
      </c>
    </row>
    <row r="37" spans="1:7" ht="15.75" thickBot="1">
      <c r="A37" s="455" t="s">
        <v>665</v>
      </c>
      <c r="B37" s="453">
        <v>1</v>
      </c>
      <c r="C37" s="453"/>
      <c r="D37" s="453"/>
    </row>
    <row r="38" spans="1:7" ht="15.75" thickBot="1">
      <c r="A38" s="457" t="s">
        <v>664</v>
      </c>
      <c r="B38" s="453">
        <v>1</v>
      </c>
      <c r="C38" s="453"/>
      <c r="D38" s="453"/>
    </row>
    <row r="39" spans="1:7" ht="15.75" thickBot="1">
      <c r="A39" s="457" t="s">
        <v>663</v>
      </c>
      <c r="B39" s="453">
        <v>1</v>
      </c>
      <c r="C39" s="453"/>
      <c r="D39" s="453"/>
    </row>
    <row r="40" spans="1:7" ht="15.75" thickBot="1">
      <c r="A40" s="457" t="s">
        <v>662</v>
      </c>
      <c r="B40" s="453">
        <v>1</v>
      </c>
      <c r="C40" s="453">
        <v>1</v>
      </c>
      <c r="D40" s="453"/>
    </row>
    <row r="41" spans="1:7" ht="15.75" thickBot="1">
      <c r="A41" s="455" t="s">
        <v>661</v>
      </c>
      <c r="B41" s="453">
        <v>1</v>
      </c>
      <c r="C41" s="453"/>
      <c r="D41" s="453"/>
    </row>
    <row r="42" spans="1:7" ht="15.75" thickBot="1">
      <c r="A42" s="463" t="s">
        <v>660</v>
      </c>
      <c r="B42" s="458">
        <v>1</v>
      </c>
      <c r="C42" s="458"/>
      <c r="D42" s="458"/>
    </row>
    <row r="43" spans="1:7" ht="15.75" thickBot="1">
      <c r="A43" s="455" t="s">
        <v>659</v>
      </c>
      <c r="B43" s="453">
        <v>1</v>
      </c>
      <c r="C43" s="453"/>
      <c r="D43" s="453"/>
    </row>
    <row r="44" spans="1:7" ht="15.75" thickBot="1">
      <c r="A44" s="454"/>
      <c r="B44" s="453">
        <v>19</v>
      </c>
      <c r="C44" s="453">
        <v>5</v>
      </c>
      <c r="D44" s="452"/>
    </row>
    <row r="45" spans="1:7" ht="15.75" thickBot="1">
      <c r="A45" s="462"/>
    </row>
    <row r="46" spans="1:7" ht="45.75" thickBot="1">
      <c r="A46" s="461" t="s">
        <v>658</v>
      </c>
      <c r="B46" s="460" t="s">
        <v>657</v>
      </c>
      <c r="C46" s="460" t="s">
        <v>656</v>
      </c>
      <c r="D46" s="460" t="s">
        <v>655</v>
      </c>
      <c r="E46" s="6" t="s">
        <v>654</v>
      </c>
      <c r="F46" s="6" t="s">
        <v>653</v>
      </c>
      <c r="G46" s="6" t="s">
        <v>652</v>
      </c>
    </row>
    <row r="47" spans="1:7" ht="30.75" thickBot="1">
      <c r="A47" s="457" t="s">
        <v>651</v>
      </c>
      <c r="B47" s="453">
        <v>2</v>
      </c>
      <c r="C47" s="453">
        <v>2</v>
      </c>
      <c r="D47" s="453" t="s">
        <v>650</v>
      </c>
      <c r="E47">
        <f>10*60+25</f>
        <v>625</v>
      </c>
      <c r="F47">
        <f t="shared" ref="F47:F64" si="0">E47/60</f>
        <v>10.416666666666666</v>
      </c>
    </row>
    <row r="48" spans="1:7" ht="15.75" thickBot="1">
      <c r="A48" s="457" t="s">
        <v>649</v>
      </c>
      <c r="B48" s="453">
        <v>1</v>
      </c>
      <c r="C48" s="453">
        <v>1</v>
      </c>
      <c r="D48" s="453">
        <v>0</v>
      </c>
      <c r="E48" s="456">
        <v>0</v>
      </c>
      <c r="F48">
        <f t="shared" si="0"/>
        <v>0</v>
      </c>
    </row>
    <row r="49" spans="1:6" ht="30.75" thickBot="1">
      <c r="A49" s="459" t="s">
        <v>648</v>
      </c>
      <c r="B49" s="458">
        <v>1</v>
      </c>
      <c r="C49" s="458">
        <v>1</v>
      </c>
      <c r="D49" s="458" t="s">
        <v>647</v>
      </c>
      <c r="E49">
        <f>2*60+41</f>
        <v>161</v>
      </c>
      <c r="F49">
        <f t="shared" si="0"/>
        <v>2.6833333333333331</v>
      </c>
    </row>
    <row r="50" spans="1:6" ht="30.75" thickBot="1">
      <c r="A50" s="457" t="s">
        <v>646</v>
      </c>
      <c r="B50" s="453">
        <v>1</v>
      </c>
      <c r="C50" s="453">
        <v>1</v>
      </c>
      <c r="D50" s="453" t="s">
        <v>645</v>
      </c>
      <c r="E50">
        <f>2*60+48</f>
        <v>168</v>
      </c>
      <c r="F50">
        <f t="shared" si="0"/>
        <v>2.8</v>
      </c>
    </row>
    <row r="51" spans="1:6" ht="15.75" thickBot="1">
      <c r="A51" s="457" t="s">
        <v>644</v>
      </c>
      <c r="B51" s="453">
        <v>1</v>
      </c>
      <c r="C51" s="453"/>
      <c r="D51" s="453">
        <v>0</v>
      </c>
      <c r="E51">
        <v>0</v>
      </c>
      <c r="F51">
        <f t="shared" si="0"/>
        <v>0</v>
      </c>
    </row>
    <row r="52" spans="1:6" ht="15.75" thickBot="1">
      <c r="A52" s="457" t="s">
        <v>643</v>
      </c>
      <c r="B52" s="453">
        <v>1</v>
      </c>
      <c r="C52" s="453"/>
      <c r="D52" s="453">
        <v>0</v>
      </c>
      <c r="E52">
        <v>0</v>
      </c>
      <c r="F52">
        <f t="shared" si="0"/>
        <v>0</v>
      </c>
    </row>
    <row r="53" spans="1:6" ht="15.75" thickBot="1">
      <c r="A53" s="457" t="s">
        <v>642</v>
      </c>
      <c r="B53" s="453">
        <v>1</v>
      </c>
      <c r="C53" s="453">
        <v>1</v>
      </c>
      <c r="D53" s="453">
        <v>0</v>
      </c>
      <c r="E53" s="456">
        <v>0</v>
      </c>
      <c r="F53">
        <f t="shared" si="0"/>
        <v>0</v>
      </c>
    </row>
    <row r="54" spans="1:6" ht="30.75" thickBot="1">
      <c r="A54" s="457" t="s">
        <v>641</v>
      </c>
      <c r="B54" s="453">
        <v>1</v>
      </c>
      <c r="C54" s="453">
        <v>1</v>
      </c>
      <c r="D54" s="453" t="s">
        <v>640</v>
      </c>
      <c r="E54">
        <f>2*60+18</f>
        <v>138</v>
      </c>
      <c r="F54">
        <f t="shared" si="0"/>
        <v>2.2999999999999998</v>
      </c>
    </row>
    <row r="55" spans="1:6" ht="30.75" thickBot="1">
      <c r="A55" s="457" t="s">
        <v>639</v>
      </c>
      <c r="B55" s="453">
        <v>1</v>
      </c>
      <c r="C55" s="453">
        <v>1</v>
      </c>
      <c r="D55" s="453" t="s">
        <v>638</v>
      </c>
      <c r="E55">
        <f>2*60+51</f>
        <v>171</v>
      </c>
      <c r="F55">
        <f t="shared" si="0"/>
        <v>2.85</v>
      </c>
    </row>
    <row r="56" spans="1:6" ht="15.75" thickBot="1">
      <c r="A56" s="459" t="s">
        <v>637</v>
      </c>
      <c r="B56" s="458">
        <v>1</v>
      </c>
      <c r="C56" s="458"/>
      <c r="D56" s="458" t="s">
        <v>636</v>
      </c>
      <c r="E56">
        <v>29</v>
      </c>
      <c r="F56">
        <f t="shared" si="0"/>
        <v>0.48333333333333334</v>
      </c>
    </row>
    <row r="57" spans="1:6" ht="15.75" thickBot="1">
      <c r="A57" s="457" t="s">
        <v>635</v>
      </c>
      <c r="B57" s="453">
        <v>1</v>
      </c>
      <c r="C57" s="453"/>
      <c r="D57" s="453">
        <v>0</v>
      </c>
      <c r="E57">
        <v>0</v>
      </c>
      <c r="F57">
        <f t="shared" si="0"/>
        <v>0</v>
      </c>
    </row>
    <row r="58" spans="1:6" ht="30.75" thickBot="1">
      <c r="A58" s="457" t="s">
        <v>631</v>
      </c>
      <c r="B58" s="453">
        <v>1</v>
      </c>
      <c r="C58" s="453"/>
      <c r="D58" s="453" t="s">
        <v>634</v>
      </c>
      <c r="E58" s="6">
        <f>60+4</f>
        <v>64</v>
      </c>
      <c r="F58">
        <f t="shared" si="0"/>
        <v>1.0666666666666667</v>
      </c>
    </row>
    <row r="59" spans="1:6" ht="30.75" thickBot="1">
      <c r="A59" s="455" t="s">
        <v>633</v>
      </c>
      <c r="B59" s="453">
        <v>1</v>
      </c>
      <c r="C59" s="453">
        <v>1</v>
      </c>
      <c r="D59" s="453" t="s">
        <v>632</v>
      </c>
      <c r="E59">
        <f>60+52</f>
        <v>112</v>
      </c>
      <c r="F59">
        <f t="shared" si="0"/>
        <v>1.8666666666666667</v>
      </c>
    </row>
    <row r="60" spans="1:6" ht="15.75" thickBot="1">
      <c r="A60" s="455" t="s">
        <v>631</v>
      </c>
      <c r="B60" s="453">
        <v>1</v>
      </c>
      <c r="C60" s="453">
        <v>1</v>
      </c>
      <c r="D60" s="453">
        <v>0</v>
      </c>
      <c r="E60" s="456">
        <v>0</v>
      </c>
      <c r="F60">
        <f t="shared" si="0"/>
        <v>0</v>
      </c>
    </row>
    <row r="61" spans="1:6" ht="30.75" thickBot="1">
      <c r="A61" s="455" t="s">
        <v>630</v>
      </c>
      <c r="B61" s="453">
        <v>1</v>
      </c>
      <c r="C61" s="453"/>
      <c r="D61" s="453" t="s">
        <v>629</v>
      </c>
      <c r="E61">
        <f>4*60+43</f>
        <v>283</v>
      </c>
      <c r="F61">
        <f t="shared" si="0"/>
        <v>4.7166666666666668</v>
      </c>
    </row>
    <row r="62" spans="1:6" ht="15.75" thickBot="1">
      <c r="A62" s="455" t="s">
        <v>628</v>
      </c>
      <c r="B62" s="453">
        <v>1</v>
      </c>
      <c r="C62" s="453">
        <v>1</v>
      </c>
      <c r="D62" s="453">
        <v>0</v>
      </c>
      <c r="E62" s="456">
        <v>0</v>
      </c>
      <c r="F62">
        <f t="shared" si="0"/>
        <v>0</v>
      </c>
    </row>
    <row r="63" spans="1:6" ht="15.75" thickBot="1">
      <c r="A63" s="455" t="s">
        <v>627</v>
      </c>
      <c r="B63" s="453">
        <v>1</v>
      </c>
      <c r="C63" s="453">
        <v>1</v>
      </c>
      <c r="D63" s="453">
        <v>0</v>
      </c>
      <c r="E63" s="456">
        <v>0</v>
      </c>
      <c r="F63">
        <f t="shared" si="0"/>
        <v>0</v>
      </c>
    </row>
    <row r="64" spans="1:6" ht="15.75" thickBot="1">
      <c r="A64" s="455" t="s">
        <v>626</v>
      </c>
      <c r="B64" s="453">
        <v>1</v>
      </c>
      <c r="C64" s="453">
        <v>1</v>
      </c>
      <c r="D64" s="453">
        <v>0</v>
      </c>
      <c r="E64" s="450">
        <v>0</v>
      </c>
      <c r="F64">
        <f t="shared" si="0"/>
        <v>0</v>
      </c>
    </row>
    <row r="65" spans="1:7" ht="15.75" thickBot="1">
      <c r="A65" s="454"/>
      <c r="B65" s="453">
        <v>27</v>
      </c>
      <c r="C65" s="453">
        <v>20</v>
      </c>
      <c r="D65" s="452"/>
      <c r="F65" s="317">
        <f>SUM(F47:F64)</f>
        <v>29.183333333333337</v>
      </c>
      <c r="G65" s="317">
        <f>F65/(B65+C65)</f>
        <v>0.62092198581560287</v>
      </c>
    </row>
    <row r="66" spans="1:7" ht="15">
      <c r="A66" s="451"/>
    </row>
    <row r="67" spans="1:7" ht="15">
      <c r="A67" s="451"/>
    </row>
    <row r="68" spans="1:7" ht="15">
      <c r="A68" s="451" t="s">
        <v>625</v>
      </c>
      <c r="B68" s="450">
        <v>2009</v>
      </c>
      <c r="C68" s="450">
        <v>2010</v>
      </c>
      <c r="D68">
        <v>2011</v>
      </c>
      <c r="E68">
        <v>2012</v>
      </c>
      <c r="F68" s="6" t="s">
        <v>624</v>
      </c>
    </row>
    <row r="69" spans="1:7" ht="15">
      <c r="A69" s="6" t="s">
        <v>623</v>
      </c>
      <c r="B69" s="450">
        <v>1</v>
      </c>
      <c r="C69" s="450">
        <v>2</v>
      </c>
      <c r="D69">
        <v>3</v>
      </c>
      <c r="E69">
        <v>1</v>
      </c>
      <c r="F69" s="449">
        <f>AVERAGE(B69:E69)</f>
        <v>1.75</v>
      </c>
    </row>
    <row r="70" spans="1:7" ht="15">
      <c r="A70" s="6" t="s">
        <v>622</v>
      </c>
      <c r="B70" s="450">
        <v>1</v>
      </c>
      <c r="C70">
        <v>3</v>
      </c>
      <c r="D70">
        <v>1</v>
      </c>
      <c r="E70">
        <v>1</v>
      </c>
      <c r="F70" s="449">
        <f>AVERAGE(B70:E70)</f>
        <v>1.5</v>
      </c>
    </row>
  </sheetData>
  <pageMargins left="0.7" right="0.7" top="0.75" bottom="0.75" header="0.3" footer="0.3"/>
  <pageSetup paperSize="9" orientation="portrait" horizontalDpi="1200" verticalDpi="1200"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dimension ref="A1:T82"/>
  <sheetViews>
    <sheetView topLeftCell="C73" workbookViewId="0">
      <selection activeCell="T81" sqref="T81"/>
    </sheetView>
  </sheetViews>
  <sheetFormatPr defaultRowHeight="12.75"/>
  <cols>
    <col min="1" max="1" width="5.7109375" style="660" customWidth="1"/>
    <col min="2" max="2" width="26.28515625" style="271" customWidth="1"/>
    <col min="3" max="14" width="7.7109375" style="660" customWidth="1"/>
    <col min="15" max="15" width="9.140625" style="665"/>
    <col min="16" max="16" width="9.140625" style="660"/>
    <col min="17" max="17" width="14.28515625" style="660" customWidth="1"/>
    <col min="19" max="19" width="13.5703125" style="660" customWidth="1"/>
    <col min="20" max="16384" width="9.140625" style="660"/>
  </cols>
  <sheetData>
    <row r="1" spans="1:20" ht="28.5" customHeight="1">
      <c r="A1" s="658"/>
      <c r="B1" s="2289" t="s">
        <v>799</v>
      </c>
      <c r="C1" s="2289"/>
      <c r="D1" s="2289"/>
      <c r="E1" s="2289"/>
      <c r="F1" s="2289"/>
      <c r="G1" s="2289"/>
      <c r="H1" s="2289"/>
      <c r="I1" s="2289"/>
      <c r="J1" s="2289"/>
      <c r="K1" s="2289"/>
      <c r="L1" s="2289"/>
      <c r="M1" s="2289"/>
      <c r="N1" s="2289"/>
      <c r="O1" s="659"/>
      <c r="P1" s="660">
        <v>2012</v>
      </c>
      <c r="Q1" s="660">
        <v>2012</v>
      </c>
      <c r="R1">
        <v>2013</v>
      </c>
      <c r="S1" s="660">
        <v>2013</v>
      </c>
    </row>
    <row r="2" spans="1:20" s="665" customFormat="1" ht="17.25" customHeight="1" thickBot="1">
      <c r="A2" s="661" t="s">
        <v>800</v>
      </c>
      <c r="B2" s="662" t="s">
        <v>801</v>
      </c>
      <c r="C2" s="663" t="s">
        <v>802</v>
      </c>
      <c r="D2" s="663" t="s">
        <v>803</v>
      </c>
      <c r="E2" s="663" t="s">
        <v>804</v>
      </c>
      <c r="F2" s="663" t="s">
        <v>805</v>
      </c>
      <c r="G2" s="663" t="s">
        <v>806</v>
      </c>
      <c r="H2" s="663" t="s">
        <v>807</v>
      </c>
      <c r="I2" s="663" t="s">
        <v>808</v>
      </c>
      <c r="J2" s="663" t="s">
        <v>809</v>
      </c>
      <c r="K2" s="663" t="s">
        <v>810</v>
      </c>
      <c r="L2" s="663" t="s">
        <v>811</v>
      </c>
      <c r="M2" s="663" t="s">
        <v>812</v>
      </c>
      <c r="N2" s="663" t="s">
        <v>813</v>
      </c>
      <c r="O2" s="664" t="s">
        <v>2</v>
      </c>
      <c r="P2" s="665" t="s">
        <v>836</v>
      </c>
      <c r="Q2" s="665" t="s">
        <v>835</v>
      </c>
      <c r="R2" s="665" t="s">
        <v>836</v>
      </c>
      <c r="S2" s="665" t="s">
        <v>835</v>
      </c>
      <c r="T2" s="665" t="s">
        <v>837</v>
      </c>
    </row>
    <row r="3" spans="1:20" s="667" customFormat="1" ht="15.75">
      <c r="A3" s="2257">
        <v>1</v>
      </c>
      <c r="B3" s="666" t="s">
        <v>814</v>
      </c>
      <c r="C3" s="2290"/>
      <c r="D3" s="2291"/>
      <c r="E3" s="2291"/>
      <c r="F3" s="2291"/>
      <c r="G3" s="2291"/>
      <c r="H3" s="2291"/>
      <c r="I3" s="2291"/>
      <c r="J3" s="2291"/>
      <c r="K3" s="2291"/>
      <c r="L3" s="2291"/>
      <c r="M3" s="2291"/>
      <c r="N3" s="2291"/>
      <c r="O3" s="2292"/>
    </row>
    <row r="4" spans="1:20" s="667" customFormat="1" ht="27" customHeight="1">
      <c r="A4" s="2269"/>
      <c r="B4" s="668" t="s">
        <v>833</v>
      </c>
      <c r="C4" s="699"/>
      <c r="D4" s="700"/>
      <c r="E4" s="700"/>
      <c r="F4" s="700"/>
      <c r="G4" s="700"/>
      <c r="H4" s="700"/>
      <c r="I4" s="700"/>
      <c r="J4" s="700"/>
      <c r="K4" s="700"/>
      <c r="L4" s="700"/>
      <c r="M4" s="700"/>
      <c r="N4" s="700"/>
      <c r="O4" s="701"/>
      <c r="P4" s="667">
        <f>energo_jaunais!D4</f>
        <v>4.25</v>
      </c>
      <c r="Q4" s="667">
        <f>P4*8*365</f>
        <v>12410</v>
      </c>
      <c r="R4" s="720">
        <f>energo_jaunais!M4</f>
        <v>1.2</v>
      </c>
      <c r="S4" s="667">
        <f>R4*8*365</f>
        <v>3504</v>
      </c>
    </row>
    <row r="5" spans="1:20" s="671" customFormat="1" ht="14.25" customHeight="1">
      <c r="A5" s="2270"/>
      <c r="B5" s="668" t="s">
        <v>815</v>
      </c>
      <c r="C5" s="669">
        <v>6561</v>
      </c>
      <c r="D5" s="669">
        <v>6715</v>
      </c>
      <c r="E5" s="669">
        <v>5177</v>
      </c>
      <c r="F5" s="669">
        <v>4237</v>
      </c>
      <c r="G5" s="669">
        <v>2437</v>
      </c>
      <c r="H5" s="669">
        <v>1879</v>
      </c>
      <c r="I5" s="669">
        <v>1902</v>
      </c>
      <c r="J5" s="669">
        <v>2157</v>
      </c>
      <c r="K5" s="669">
        <v>2871</v>
      </c>
      <c r="L5" s="669">
        <v>4264</v>
      </c>
      <c r="M5" s="669">
        <v>5388</v>
      </c>
      <c r="N5" s="669">
        <v>6713</v>
      </c>
      <c r="O5" s="670">
        <f>SUM(C5:N5)</f>
        <v>50301</v>
      </c>
      <c r="P5" s="667">
        <f>energo_jaunais!E4+energo_jaunais!F4</f>
        <v>24.75</v>
      </c>
      <c r="Q5" s="667">
        <f>O5-Q4+O6</f>
        <v>59931</v>
      </c>
      <c r="R5" s="722">
        <f>energo_jaunais!W4-R4</f>
        <v>40.449999999999996</v>
      </c>
      <c r="S5" s="667">
        <f>R5/P5*Q5</f>
        <v>97947.83636363635</v>
      </c>
    </row>
    <row r="6" spans="1:20" s="671" customFormat="1" ht="15" customHeight="1" thickBot="1">
      <c r="A6" s="2264"/>
      <c r="B6" s="672" t="s">
        <v>816</v>
      </c>
      <c r="C6" s="673">
        <v>2170</v>
      </c>
      <c r="D6" s="673">
        <v>3489</v>
      </c>
      <c r="E6" s="673">
        <v>2016</v>
      </c>
      <c r="F6" s="673">
        <v>1548</v>
      </c>
      <c r="G6" s="673">
        <v>1084</v>
      </c>
      <c r="H6" s="673">
        <v>1024</v>
      </c>
      <c r="I6" s="673">
        <v>1041</v>
      </c>
      <c r="J6" s="673">
        <v>1013</v>
      </c>
      <c r="K6" s="673">
        <v>1049</v>
      </c>
      <c r="L6" s="673">
        <v>1773</v>
      </c>
      <c r="M6" s="673">
        <v>2681</v>
      </c>
      <c r="N6" s="673">
        <v>3152</v>
      </c>
      <c r="O6" s="674">
        <f>SUM(C6:N6)</f>
        <v>22040</v>
      </c>
      <c r="P6" s="667"/>
      <c r="Q6" s="667"/>
    </row>
    <row r="7" spans="1:20" s="729" customFormat="1" ht="15" customHeight="1" thickBot="1">
      <c r="A7" s="723"/>
      <c r="B7" s="724"/>
      <c r="C7" s="725"/>
      <c r="D7" s="726"/>
      <c r="E7" s="726"/>
      <c r="F7" s="726"/>
      <c r="G7" s="726"/>
      <c r="H7" s="726"/>
      <c r="I7" s="726"/>
      <c r="J7" s="726"/>
      <c r="K7" s="726"/>
      <c r="L7" s="726"/>
      <c r="M7" s="726"/>
      <c r="N7" s="726"/>
      <c r="O7" s="727"/>
      <c r="P7" s="728"/>
      <c r="Q7" s="728">
        <f>SUM(Q4:Q6)</f>
        <v>72341</v>
      </c>
      <c r="R7" s="728"/>
      <c r="S7" s="730">
        <f>SUM(S4:S6)</f>
        <v>101451.83636363635</v>
      </c>
      <c r="T7" s="732">
        <f>S7/Q7-1</f>
        <v>0.4024113070545936</v>
      </c>
    </row>
    <row r="8" spans="1:20" s="671" customFormat="1" ht="15.75">
      <c r="A8" s="2277">
        <v>2</v>
      </c>
      <c r="B8" s="675" t="s">
        <v>762</v>
      </c>
      <c r="C8" s="2293"/>
      <c r="D8" s="2294"/>
      <c r="E8" s="2294"/>
      <c r="F8" s="2294"/>
      <c r="G8" s="2294"/>
      <c r="H8" s="2294"/>
      <c r="I8" s="2294"/>
      <c r="J8" s="2294"/>
      <c r="K8" s="2294"/>
      <c r="L8" s="2294"/>
      <c r="M8" s="2294"/>
      <c r="N8" s="2294"/>
      <c r="O8" s="2295"/>
    </row>
    <row r="9" spans="1:20" s="671" customFormat="1" ht="15" customHeight="1">
      <c r="A9" s="2278"/>
      <c r="B9" s="676" t="s">
        <v>740</v>
      </c>
      <c r="C9" s="669">
        <v>838</v>
      </c>
      <c r="D9" s="669">
        <v>766</v>
      </c>
      <c r="E9" s="669">
        <v>649</v>
      </c>
      <c r="F9" s="669">
        <v>583</v>
      </c>
      <c r="G9" s="669">
        <v>445</v>
      </c>
      <c r="H9" s="669">
        <v>343</v>
      </c>
      <c r="I9" s="669">
        <v>427</v>
      </c>
      <c r="J9" s="669">
        <v>547</v>
      </c>
      <c r="K9" s="669">
        <v>585</v>
      </c>
      <c r="L9" s="669">
        <v>724</v>
      </c>
      <c r="M9" s="669">
        <v>739</v>
      </c>
      <c r="N9" s="669">
        <v>725</v>
      </c>
      <c r="O9" s="670">
        <f>SUM(C9:N9)</f>
        <v>7371</v>
      </c>
      <c r="P9" s="731">
        <f>energo_jaunais!D6</f>
        <v>2.88</v>
      </c>
      <c r="Q9" s="667">
        <f>O9</f>
        <v>7371</v>
      </c>
      <c r="R9" s="731">
        <f>energo_jaunais!M6</f>
        <v>1.3</v>
      </c>
      <c r="S9" s="667">
        <f>R9*8*365</f>
        <v>3796</v>
      </c>
    </row>
    <row r="10" spans="1:20" s="671" customFormat="1" ht="15" customHeight="1">
      <c r="A10" s="2278"/>
      <c r="B10" s="668" t="s">
        <v>817</v>
      </c>
      <c r="C10" s="669">
        <v>2129</v>
      </c>
      <c r="D10" s="669">
        <v>2929</v>
      </c>
      <c r="E10" s="669">
        <v>1692</v>
      </c>
      <c r="F10" s="669">
        <v>1374</v>
      </c>
      <c r="G10" s="669">
        <v>860</v>
      </c>
      <c r="H10" s="669">
        <v>704</v>
      </c>
      <c r="I10" s="669">
        <v>709</v>
      </c>
      <c r="J10" s="669">
        <v>745</v>
      </c>
      <c r="K10" s="669">
        <v>761</v>
      </c>
      <c r="L10" s="669">
        <v>1349</v>
      </c>
      <c r="M10" s="669">
        <v>1585</v>
      </c>
      <c r="N10" s="669">
        <v>2254</v>
      </c>
      <c r="O10" s="670">
        <f>SUM(C10:N10)</f>
        <v>17091</v>
      </c>
      <c r="P10" s="731">
        <f>energo_jaunais!G6-P9</f>
        <v>12</v>
      </c>
      <c r="Q10" s="667">
        <f>O10+O11</f>
        <v>23697</v>
      </c>
      <c r="R10" s="721">
        <f>energo_jaunais!W6-R9</f>
        <v>27.7</v>
      </c>
      <c r="S10" s="722">
        <f>R10/P10*Q10</f>
        <v>54700.574999999997</v>
      </c>
    </row>
    <row r="11" spans="1:20" s="671" customFormat="1" ht="15" customHeight="1" thickBot="1">
      <c r="A11" s="2279"/>
      <c r="B11" s="672" t="s">
        <v>816</v>
      </c>
      <c r="C11" s="673">
        <v>590</v>
      </c>
      <c r="D11" s="673">
        <v>854</v>
      </c>
      <c r="E11" s="673">
        <v>825</v>
      </c>
      <c r="F11" s="673">
        <v>455</v>
      </c>
      <c r="G11" s="673">
        <v>391</v>
      </c>
      <c r="H11" s="673">
        <v>374</v>
      </c>
      <c r="I11" s="673">
        <v>475</v>
      </c>
      <c r="J11" s="673">
        <v>452</v>
      </c>
      <c r="K11" s="673">
        <v>345</v>
      </c>
      <c r="L11" s="673">
        <v>448</v>
      </c>
      <c r="M11" s="673">
        <v>570</v>
      </c>
      <c r="N11" s="673">
        <v>827</v>
      </c>
      <c r="O11" s="674">
        <f>SUM(C11:N11)</f>
        <v>6606</v>
      </c>
    </row>
    <row r="12" spans="1:20" s="671" customFormat="1" ht="15.75" customHeight="1" thickBot="1">
      <c r="A12" s="706"/>
      <c r="B12" s="716"/>
      <c r="C12" s="717"/>
      <c r="D12" s="718"/>
      <c r="E12" s="718"/>
      <c r="F12" s="718"/>
      <c r="G12" s="718"/>
      <c r="H12" s="718"/>
      <c r="I12" s="718"/>
      <c r="J12" s="718"/>
      <c r="K12" s="718"/>
      <c r="L12" s="718"/>
      <c r="M12" s="718"/>
      <c r="N12" s="718"/>
      <c r="O12" s="719"/>
      <c r="P12" s="728"/>
      <c r="Q12" s="728">
        <f>SUM(Q9:Q11)</f>
        <v>31068</v>
      </c>
      <c r="R12" s="728"/>
      <c r="S12" s="730">
        <f>SUM(S9:S11)</f>
        <v>58496.574999999997</v>
      </c>
      <c r="T12" s="732">
        <f>S12/Q12-1</f>
        <v>0.88285615424230701</v>
      </c>
    </row>
    <row r="13" spans="1:20" s="671" customFormat="1" ht="15.75">
      <c r="A13" s="2277">
        <v>3</v>
      </c>
      <c r="B13" s="675" t="s">
        <v>818</v>
      </c>
      <c r="C13" s="677"/>
      <c r="D13" s="678"/>
      <c r="E13" s="678"/>
      <c r="F13" s="678"/>
      <c r="G13" s="678"/>
      <c r="H13" s="678"/>
      <c r="I13" s="678"/>
      <c r="J13" s="678"/>
      <c r="K13" s="678"/>
      <c r="L13" s="678"/>
      <c r="M13" s="678"/>
      <c r="N13" s="678"/>
      <c r="O13" s="679"/>
    </row>
    <row r="14" spans="1:20" s="671" customFormat="1" ht="15.75">
      <c r="A14" s="2274"/>
      <c r="B14" s="705" t="s">
        <v>834</v>
      </c>
      <c r="C14" s="702"/>
      <c r="D14" s="703"/>
      <c r="E14" s="703"/>
      <c r="F14" s="703"/>
      <c r="G14" s="703"/>
      <c r="H14" s="703"/>
      <c r="I14" s="703"/>
      <c r="J14" s="703"/>
      <c r="K14" s="703"/>
      <c r="L14" s="703"/>
      <c r="M14" s="703"/>
      <c r="N14" s="703"/>
      <c r="O14" s="704"/>
      <c r="P14" s="671">
        <f>energo_jaunais!D8</f>
        <v>4.25</v>
      </c>
      <c r="Q14" s="667">
        <f>P14*8*365</f>
        <v>12410</v>
      </c>
      <c r="R14" s="731">
        <f>energo_jaunais!M8</f>
        <v>1.2</v>
      </c>
      <c r="S14" s="667">
        <f>R14*8*365</f>
        <v>3504</v>
      </c>
    </row>
    <row r="15" spans="1:20" s="671" customFormat="1" ht="15" customHeight="1">
      <c r="A15" s="2278"/>
      <c r="B15" s="668" t="s">
        <v>819</v>
      </c>
      <c r="C15" s="669">
        <v>2160</v>
      </c>
      <c r="D15" s="669">
        <v>3871</v>
      </c>
      <c r="E15" s="669">
        <v>2140</v>
      </c>
      <c r="F15" s="669">
        <v>1204</v>
      </c>
      <c r="G15" s="669">
        <v>190</v>
      </c>
      <c r="H15" s="669">
        <v>199</v>
      </c>
      <c r="I15" s="669">
        <v>107</v>
      </c>
      <c r="J15" s="669">
        <v>131</v>
      </c>
      <c r="K15" s="669">
        <v>304</v>
      </c>
      <c r="L15" s="669">
        <v>1266</v>
      </c>
      <c r="M15" s="669">
        <v>2314</v>
      </c>
      <c r="N15" s="669">
        <v>3173</v>
      </c>
      <c r="O15" s="670">
        <f>SUM(C15:N15)</f>
        <v>17059</v>
      </c>
      <c r="P15" s="671">
        <f>energo_jaunais!G8-energo_jaunais!D8</f>
        <v>3</v>
      </c>
      <c r="Q15" s="667">
        <f>O15-Q14+O16</f>
        <v>22696</v>
      </c>
      <c r="R15" s="721">
        <f>energo_jaunais!W8-R14</f>
        <v>18.7</v>
      </c>
      <c r="S15" s="722">
        <f>R15/P15*Q15</f>
        <v>141471.73333333334</v>
      </c>
    </row>
    <row r="16" spans="1:20" s="671" customFormat="1" ht="15" customHeight="1" thickBot="1">
      <c r="A16" s="2279"/>
      <c r="B16" s="680" t="s">
        <v>820</v>
      </c>
      <c r="C16" s="673">
        <v>2105</v>
      </c>
      <c r="D16" s="673">
        <v>1536</v>
      </c>
      <c r="E16" s="673">
        <v>1548</v>
      </c>
      <c r="F16" s="673">
        <v>1266</v>
      </c>
      <c r="G16" s="673">
        <v>1031</v>
      </c>
      <c r="H16" s="673">
        <v>799</v>
      </c>
      <c r="I16" s="673">
        <v>881</v>
      </c>
      <c r="J16" s="673">
        <v>1257</v>
      </c>
      <c r="K16" s="673">
        <v>1482</v>
      </c>
      <c r="L16" s="673">
        <v>1924</v>
      </c>
      <c r="M16" s="673">
        <v>2077</v>
      </c>
      <c r="N16" s="673">
        <v>2141</v>
      </c>
      <c r="O16" s="674">
        <f>SUM(C16:N16)</f>
        <v>18047</v>
      </c>
    </row>
    <row r="17" spans="1:20" s="671" customFormat="1" ht="15" customHeight="1" thickBot="1">
      <c r="A17" s="706"/>
      <c r="B17" s="733"/>
      <c r="C17" s="717"/>
      <c r="D17" s="718"/>
      <c r="E17" s="718"/>
      <c r="F17" s="718"/>
      <c r="G17" s="718"/>
      <c r="H17" s="718"/>
      <c r="I17" s="718"/>
      <c r="J17" s="718"/>
      <c r="K17" s="718"/>
      <c r="L17" s="718"/>
      <c r="M17" s="718"/>
      <c r="N17" s="718"/>
      <c r="O17" s="719"/>
      <c r="P17" s="728"/>
      <c r="Q17" s="728">
        <f>SUM(Q14:Q16)</f>
        <v>35106</v>
      </c>
      <c r="R17" s="728"/>
      <c r="S17" s="730">
        <f>SUM(S14:S16)</f>
        <v>144975.73333333334</v>
      </c>
      <c r="T17" s="732">
        <f>S17/Q17-1</f>
        <v>3.1296568487817851</v>
      </c>
    </row>
    <row r="18" spans="1:20" s="671" customFormat="1" ht="15.75">
      <c r="A18" s="2277">
        <v>4</v>
      </c>
      <c r="B18" s="681" t="s">
        <v>766</v>
      </c>
      <c r="C18" s="2266"/>
      <c r="D18" s="2267"/>
      <c r="E18" s="2267"/>
      <c r="F18" s="2267"/>
      <c r="G18" s="2267"/>
      <c r="H18" s="2267"/>
      <c r="I18" s="2267"/>
      <c r="J18" s="2267"/>
      <c r="K18" s="2267"/>
      <c r="L18" s="2267"/>
      <c r="M18" s="2267"/>
      <c r="N18" s="2267"/>
      <c r="O18" s="2268"/>
    </row>
    <row r="19" spans="1:20" s="671" customFormat="1" ht="15.75">
      <c r="A19" s="2275"/>
      <c r="B19" s="705" t="s">
        <v>834</v>
      </c>
      <c r="C19" s="707"/>
      <c r="D19" s="708"/>
      <c r="E19" s="708"/>
      <c r="F19" s="708"/>
      <c r="G19" s="708"/>
      <c r="H19" s="708"/>
      <c r="I19" s="708"/>
      <c r="J19" s="708"/>
      <c r="K19" s="708"/>
      <c r="L19" s="708"/>
      <c r="M19" s="708"/>
      <c r="N19" s="708"/>
      <c r="O19" s="709"/>
      <c r="P19" s="731">
        <f>energo_jaunais!D10</f>
        <v>4.5</v>
      </c>
      <c r="Q19" s="667">
        <f>P19*8*365</f>
        <v>13140</v>
      </c>
      <c r="R19" s="731">
        <f>energo_jaunais!M10</f>
        <v>1.2</v>
      </c>
      <c r="S19" s="667">
        <f>R19*8*365</f>
        <v>3504</v>
      </c>
    </row>
    <row r="20" spans="1:20" s="671" customFormat="1" ht="15" customHeight="1" thickBot="1">
      <c r="A20" s="2279"/>
      <c r="B20" s="672" t="s">
        <v>815</v>
      </c>
      <c r="C20" s="673">
        <v>7299</v>
      </c>
      <c r="D20" s="673">
        <v>6684</v>
      </c>
      <c r="E20" s="673">
        <v>6504</v>
      </c>
      <c r="F20" s="673">
        <v>3960</v>
      </c>
      <c r="G20" s="673">
        <v>2544</v>
      </c>
      <c r="H20" s="673">
        <v>1853</v>
      </c>
      <c r="I20" s="673">
        <v>1667</v>
      </c>
      <c r="J20" s="673">
        <v>1739</v>
      </c>
      <c r="K20" s="673">
        <v>2192</v>
      </c>
      <c r="L20" s="673">
        <v>3593</v>
      </c>
      <c r="M20" s="673">
        <v>4275</v>
      </c>
      <c r="N20" s="673">
        <v>5971</v>
      </c>
      <c r="O20" s="674">
        <f>SUM(C20:N20)</f>
        <v>48281</v>
      </c>
      <c r="P20" s="731">
        <f>energo_jaunais!G10-energo_2012!P19</f>
        <v>2.5</v>
      </c>
      <c r="Q20" s="667">
        <f>O20-Q19</f>
        <v>35141</v>
      </c>
      <c r="R20" s="721">
        <f>energo_jaunais!W10-R19</f>
        <v>18.2</v>
      </c>
      <c r="S20" s="722">
        <f>R20/P20*Q20</f>
        <v>255826.47999999998</v>
      </c>
    </row>
    <row r="21" spans="1:20" s="671" customFormat="1" ht="15" customHeight="1">
      <c r="A21" s="706"/>
      <c r="B21" s="716"/>
      <c r="C21" s="717"/>
      <c r="D21" s="718"/>
      <c r="E21" s="718"/>
      <c r="F21" s="718"/>
      <c r="G21" s="718"/>
      <c r="H21" s="718"/>
      <c r="I21" s="718"/>
      <c r="J21" s="718"/>
      <c r="K21" s="718"/>
      <c r="L21" s="718"/>
      <c r="M21" s="718"/>
      <c r="N21" s="718"/>
      <c r="O21" s="719"/>
      <c r="P21" s="731"/>
      <c r="Q21" s="667"/>
      <c r="R21" s="721"/>
      <c r="S21" s="722"/>
    </row>
    <row r="22" spans="1:20" s="671" customFormat="1" ht="15" customHeight="1" thickBot="1">
      <c r="A22" s="706"/>
      <c r="B22" s="716"/>
      <c r="C22" s="717"/>
      <c r="D22" s="718"/>
      <c r="E22" s="718"/>
      <c r="F22" s="718"/>
      <c r="G22" s="718"/>
      <c r="H22" s="718"/>
      <c r="I22" s="718"/>
      <c r="J22" s="718"/>
      <c r="K22" s="718"/>
      <c r="L22" s="718"/>
      <c r="M22" s="718"/>
      <c r="N22" s="718"/>
      <c r="O22" s="719"/>
      <c r="P22" s="728"/>
      <c r="Q22" s="728">
        <f>SUM(Q19:Q21)</f>
        <v>48281</v>
      </c>
      <c r="R22" s="728"/>
      <c r="S22" s="730">
        <f>SUM(S19:S21)</f>
        <v>259330.47999999998</v>
      </c>
      <c r="T22" s="732">
        <f>S22/Q22-1</f>
        <v>4.3712740001242718</v>
      </c>
    </row>
    <row r="23" spans="1:20" s="671" customFormat="1" ht="15.75">
      <c r="A23" s="2277">
        <v>5</v>
      </c>
      <c r="B23" s="681" t="s">
        <v>767</v>
      </c>
      <c r="C23" s="2286"/>
      <c r="D23" s="2287"/>
      <c r="E23" s="2287"/>
      <c r="F23" s="2287"/>
      <c r="G23" s="2287"/>
      <c r="H23" s="2287"/>
      <c r="I23" s="2287"/>
      <c r="J23" s="2287"/>
      <c r="K23" s="2287"/>
      <c r="L23" s="2287"/>
      <c r="M23" s="2287"/>
      <c r="N23" s="2287"/>
      <c r="O23" s="2288"/>
    </row>
    <row r="24" spans="1:20" s="671" customFormat="1" ht="15.75">
      <c r="A24" s="2274"/>
      <c r="B24" s="705" t="s">
        <v>834</v>
      </c>
      <c r="C24" s="710"/>
      <c r="D24" s="711"/>
      <c r="E24" s="711"/>
      <c r="F24" s="711"/>
      <c r="G24" s="711"/>
      <c r="H24" s="711"/>
      <c r="I24" s="711"/>
      <c r="J24" s="711"/>
      <c r="K24" s="711"/>
      <c r="L24" s="711"/>
      <c r="M24" s="711"/>
      <c r="N24" s="711"/>
      <c r="O24" s="712"/>
      <c r="P24" s="731">
        <f>energo_jaunais!D12</f>
        <v>4</v>
      </c>
      <c r="Q24" s="667">
        <f>P24*8*365</f>
        <v>11680</v>
      </c>
      <c r="R24" s="731">
        <f>energo_jaunais!M12</f>
        <v>1.2</v>
      </c>
      <c r="S24" s="667">
        <f>R24*8*365</f>
        <v>3504</v>
      </c>
    </row>
    <row r="25" spans="1:20" s="671" customFormat="1" ht="15.75">
      <c r="A25" s="2278"/>
      <c r="B25" s="668" t="s">
        <v>815</v>
      </c>
      <c r="C25" s="669">
        <v>6298</v>
      </c>
      <c r="D25" s="669">
        <v>7513</v>
      </c>
      <c r="E25" s="669">
        <v>5479</v>
      </c>
      <c r="F25" s="669">
        <v>3547</v>
      </c>
      <c r="G25" s="669">
        <v>1295</v>
      </c>
      <c r="H25" s="669">
        <v>824</v>
      </c>
      <c r="I25" s="669">
        <v>879</v>
      </c>
      <c r="J25" s="669">
        <v>1061</v>
      </c>
      <c r="K25" s="669">
        <v>1544</v>
      </c>
      <c r="L25" s="669">
        <v>3264</v>
      </c>
      <c r="M25" s="669">
        <v>3982</v>
      </c>
      <c r="N25" s="669">
        <v>6396</v>
      </c>
      <c r="O25" s="670">
        <f>SUM(C25:N25)</f>
        <v>42082</v>
      </c>
      <c r="P25" s="731">
        <f>energo_jaunais!G12-P24</f>
        <v>44.74</v>
      </c>
      <c r="Q25" s="667">
        <f>O25-Q24+O26</f>
        <v>54880</v>
      </c>
      <c r="R25" s="721">
        <f>energo_jaunais!W12-R24</f>
        <v>60.440000000000005</v>
      </c>
      <c r="S25" s="722">
        <f>R25/P25*Q25</f>
        <v>74138.292355833706</v>
      </c>
    </row>
    <row r="26" spans="1:20" s="671" customFormat="1" ht="16.5" thickBot="1">
      <c r="A26" s="2279"/>
      <c r="B26" s="672" t="s">
        <v>816</v>
      </c>
      <c r="C26" s="673">
        <v>2208</v>
      </c>
      <c r="D26" s="673">
        <v>2944</v>
      </c>
      <c r="E26" s="673">
        <v>1764</v>
      </c>
      <c r="F26" s="673">
        <v>1551</v>
      </c>
      <c r="G26" s="673">
        <v>1599</v>
      </c>
      <c r="H26" s="673">
        <v>1875</v>
      </c>
      <c r="I26" s="673">
        <v>2132</v>
      </c>
      <c r="J26" s="673">
        <v>2075</v>
      </c>
      <c r="K26" s="673">
        <v>1851</v>
      </c>
      <c r="L26" s="673">
        <v>2125</v>
      </c>
      <c r="M26" s="673">
        <v>1843</v>
      </c>
      <c r="N26" s="673">
        <v>2511</v>
      </c>
      <c r="O26" s="674">
        <f>SUM(C26:N26)</f>
        <v>24478</v>
      </c>
    </row>
    <row r="27" spans="1:20" s="671" customFormat="1" ht="16.5" thickBot="1">
      <c r="A27" s="706"/>
      <c r="B27" s="716"/>
      <c r="C27" s="717"/>
      <c r="D27" s="718"/>
      <c r="E27" s="718"/>
      <c r="F27" s="718"/>
      <c r="G27" s="718"/>
      <c r="H27" s="718"/>
      <c r="I27" s="718"/>
      <c r="J27" s="718"/>
      <c r="K27" s="718"/>
      <c r="L27" s="718"/>
      <c r="M27" s="718"/>
      <c r="N27" s="718"/>
      <c r="O27" s="719"/>
      <c r="P27" s="728"/>
      <c r="Q27" s="728">
        <f>SUM(Q24:Q26)</f>
        <v>66560</v>
      </c>
      <c r="R27" s="728"/>
      <c r="S27" s="730">
        <f>SUM(S24:S26)</f>
        <v>77642.292355833706</v>
      </c>
      <c r="T27" s="732">
        <f>S27/Q27-1</f>
        <v>0.16650078659605927</v>
      </c>
    </row>
    <row r="28" spans="1:20" s="671" customFormat="1" ht="27" customHeight="1">
      <c r="A28" s="2277">
        <v>6</v>
      </c>
      <c r="B28" s="681" t="s">
        <v>768</v>
      </c>
      <c r="C28" s="2266"/>
      <c r="D28" s="2267"/>
      <c r="E28" s="2267"/>
      <c r="F28" s="2267"/>
      <c r="G28" s="2267"/>
      <c r="H28" s="2267"/>
      <c r="I28" s="2267"/>
      <c r="J28" s="2267"/>
      <c r="K28" s="2267"/>
      <c r="L28" s="2267"/>
      <c r="M28" s="2267"/>
      <c r="N28" s="2267"/>
      <c r="O28" s="2268"/>
    </row>
    <row r="29" spans="1:20" s="671" customFormat="1" ht="15.75">
      <c r="A29" s="2275"/>
      <c r="B29" s="705" t="s">
        <v>834</v>
      </c>
      <c r="C29" s="707"/>
      <c r="D29" s="708"/>
      <c r="E29" s="708"/>
      <c r="F29" s="708"/>
      <c r="G29" s="708"/>
      <c r="H29" s="708"/>
      <c r="I29" s="708"/>
      <c r="J29" s="708"/>
      <c r="K29" s="708"/>
      <c r="L29" s="708"/>
      <c r="M29" s="708"/>
      <c r="N29" s="708"/>
      <c r="O29" s="709"/>
      <c r="P29" s="671">
        <f>energo_jaunais!D14</f>
        <v>4.5</v>
      </c>
      <c r="Q29" s="667">
        <f>P29*8*365</f>
        <v>13140</v>
      </c>
      <c r="R29" s="731">
        <f>energo_jaunais!M14</f>
        <v>1.2</v>
      </c>
      <c r="S29" s="667">
        <f>R29*8*365</f>
        <v>3504</v>
      </c>
    </row>
    <row r="30" spans="1:20" s="671" customFormat="1" ht="16.5" thickBot="1">
      <c r="A30" s="2279"/>
      <c r="B30" s="672" t="s">
        <v>815</v>
      </c>
      <c r="C30" s="673">
        <v>6161</v>
      </c>
      <c r="D30" s="673">
        <v>8940</v>
      </c>
      <c r="E30" s="673">
        <v>7889</v>
      </c>
      <c r="F30" s="673">
        <v>4672</v>
      </c>
      <c r="G30" s="673">
        <v>1772</v>
      </c>
      <c r="H30" s="673">
        <v>1401</v>
      </c>
      <c r="I30" s="673">
        <v>1017</v>
      </c>
      <c r="J30" s="673">
        <v>1165</v>
      </c>
      <c r="K30" s="673">
        <v>2244</v>
      </c>
      <c r="L30" s="673">
        <v>4538</v>
      </c>
      <c r="M30" s="673">
        <v>5760</v>
      </c>
      <c r="N30" s="673">
        <v>7572</v>
      </c>
      <c r="O30" s="674">
        <f>SUM(C30:N30)</f>
        <v>53131</v>
      </c>
      <c r="P30" s="671">
        <f>energo_jaunais!G14-P29</f>
        <v>10.5</v>
      </c>
      <c r="Q30" s="667">
        <f>O30-Q29</f>
        <v>39991</v>
      </c>
      <c r="R30" s="721">
        <f>energo_jaunais!W14-R29</f>
        <v>26.2</v>
      </c>
      <c r="S30" s="722">
        <f>R30/P30*Q30</f>
        <v>99787.066666666666</v>
      </c>
    </row>
    <row r="31" spans="1:20" s="671" customFormat="1" ht="15.75">
      <c r="A31" s="706"/>
      <c r="B31" s="716"/>
      <c r="C31" s="717"/>
      <c r="D31" s="718"/>
      <c r="E31" s="718"/>
      <c r="F31" s="718"/>
      <c r="G31" s="718"/>
      <c r="H31" s="718"/>
      <c r="I31" s="718"/>
      <c r="J31" s="718"/>
      <c r="K31" s="718"/>
      <c r="L31" s="718"/>
      <c r="M31" s="718"/>
      <c r="N31" s="718"/>
      <c r="O31" s="719"/>
      <c r="Q31" s="667"/>
    </row>
    <row r="32" spans="1:20" s="671" customFormat="1" ht="16.5" thickBot="1">
      <c r="A32" s="706"/>
      <c r="B32" s="716"/>
      <c r="C32" s="717"/>
      <c r="D32" s="718"/>
      <c r="E32" s="718"/>
      <c r="F32" s="718"/>
      <c r="G32" s="718"/>
      <c r="H32" s="718"/>
      <c r="I32" s="718"/>
      <c r="J32" s="718"/>
      <c r="K32" s="718"/>
      <c r="L32" s="718"/>
      <c r="M32" s="718"/>
      <c r="N32" s="718"/>
      <c r="O32" s="719"/>
      <c r="P32" s="728"/>
      <c r="Q32" s="728">
        <f>SUM(Q29:Q31)</f>
        <v>53131</v>
      </c>
      <c r="R32" s="728"/>
      <c r="S32" s="730">
        <f>SUM(S29:S31)</f>
        <v>103291.06666666667</v>
      </c>
      <c r="T32" s="732">
        <f>S32/Q32-1</f>
        <v>0.9440828643666912</v>
      </c>
    </row>
    <row r="33" spans="1:20" s="671" customFormat="1" ht="27" customHeight="1">
      <c r="A33" s="2277">
        <v>7</v>
      </c>
      <c r="B33" s="681" t="s">
        <v>769</v>
      </c>
      <c r="C33" s="2266"/>
      <c r="D33" s="2267"/>
      <c r="E33" s="2267"/>
      <c r="F33" s="2267"/>
      <c r="G33" s="2267"/>
      <c r="H33" s="2267"/>
      <c r="I33" s="2267"/>
      <c r="J33" s="2267"/>
      <c r="K33" s="2267"/>
      <c r="L33" s="2267"/>
      <c r="M33" s="2267"/>
      <c r="N33" s="2267"/>
      <c r="O33" s="2268"/>
    </row>
    <row r="34" spans="1:20" s="671" customFormat="1" ht="15.75">
      <c r="A34" s="2274"/>
      <c r="B34" s="705" t="s">
        <v>834</v>
      </c>
      <c r="C34" s="696"/>
      <c r="D34" s="697"/>
      <c r="E34" s="697"/>
      <c r="F34" s="697"/>
      <c r="G34" s="697"/>
      <c r="H34" s="697"/>
      <c r="I34" s="697"/>
      <c r="J34" s="697"/>
      <c r="K34" s="697"/>
      <c r="L34" s="697"/>
      <c r="M34" s="697"/>
      <c r="N34" s="697"/>
      <c r="O34" s="698"/>
      <c r="P34" s="671">
        <f>energo_jaunais!D16</f>
        <v>3.5</v>
      </c>
      <c r="Q34" s="667">
        <f>P34*8*365</f>
        <v>10220</v>
      </c>
      <c r="R34" s="731">
        <f>energo_jaunais!M16</f>
        <v>1.2</v>
      </c>
      <c r="S34" s="667">
        <f>R34*8*365</f>
        <v>3504</v>
      </c>
    </row>
    <row r="35" spans="1:20" s="671" customFormat="1" ht="15.75">
      <c r="A35" s="2278"/>
      <c r="B35" s="668" t="s">
        <v>815</v>
      </c>
      <c r="C35" s="669">
        <v>3582</v>
      </c>
      <c r="D35" s="669">
        <v>2860</v>
      </c>
      <c r="E35" s="669">
        <v>2375</v>
      </c>
      <c r="F35" s="669">
        <v>1828</v>
      </c>
      <c r="G35" s="669">
        <v>1554</v>
      </c>
      <c r="H35" s="669">
        <v>1796</v>
      </c>
      <c r="I35" s="669">
        <v>2025</v>
      </c>
      <c r="J35" s="669">
        <v>1377</v>
      </c>
      <c r="K35" s="669">
        <v>851</v>
      </c>
      <c r="L35" s="669">
        <v>2279</v>
      </c>
      <c r="M35" s="669">
        <v>2554</v>
      </c>
      <c r="N35" s="669">
        <v>3376</v>
      </c>
      <c r="O35" s="670">
        <f>SUM(C35:N35)</f>
        <v>26457</v>
      </c>
      <c r="P35" s="671">
        <f>energo_jaunais!G16+energo_jaunais!G18-P34</f>
        <v>39.5</v>
      </c>
      <c r="Q35" s="667">
        <f>O35-Q34+O36</f>
        <v>24406</v>
      </c>
      <c r="R35" s="721">
        <f>energo_jaunais!W16+energo_jaunais!W18-R34</f>
        <v>35.199999999999996</v>
      </c>
      <c r="S35" s="722">
        <f>R35/P35*Q35</f>
        <v>21749.144303797464</v>
      </c>
    </row>
    <row r="36" spans="1:20" s="671" customFormat="1" ht="16.5" thickBot="1">
      <c r="A36" s="2279"/>
      <c r="B36" s="672" t="s">
        <v>816</v>
      </c>
      <c r="C36" s="673">
        <v>739</v>
      </c>
      <c r="D36" s="673">
        <v>627</v>
      </c>
      <c r="E36" s="673">
        <v>672</v>
      </c>
      <c r="F36" s="673">
        <v>676</v>
      </c>
      <c r="G36" s="673">
        <v>876</v>
      </c>
      <c r="H36" s="673">
        <v>108</v>
      </c>
      <c r="I36" s="673">
        <v>196</v>
      </c>
      <c r="J36" s="673">
        <v>826</v>
      </c>
      <c r="K36" s="673">
        <v>1364</v>
      </c>
      <c r="L36" s="673">
        <v>828</v>
      </c>
      <c r="M36" s="673">
        <v>593</v>
      </c>
      <c r="N36" s="673">
        <v>664</v>
      </c>
      <c r="O36" s="674">
        <f>SUM(C36:N36)</f>
        <v>8169</v>
      </c>
    </row>
    <row r="37" spans="1:20" s="671" customFormat="1" ht="16.5" thickBot="1">
      <c r="A37" s="706"/>
      <c r="B37" s="716"/>
      <c r="C37" s="717"/>
      <c r="D37" s="718"/>
      <c r="E37" s="718"/>
      <c r="F37" s="718"/>
      <c r="G37" s="718"/>
      <c r="H37" s="718"/>
      <c r="I37" s="718"/>
      <c r="J37" s="718"/>
      <c r="K37" s="718"/>
      <c r="L37" s="718"/>
      <c r="M37" s="718"/>
      <c r="N37" s="718"/>
      <c r="O37" s="719"/>
      <c r="P37" s="728"/>
      <c r="Q37" s="728">
        <f>SUM(Q34:Q36)</f>
        <v>34626</v>
      </c>
      <c r="R37" s="728"/>
      <c r="S37" s="730">
        <f>SUM(S34:S36)</f>
        <v>25253.144303797464</v>
      </c>
      <c r="T37" s="732">
        <f>S37/Q37-1</f>
        <v>-0.27068837567730997</v>
      </c>
    </row>
    <row r="38" spans="1:20" s="671" customFormat="1" ht="27" customHeight="1">
      <c r="A38" s="2277">
        <v>8</v>
      </c>
      <c r="B38" s="682" t="s">
        <v>821</v>
      </c>
      <c r="C38" s="2266"/>
      <c r="D38" s="2267"/>
      <c r="E38" s="2267"/>
      <c r="F38" s="2267"/>
      <c r="G38" s="2267"/>
      <c r="H38" s="2267"/>
      <c r="I38" s="2267"/>
      <c r="J38" s="2267"/>
      <c r="K38" s="2267"/>
      <c r="L38" s="2267"/>
      <c r="M38" s="2267"/>
      <c r="N38" s="2267"/>
      <c r="O38" s="2268"/>
    </row>
    <row r="39" spans="1:20" s="671" customFormat="1" ht="15.75">
      <c r="A39" s="2278"/>
      <c r="B39" s="668" t="s">
        <v>822</v>
      </c>
      <c r="C39" s="669">
        <v>2106</v>
      </c>
      <c r="D39" s="669">
        <v>2447</v>
      </c>
      <c r="E39" s="669">
        <v>1373</v>
      </c>
      <c r="F39" s="669">
        <v>1133</v>
      </c>
      <c r="G39" s="669">
        <v>1010</v>
      </c>
      <c r="H39" s="669">
        <v>1222</v>
      </c>
      <c r="I39" s="669">
        <v>521</v>
      </c>
      <c r="J39" s="669">
        <v>672</v>
      </c>
      <c r="K39" s="669">
        <v>1076</v>
      </c>
      <c r="L39" s="669">
        <v>1643</v>
      </c>
      <c r="M39" s="669">
        <v>1381</v>
      </c>
      <c r="N39" s="669">
        <v>2166</v>
      </c>
      <c r="O39" s="670">
        <f>SUM(C39:N39)</f>
        <v>16750</v>
      </c>
      <c r="P39" s="671">
        <f>energo_jaunais!G19-P40</f>
        <v>11.5</v>
      </c>
      <c r="Q39" s="667">
        <f>O39</f>
        <v>16750</v>
      </c>
      <c r="R39" s="721">
        <f>energo_jaunais!W19-R40</f>
        <v>27.2</v>
      </c>
      <c r="S39" s="722">
        <f>R39/P39*Q39</f>
        <v>39617.391304347831</v>
      </c>
    </row>
    <row r="40" spans="1:20" s="671" customFormat="1" ht="16.5" thickBot="1">
      <c r="A40" s="2279"/>
      <c r="B40" s="680" t="s">
        <v>740</v>
      </c>
      <c r="C40" s="673">
        <v>4281</v>
      </c>
      <c r="D40" s="673">
        <v>3590</v>
      </c>
      <c r="E40" s="673">
        <v>3206</v>
      </c>
      <c r="F40" s="673">
        <v>3023</v>
      </c>
      <c r="G40" s="673">
        <v>2375</v>
      </c>
      <c r="H40" s="673">
        <v>2159</v>
      </c>
      <c r="I40" s="673">
        <v>2168</v>
      </c>
      <c r="J40" s="673">
        <v>2361</v>
      </c>
      <c r="K40" s="673">
        <v>2699</v>
      </c>
      <c r="L40" s="673">
        <v>3592</v>
      </c>
      <c r="M40" s="673">
        <v>3732</v>
      </c>
      <c r="N40" s="673">
        <v>4064</v>
      </c>
      <c r="O40" s="674">
        <f>SUM(C40:N40)</f>
        <v>37250</v>
      </c>
      <c r="P40" s="671">
        <f>energo_jaunais!D19</f>
        <v>8.5</v>
      </c>
      <c r="Q40" s="667">
        <f>P40*8*365</f>
        <v>24820</v>
      </c>
      <c r="R40" s="731">
        <f>energo_jaunais!M19</f>
        <v>1.2</v>
      </c>
      <c r="S40" s="667">
        <f>R40*8*365</f>
        <v>3504</v>
      </c>
    </row>
    <row r="41" spans="1:20" s="671" customFormat="1" ht="16.5" thickBot="1">
      <c r="A41" s="706"/>
      <c r="B41" s="733"/>
      <c r="C41" s="717"/>
      <c r="D41" s="718"/>
      <c r="E41" s="718"/>
      <c r="F41" s="718"/>
      <c r="G41" s="718"/>
      <c r="H41" s="718"/>
      <c r="I41" s="718"/>
      <c r="J41" s="718"/>
      <c r="K41" s="718"/>
      <c r="L41" s="718"/>
      <c r="M41" s="718"/>
      <c r="N41" s="718"/>
      <c r="O41" s="719"/>
      <c r="P41" s="728"/>
      <c r="Q41" s="728">
        <f>SUM(Q39:Q40)</f>
        <v>41570</v>
      </c>
      <c r="R41" s="728"/>
      <c r="S41" s="728">
        <f>SUM(S39:S40)</f>
        <v>43121.391304347831</v>
      </c>
      <c r="T41" s="732">
        <f>S41/Q41-1</f>
        <v>3.7319973643200166E-2</v>
      </c>
    </row>
    <row r="42" spans="1:20" s="671" customFormat="1" ht="27" customHeight="1">
      <c r="A42" s="2277">
        <v>9</v>
      </c>
      <c r="B42" s="675" t="s">
        <v>823</v>
      </c>
      <c r="C42" s="2266"/>
      <c r="D42" s="2267"/>
      <c r="E42" s="2267"/>
      <c r="F42" s="2267"/>
      <c r="G42" s="2267"/>
      <c r="H42" s="2267"/>
      <c r="I42" s="2267"/>
      <c r="J42" s="2267"/>
      <c r="K42" s="2267"/>
      <c r="L42" s="2267"/>
      <c r="M42" s="2267"/>
      <c r="N42" s="2267"/>
      <c r="O42" s="2268"/>
    </row>
    <row r="43" spans="1:20" s="671" customFormat="1" ht="15.75">
      <c r="A43" s="2275"/>
      <c r="B43" s="705" t="s">
        <v>834</v>
      </c>
      <c r="C43" s="707"/>
      <c r="D43" s="708"/>
      <c r="E43" s="708"/>
      <c r="F43" s="708"/>
      <c r="G43" s="708"/>
      <c r="H43" s="708"/>
      <c r="I43" s="708"/>
      <c r="J43" s="708"/>
      <c r="K43" s="708"/>
      <c r="L43" s="708"/>
      <c r="M43" s="708"/>
      <c r="N43" s="708"/>
      <c r="O43" s="709"/>
      <c r="P43" s="731">
        <f>energo_jaunais!D21</f>
        <v>4.13</v>
      </c>
      <c r="Q43" s="667">
        <f>P43*8*365</f>
        <v>12059.6</v>
      </c>
      <c r="R43" s="731">
        <f>energo_jaunais!M21</f>
        <v>1.2</v>
      </c>
      <c r="S43" s="667">
        <f>R43*8*365</f>
        <v>3504</v>
      </c>
    </row>
    <row r="44" spans="1:20" s="671" customFormat="1" ht="16.5" thickBot="1">
      <c r="A44" s="2279"/>
      <c r="B44" s="672" t="s">
        <v>815</v>
      </c>
      <c r="C44" s="673">
        <v>3764</v>
      </c>
      <c r="D44" s="673">
        <v>3526</v>
      </c>
      <c r="E44" s="673">
        <v>3106</v>
      </c>
      <c r="F44" s="673">
        <v>2212</v>
      </c>
      <c r="G44" s="673">
        <v>1077</v>
      </c>
      <c r="H44" s="673">
        <v>875</v>
      </c>
      <c r="I44" s="673">
        <v>908</v>
      </c>
      <c r="J44" s="673">
        <v>1060</v>
      </c>
      <c r="K44" s="673">
        <v>1460</v>
      </c>
      <c r="L44" s="673">
        <v>1165</v>
      </c>
      <c r="M44" s="673">
        <v>3025</v>
      </c>
      <c r="N44" s="673">
        <v>3648</v>
      </c>
      <c r="O44" s="674">
        <f>SUM(C44:N44)</f>
        <v>25826</v>
      </c>
      <c r="P44" s="731">
        <f>energo_jaunais!G21-P43</f>
        <v>5.87</v>
      </c>
      <c r="Q44" s="667">
        <f>O44-Q43</f>
        <v>13766.4</v>
      </c>
      <c r="R44" s="721">
        <f>energo_jaunais!W21-R43</f>
        <v>21.37</v>
      </c>
      <c r="S44" s="722">
        <f>R44/P44*Q44</f>
        <v>50117.200681431008</v>
      </c>
    </row>
    <row r="45" spans="1:20" s="671" customFormat="1" ht="16.5" thickBot="1">
      <c r="A45" s="706"/>
      <c r="B45" s="716"/>
      <c r="C45" s="717"/>
      <c r="D45" s="718"/>
      <c r="E45" s="718"/>
      <c r="F45" s="718"/>
      <c r="G45" s="718"/>
      <c r="H45" s="718"/>
      <c r="I45" s="718"/>
      <c r="J45" s="718"/>
      <c r="K45" s="718"/>
      <c r="L45" s="718"/>
      <c r="M45" s="718"/>
      <c r="N45" s="718"/>
      <c r="O45" s="719"/>
      <c r="P45" s="728"/>
      <c r="Q45" s="728">
        <f>SUM(Q43:Q44)</f>
        <v>25826</v>
      </c>
      <c r="R45" s="728"/>
      <c r="S45" s="728">
        <f>SUM(S43:S44)</f>
        <v>53621.200681431008</v>
      </c>
      <c r="T45" s="732">
        <f>S45/Q45-1</f>
        <v>1.0762487679637189</v>
      </c>
    </row>
    <row r="46" spans="1:20" s="671" customFormat="1" ht="27" customHeight="1">
      <c r="A46" s="2274">
        <v>10</v>
      </c>
      <c r="B46" s="675" t="s">
        <v>775</v>
      </c>
      <c r="C46" s="2261"/>
      <c r="D46" s="2262"/>
      <c r="E46" s="2262"/>
      <c r="F46" s="2262"/>
      <c r="G46" s="2262"/>
      <c r="H46" s="2262"/>
      <c r="I46" s="2262"/>
      <c r="J46" s="2262"/>
      <c r="K46" s="2262"/>
      <c r="L46" s="2262"/>
      <c r="M46" s="2262"/>
      <c r="N46" s="2262"/>
      <c r="O46" s="2263"/>
    </row>
    <row r="47" spans="1:20" s="671" customFormat="1" ht="15.75">
      <c r="A47" s="2275"/>
      <c r="B47" s="705" t="s">
        <v>834</v>
      </c>
      <c r="C47" s="707"/>
      <c r="D47" s="708"/>
      <c r="E47" s="708"/>
      <c r="F47" s="708"/>
      <c r="G47" s="708"/>
      <c r="H47" s="708"/>
      <c r="I47" s="708"/>
      <c r="J47" s="708"/>
      <c r="K47" s="708"/>
      <c r="L47" s="708"/>
      <c r="M47" s="708"/>
      <c r="N47" s="708"/>
      <c r="O47" s="709"/>
      <c r="P47" s="671">
        <f>energo_jaunais!D23</f>
        <v>2.25</v>
      </c>
      <c r="Q47" s="667">
        <f>P47*8*365</f>
        <v>6570</v>
      </c>
      <c r="R47" s="731">
        <f>energo_jaunais!M23</f>
        <v>1.2</v>
      </c>
      <c r="S47" s="667">
        <f>R47*8*365</f>
        <v>3504</v>
      </c>
    </row>
    <row r="48" spans="1:20" s="671" customFormat="1" ht="15.75">
      <c r="A48" s="2276"/>
      <c r="B48" s="683" t="s">
        <v>815</v>
      </c>
      <c r="C48" s="684">
        <v>2298</v>
      </c>
      <c r="D48" s="684">
        <v>1950</v>
      </c>
      <c r="E48" s="684">
        <v>1719</v>
      </c>
      <c r="F48" s="684">
        <v>1434</v>
      </c>
      <c r="G48" s="684">
        <v>902</v>
      </c>
      <c r="H48" s="684">
        <v>667</v>
      </c>
      <c r="I48" s="684">
        <v>754</v>
      </c>
      <c r="J48" s="684">
        <v>863</v>
      </c>
      <c r="K48" s="684">
        <v>1180</v>
      </c>
      <c r="L48" s="684">
        <v>1622</v>
      </c>
      <c r="M48" s="684">
        <v>2001</v>
      </c>
      <c r="N48" s="684">
        <v>2690</v>
      </c>
      <c r="O48" s="685">
        <f>SUM(C48:N48)</f>
        <v>18080</v>
      </c>
      <c r="P48" s="671">
        <f>energo_jaunais!G23-P47</f>
        <v>2.75</v>
      </c>
      <c r="Q48" s="667">
        <f>O48-Q47</f>
        <v>11510</v>
      </c>
      <c r="R48" s="721">
        <f>energo_jaunais!W23-R47</f>
        <v>18.250000000000004</v>
      </c>
      <c r="S48" s="722">
        <f>R48/P48*Q48</f>
        <v>76384.54545454547</v>
      </c>
    </row>
    <row r="49" spans="1:20" s="671" customFormat="1" ht="16.5" thickBot="1">
      <c r="A49" s="706"/>
      <c r="B49" s="716"/>
      <c r="C49" s="717"/>
      <c r="D49" s="718"/>
      <c r="E49" s="718"/>
      <c r="F49" s="718"/>
      <c r="G49" s="718"/>
      <c r="H49" s="718"/>
      <c r="I49" s="718"/>
      <c r="J49" s="718"/>
      <c r="K49" s="718"/>
      <c r="L49" s="718"/>
      <c r="M49" s="718"/>
      <c r="N49" s="718"/>
      <c r="O49" s="719"/>
      <c r="P49" s="728"/>
      <c r="Q49" s="728">
        <f>SUM(Q47:Q48)</f>
        <v>18080</v>
      </c>
      <c r="R49" s="728"/>
      <c r="S49" s="728">
        <f>SUM(S47:S48)</f>
        <v>79888.54545454547</v>
      </c>
      <c r="T49" s="732">
        <f>S49/Q49-1</f>
        <v>3.418614239742559</v>
      </c>
    </row>
    <row r="50" spans="1:20" s="671" customFormat="1" ht="27" customHeight="1">
      <c r="A50" s="2277">
        <v>11</v>
      </c>
      <c r="B50" s="682" t="s">
        <v>824</v>
      </c>
      <c r="C50" s="2266"/>
      <c r="D50" s="2267"/>
      <c r="E50" s="2267"/>
      <c r="F50" s="2267"/>
      <c r="G50" s="2267"/>
      <c r="H50" s="2267"/>
      <c r="I50" s="2267"/>
      <c r="J50" s="2267"/>
      <c r="K50" s="2267"/>
      <c r="L50" s="2267"/>
      <c r="M50" s="2267"/>
      <c r="N50" s="2267"/>
      <c r="O50" s="2268"/>
    </row>
    <row r="51" spans="1:20" s="671" customFormat="1" ht="15.75">
      <c r="A51" s="2278"/>
      <c r="B51" s="676" t="s">
        <v>740</v>
      </c>
      <c r="C51" s="669">
        <v>2464</v>
      </c>
      <c r="D51" s="669">
        <v>1864</v>
      </c>
      <c r="E51" s="669">
        <v>1643</v>
      </c>
      <c r="F51" s="669">
        <v>1309</v>
      </c>
      <c r="G51" s="669">
        <v>764</v>
      </c>
      <c r="H51" s="669">
        <v>425</v>
      </c>
      <c r="I51" s="669">
        <v>498</v>
      </c>
      <c r="J51" s="669">
        <v>996</v>
      </c>
      <c r="K51" s="669">
        <v>1464</v>
      </c>
      <c r="L51" s="669">
        <v>1747</v>
      </c>
      <c r="M51" s="669">
        <v>1853</v>
      </c>
      <c r="N51" s="669">
        <v>1969</v>
      </c>
      <c r="O51" s="670">
        <f>SUM(C51:N51)</f>
        <v>16996</v>
      </c>
      <c r="P51" s="731">
        <f>energo_jaunais!D25</f>
        <v>4.43</v>
      </c>
      <c r="Q51" s="667">
        <f>O51</f>
        <v>16996</v>
      </c>
      <c r="R51" s="731">
        <f>energo_jaunais!M25</f>
        <v>1.3</v>
      </c>
      <c r="S51" s="667">
        <f>R51*8*365</f>
        <v>3796</v>
      </c>
    </row>
    <row r="52" spans="1:20" s="671" customFormat="1" ht="15.75">
      <c r="A52" s="2278"/>
      <c r="B52" s="668" t="s">
        <v>817</v>
      </c>
      <c r="C52" s="669">
        <v>6397</v>
      </c>
      <c r="D52" s="669">
        <v>7466</v>
      </c>
      <c r="E52" s="669">
        <v>5270</v>
      </c>
      <c r="F52" s="669">
        <v>3606</v>
      </c>
      <c r="G52" s="669">
        <v>2247</v>
      </c>
      <c r="H52" s="669">
        <v>1447</v>
      </c>
      <c r="I52" s="669">
        <v>1707</v>
      </c>
      <c r="J52" s="669">
        <v>2149</v>
      </c>
      <c r="K52" s="669">
        <v>1978</v>
      </c>
      <c r="L52" s="669">
        <v>4353</v>
      </c>
      <c r="M52" s="669">
        <v>4933</v>
      </c>
      <c r="N52" s="669">
        <v>7006</v>
      </c>
      <c r="O52" s="670">
        <f>SUM(C52:N52)</f>
        <v>48559</v>
      </c>
      <c r="P52" s="731">
        <f>energo_jaunais!G25-P51</f>
        <v>51.8</v>
      </c>
      <c r="Q52" s="667">
        <f>O52+O53</f>
        <v>53099</v>
      </c>
      <c r="R52" s="721">
        <f>energo_jaunais!W25-R51</f>
        <v>65.899999999999991</v>
      </c>
      <c r="S52" s="722">
        <f>R52/P52*Q52</f>
        <v>67552.588803088802</v>
      </c>
    </row>
    <row r="53" spans="1:20" s="671" customFormat="1" ht="16.5" thickBot="1">
      <c r="A53" s="2279"/>
      <c r="B53" s="672" t="s">
        <v>816</v>
      </c>
      <c r="C53" s="673">
        <v>640</v>
      </c>
      <c r="D53" s="673">
        <v>579</v>
      </c>
      <c r="E53" s="673">
        <v>431</v>
      </c>
      <c r="F53" s="673">
        <v>438</v>
      </c>
      <c r="G53" s="673">
        <v>164</v>
      </c>
      <c r="H53" s="673">
        <v>450</v>
      </c>
      <c r="I53" s="673">
        <v>314</v>
      </c>
      <c r="J53" s="673">
        <v>124</v>
      </c>
      <c r="K53" s="673">
        <v>70</v>
      </c>
      <c r="L53" s="673">
        <v>399</v>
      </c>
      <c r="M53" s="673">
        <v>381</v>
      </c>
      <c r="N53" s="673">
        <v>550</v>
      </c>
      <c r="O53" s="674">
        <f>SUM(C53:N53)</f>
        <v>4540</v>
      </c>
    </row>
    <row r="54" spans="1:20" s="671" customFormat="1" ht="16.5" thickBot="1">
      <c r="A54" s="706"/>
      <c r="B54" s="716"/>
      <c r="C54" s="717"/>
      <c r="D54" s="718"/>
      <c r="E54" s="718"/>
      <c r="F54" s="718"/>
      <c r="G54" s="718"/>
      <c r="H54" s="718"/>
      <c r="I54" s="718"/>
      <c r="J54" s="718"/>
      <c r="K54" s="718"/>
      <c r="L54" s="718"/>
      <c r="M54" s="718"/>
      <c r="N54" s="718"/>
      <c r="O54" s="719"/>
      <c r="P54" s="728"/>
      <c r="Q54" s="728">
        <f>SUM(Q52:Q53)</f>
        <v>53099</v>
      </c>
      <c r="R54" s="728"/>
      <c r="S54" s="728">
        <f>SUM(S52:S53)</f>
        <v>67552.588803088802</v>
      </c>
      <c r="T54" s="732">
        <f>S54/Q54-1</f>
        <v>0.27220077220077221</v>
      </c>
    </row>
    <row r="55" spans="1:20" s="671" customFormat="1" ht="27" customHeight="1">
      <c r="A55" s="2280">
        <v>12</v>
      </c>
      <c r="B55" s="686" t="s">
        <v>825</v>
      </c>
      <c r="C55" s="2283"/>
      <c r="D55" s="2284"/>
      <c r="E55" s="2284"/>
      <c r="F55" s="2284"/>
      <c r="G55" s="2284"/>
      <c r="H55" s="2284"/>
      <c r="I55" s="2284"/>
      <c r="J55" s="2284"/>
      <c r="K55" s="2284"/>
      <c r="L55" s="2284"/>
      <c r="M55" s="2284"/>
      <c r="N55" s="2284"/>
      <c r="O55" s="2285"/>
    </row>
    <row r="56" spans="1:20" s="671" customFormat="1" ht="15.75">
      <c r="A56" s="2281"/>
      <c r="B56" s="705" t="s">
        <v>834</v>
      </c>
      <c r="C56" s="713"/>
      <c r="D56" s="714"/>
      <c r="E56" s="714"/>
      <c r="F56" s="714"/>
      <c r="G56" s="714"/>
      <c r="H56" s="714"/>
      <c r="I56" s="714"/>
      <c r="J56" s="714"/>
      <c r="K56" s="714"/>
      <c r="L56" s="714"/>
      <c r="M56" s="714"/>
      <c r="N56" s="714"/>
      <c r="O56" s="715"/>
      <c r="P56" s="731">
        <f>energo_jaunais!D28</f>
        <v>2.4</v>
      </c>
      <c r="Q56" s="667">
        <f>P56*8*365</f>
        <v>7008</v>
      </c>
      <c r="R56" s="731">
        <f>energo_jaunais!M28</f>
        <v>1.2</v>
      </c>
      <c r="S56" s="667">
        <f>R56*8*365</f>
        <v>3504</v>
      </c>
    </row>
    <row r="57" spans="1:20" s="671" customFormat="1" ht="16.5" thickBot="1">
      <c r="A57" s="2282"/>
      <c r="B57" s="687" t="s">
        <v>815</v>
      </c>
      <c r="C57" s="688">
        <v>4248</v>
      </c>
      <c r="D57" s="688">
        <v>4313</v>
      </c>
      <c r="E57" s="688">
        <v>3285</v>
      </c>
      <c r="F57" s="688">
        <v>2606</v>
      </c>
      <c r="G57" s="688">
        <v>992</v>
      </c>
      <c r="H57" s="688">
        <v>672</v>
      </c>
      <c r="I57" s="688">
        <v>586</v>
      </c>
      <c r="J57" s="688">
        <v>756</v>
      </c>
      <c r="K57" s="688">
        <v>1119</v>
      </c>
      <c r="L57" s="688">
        <v>2411</v>
      </c>
      <c r="M57" s="688">
        <v>3571</v>
      </c>
      <c r="N57" s="688">
        <v>4192</v>
      </c>
      <c r="O57" s="689">
        <f>SUM(C57:N57)</f>
        <v>28751</v>
      </c>
      <c r="P57" s="731">
        <f>energo_jaunais!G28-energo_2012!P56</f>
        <v>6</v>
      </c>
      <c r="Q57" s="671">
        <f>O57-Q56</f>
        <v>21743</v>
      </c>
      <c r="R57" s="721">
        <f>energo_jaunais!W28-R56</f>
        <v>21.6</v>
      </c>
      <c r="S57" s="722">
        <f>R57/P57*Q57</f>
        <v>78274.8</v>
      </c>
    </row>
    <row r="58" spans="1:20" s="671" customFormat="1" ht="16.5" thickBot="1">
      <c r="A58" s="735"/>
      <c r="B58" s="740"/>
      <c r="C58" s="713"/>
      <c r="D58" s="714"/>
      <c r="E58" s="714"/>
      <c r="F58" s="714"/>
      <c r="G58" s="714"/>
      <c r="H58" s="714"/>
      <c r="I58" s="714"/>
      <c r="J58" s="714"/>
      <c r="K58" s="714"/>
      <c r="L58" s="714"/>
      <c r="M58" s="714"/>
      <c r="N58" s="714"/>
      <c r="O58" s="741"/>
      <c r="P58" s="728"/>
      <c r="Q58" s="728">
        <f>SUM(Q56:Q57)</f>
        <v>28751</v>
      </c>
      <c r="R58" s="728"/>
      <c r="S58" s="728">
        <f>SUM(S56:S57)</f>
        <v>81778.8</v>
      </c>
      <c r="T58" s="732">
        <f>S58/Q58-1</f>
        <v>1.8443810650064347</v>
      </c>
    </row>
    <row r="59" spans="1:20" s="671" customFormat="1" ht="27" customHeight="1">
      <c r="A59" s="2257">
        <v>13</v>
      </c>
      <c r="B59" s="666" t="s">
        <v>826</v>
      </c>
      <c r="C59" s="2266"/>
      <c r="D59" s="2267"/>
      <c r="E59" s="2267"/>
      <c r="F59" s="2267"/>
      <c r="G59" s="2267"/>
      <c r="H59" s="2267"/>
      <c r="I59" s="2267"/>
      <c r="J59" s="2267"/>
      <c r="K59" s="2267"/>
      <c r="L59" s="2267"/>
      <c r="M59" s="2267"/>
      <c r="N59" s="2267"/>
      <c r="O59" s="2268"/>
    </row>
    <row r="60" spans="1:20" s="671" customFormat="1" ht="15.75">
      <c r="A60" s="2265"/>
      <c r="B60" s="705" t="s">
        <v>834</v>
      </c>
      <c r="C60" s="707"/>
      <c r="D60" s="708"/>
      <c r="E60" s="708"/>
      <c r="F60" s="708"/>
      <c r="G60" s="708"/>
      <c r="H60" s="708"/>
      <c r="I60" s="708"/>
      <c r="J60" s="708"/>
      <c r="K60" s="708"/>
      <c r="L60" s="708"/>
      <c r="M60" s="708"/>
      <c r="N60" s="708"/>
      <c r="O60" s="709"/>
      <c r="P60" s="731">
        <f>energo_jaunais!D32</f>
        <v>5.25</v>
      </c>
      <c r="Q60" s="667">
        <f>P60*8*365</f>
        <v>15330</v>
      </c>
      <c r="R60" s="731">
        <f>energo_jaunais!M32</f>
        <v>1.3</v>
      </c>
      <c r="S60" s="667">
        <f>R60*8*365</f>
        <v>3796</v>
      </c>
    </row>
    <row r="61" spans="1:20" s="671" customFormat="1" ht="16.5" thickBot="1">
      <c r="A61" s="2264"/>
      <c r="B61" s="672" t="s">
        <v>815</v>
      </c>
      <c r="C61" s="690">
        <v>10670</v>
      </c>
      <c r="D61" s="690">
        <v>11228</v>
      </c>
      <c r="E61" s="690">
        <v>8295</v>
      </c>
      <c r="F61" s="690">
        <v>6458</v>
      </c>
      <c r="G61" s="690">
        <v>5234</v>
      </c>
      <c r="H61" s="690">
        <v>3430</v>
      </c>
      <c r="I61" s="690">
        <v>3262</v>
      </c>
      <c r="J61" s="690">
        <v>3718</v>
      </c>
      <c r="K61" s="690">
        <v>4373</v>
      </c>
      <c r="L61" s="690">
        <v>6708</v>
      </c>
      <c r="M61" s="690">
        <v>8847</v>
      </c>
      <c r="N61" s="690">
        <v>8421</v>
      </c>
      <c r="O61" s="674">
        <f>SUM(C61:N61)</f>
        <v>80644</v>
      </c>
      <c r="P61" s="731">
        <f>energo_jaunais!G32-P60</f>
        <v>38</v>
      </c>
      <c r="Q61" s="667">
        <f>O61-Q60</f>
        <v>65314</v>
      </c>
      <c r="R61" s="721">
        <f>energo_jaunais!W32-R60</f>
        <v>51.900000000000006</v>
      </c>
      <c r="S61" s="722">
        <f>R61/P61*Q61</f>
        <v>89205.173684210531</v>
      </c>
    </row>
    <row r="62" spans="1:20" s="671" customFormat="1" ht="16.5" thickBot="1">
      <c r="A62" s="734"/>
      <c r="B62" s="716"/>
      <c r="C62" s="736"/>
      <c r="D62" s="737"/>
      <c r="E62" s="737"/>
      <c r="F62" s="737"/>
      <c r="G62" s="737"/>
      <c r="H62" s="737"/>
      <c r="I62" s="737"/>
      <c r="J62" s="737"/>
      <c r="K62" s="737"/>
      <c r="L62" s="737"/>
      <c r="M62" s="737"/>
      <c r="N62" s="737"/>
      <c r="O62" s="719"/>
      <c r="P62" s="728"/>
      <c r="Q62" s="728">
        <f>SUM(Q60:Q61)</f>
        <v>80644</v>
      </c>
      <c r="R62" s="728"/>
      <c r="S62" s="728">
        <f>SUM(S60:S61)</f>
        <v>93001.173684210531</v>
      </c>
      <c r="T62" s="732">
        <f>S62/Q62-1</f>
        <v>0.15323116021291772</v>
      </c>
    </row>
    <row r="63" spans="1:20" s="671" customFormat="1" ht="27" customHeight="1">
      <c r="A63" s="2257">
        <v>14</v>
      </c>
      <c r="B63" s="666" t="s">
        <v>782</v>
      </c>
      <c r="C63" s="2266"/>
      <c r="D63" s="2267"/>
      <c r="E63" s="2267"/>
      <c r="F63" s="2267"/>
      <c r="G63" s="2267"/>
      <c r="H63" s="2267"/>
      <c r="I63" s="2267"/>
      <c r="J63" s="2267"/>
      <c r="K63" s="2267"/>
      <c r="L63" s="2267"/>
      <c r="M63" s="2267"/>
      <c r="N63" s="2267"/>
      <c r="O63" s="2268"/>
    </row>
    <row r="64" spans="1:20" s="671" customFormat="1" ht="15.75">
      <c r="A64" s="2269"/>
      <c r="B64" s="705" t="s">
        <v>834</v>
      </c>
      <c r="C64" s="696"/>
      <c r="D64" s="697"/>
      <c r="E64" s="697"/>
      <c r="F64" s="697"/>
      <c r="G64" s="697"/>
      <c r="H64" s="697"/>
      <c r="I64" s="697"/>
      <c r="J64" s="697"/>
      <c r="K64" s="697"/>
      <c r="L64" s="697"/>
      <c r="M64" s="697"/>
      <c r="N64" s="697"/>
      <c r="O64" s="698"/>
      <c r="P64" s="671">
        <f>energo_jaunais!D31</f>
        <v>1.53</v>
      </c>
      <c r="Q64" s="667">
        <f>P64*8*365</f>
        <v>4467.6000000000004</v>
      </c>
      <c r="R64" s="731">
        <f>energo_jaunais!M31</f>
        <v>1.3</v>
      </c>
      <c r="S64" s="667">
        <f>R64*8*365</f>
        <v>3796</v>
      </c>
    </row>
    <row r="65" spans="1:20" s="671" customFormat="1" ht="15.75">
      <c r="A65" s="2270"/>
      <c r="B65" s="668" t="s">
        <v>817</v>
      </c>
      <c r="C65" s="691">
        <v>1820</v>
      </c>
      <c r="D65" s="691">
        <v>3323</v>
      </c>
      <c r="E65" s="691">
        <v>3024</v>
      </c>
      <c r="F65" s="691">
        <v>2697</v>
      </c>
      <c r="G65" s="691">
        <v>1868</v>
      </c>
      <c r="H65" s="691">
        <v>1450</v>
      </c>
      <c r="I65" s="691">
        <v>1321</v>
      </c>
      <c r="J65" s="691">
        <v>1344</v>
      </c>
      <c r="K65" s="691">
        <v>1849</v>
      </c>
      <c r="L65" s="691">
        <v>3102</v>
      </c>
      <c r="M65" s="691">
        <v>3040</v>
      </c>
      <c r="N65" s="691">
        <v>3125</v>
      </c>
      <c r="O65" s="670">
        <f>SUM(C65:N65)</f>
        <v>27963</v>
      </c>
      <c r="P65" s="671">
        <f>energo_jaunais!G31+energo_jaunais!G30-P64</f>
        <v>65</v>
      </c>
      <c r="Q65" s="667">
        <f>O66-Q64+O65</f>
        <v>117934.39999999999</v>
      </c>
      <c r="R65" s="721">
        <f>energo_jaunais!W31+energo_jaunais!W30</f>
        <v>82.199999999999989</v>
      </c>
      <c r="S65" s="722">
        <f>R65/P65*Q65</f>
        <v>149141.65661538459</v>
      </c>
    </row>
    <row r="66" spans="1:20" s="671" customFormat="1" ht="30.75" thickBot="1">
      <c r="A66" s="2264"/>
      <c r="B66" s="672" t="s">
        <v>827</v>
      </c>
      <c r="C66" s="690">
        <v>14987</v>
      </c>
      <c r="D66" s="690">
        <v>16380</v>
      </c>
      <c r="E66" s="690">
        <v>11211</v>
      </c>
      <c r="F66" s="690">
        <v>7178</v>
      </c>
      <c r="G66" s="690">
        <v>1810</v>
      </c>
      <c r="H66" s="690">
        <v>1610</v>
      </c>
      <c r="I66" s="690">
        <v>1826</v>
      </c>
      <c r="J66" s="690">
        <v>2027</v>
      </c>
      <c r="K66" s="690">
        <v>2007</v>
      </c>
      <c r="L66" s="690">
        <v>8987</v>
      </c>
      <c r="M66" s="690">
        <v>11816</v>
      </c>
      <c r="N66" s="690">
        <v>14600</v>
      </c>
      <c r="O66" s="674">
        <f>SUM(C66:N66)</f>
        <v>94439</v>
      </c>
    </row>
    <row r="67" spans="1:20" s="671" customFormat="1" ht="16.5" thickBot="1">
      <c r="A67" s="734"/>
      <c r="B67" s="716"/>
      <c r="C67" s="736"/>
      <c r="D67" s="737"/>
      <c r="E67" s="737"/>
      <c r="F67" s="737"/>
      <c r="G67" s="737"/>
      <c r="H67" s="737"/>
      <c r="I67" s="737"/>
      <c r="J67" s="737"/>
      <c r="K67" s="737"/>
      <c r="L67" s="737"/>
      <c r="M67" s="737"/>
      <c r="N67" s="737"/>
      <c r="O67" s="719"/>
      <c r="P67" s="728"/>
      <c r="Q67" s="728">
        <f>SUM(Q65:Q66)</f>
        <v>117934.39999999999</v>
      </c>
      <c r="R67" s="728"/>
      <c r="S67" s="728">
        <f>SUM(S65:S66)</f>
        <v>149141.65661538459</v>
      </c>
      <c r="T67" s="732">
        <f>S67/Q67-1</f>
        <v>0.26461538461538447</v>
      </c>
    </row>
    <row r="68" spans="1:20" s="671" customFormat="1" ht="27" customHeight="1">
      <c r="A68" s="2257">
        <v>15</v>
      </c>
      <c r="B68" s="666" t="s">
        <v>828</v>
      </c>
      <c r="C68" s="2271"/>
      <c r="D68" s="2272"/>
      <c r="E68" s="2272"/>
      <c r="F68" s="2272"/>
      <c r="G68" s="2272"/>
      <c r="H68" s="2272"/>
      <c r="I68" s="2272"/>
      <c r="J68" s="2272"/>
      <c r="K68" s="2272"/>
      <c r="L68" s="2272"/>
      <c r="M68" s="2272"/>
      <c r="N68" s="2272"/>
      <c r="O68" s="2273"/>
    </row>
    <row r="69" spans="1:20" s="671" customFormat="1" ht="15.75">
      <c r="A69" s="2258"/>
      <c r="B69" s="676" t="s">
        <v>829</v>
      </c>
      <c r="C69" s="692">
        <v>1760</v>
      </c>
      <c r="D69" s="692">
        <v>1920</v>
      </c>
      <c r="E69" s="692">
        <v>1570</v>
      </c>
      <c r="F69" s="692">
        <v>1240</v>
      </c>
      <c r="G69" s="692">
        <v>1110</v>
      </c>
      <c r="H69" s="692">
        <v>720</v>
      </c>
      <c r="I69" s="692">
        <v>730</v>
      </c>
      <c r="J69" s="692">
        <v>1200</v>
      </c>
      <c r="K69" s="692">
        <v>1100</v>
      </c>
      <c r="L69" s="692">
        <v>1400</v>
      </c>
      <c r="M69" s="692">
        <v>2000</v>
      </c>
      <c r="N69" s="692">
        <v>1720</v>
      </c>
      <c r="O69" s="670">
        <f>C69+D69+E69+F69+G69+H69+I69+J69+K69+L69+M69+N69</f>
        <v>16470</v>
      </c>
      <c r="P69" s="731">
        <f>energo_jaunais!D33</f>
        <v>4.5</v>
      </c>
      <c r="Q69" s="667">
        <f>O69</f>
        <v>16470</v>
      </c>
      <c r="R69" s="731">
        <f>energo_jaunais!M33</f>
        <v>1</v>
      </c>
      <c r="S69" s="667">
        <f>R69*8*365</f>
        <v>2920</v>
      </c>
    </row>
    <row r="70" spans="1:20" s="671" customFormat="1" ht="16.5" thickBot="1">
      <c r="A70" s="2258"/>
      <c r="B70" s="672" t="s">
        <v>817</v>
      </c>
      <c r="C70" s="690">
        <v>1939</v>
      </c>
      <c r="D70" s="690">
        <v>2773</v>
      </c>
      <c r="E70" s="690">
        <v>1723</v>
      </c>
      <c r="F70" s="690">
        <v>1200</v>
      </c>
      <c r="G70" s="690">
        <v>720</v>
      </c>
      <c r="H70" s="690">
        <v>585</v>
      </c>
      <c r="I70" s="690">
        <v>420</v>
      </c>
      <c r="J70" s="690">
        <v>503</v>
      </c>
      <c r="K70" s="690">
        <v>470</v>
      </c>
      <c r="L70" s="690">
        <v>510</v>
      </c>
      <c r="M70" s="690">
        <v>1467</v>
      </c>
      <c r="N70" s="690">
        <v>1780</v>
      </c>
      <c r="O70" s="674">
        <f>C70+D70+E70+F70+G70+H70+I70+J70+K70+L70+M70+N70</f>
        <v>14090</v>
      </c>
      <c r="P70" s="731">
        <f>energo_jaunais!G33-P69</f>
        <v>15</v>
      </c>
      <c r="Q70" s="671">
        <f>O70</f>
        <v>14090</v>
      </c>
      <c r="R70" s="721">
        <f>energo_jaunais!W33-R69</f>
        <v>30.3</v>
      </c>
      <c r="S70" s="722">
        <f>R70/P70*Q70</f>
        <v>28461.8</v>
      </c>
    </row>
    <row r="71" spans="1:20" s="671" customFormat="1" ht="16.5" thickBot="1">
      <c r="A71" s="738"/>
      <c r="B71" s="716"/>
      <c r="C71" s="736"/>
      <c r="D71" s="737"/>
      <c r="E71" s="737"/>
      <c r="F71" s="737"/>
      <c r="G71" s="737"/>
      <c r="H71" s="737"/>
      <c r="I71" s="737"/>
      <c r="J71" s="737"/>
      <c r="K71" s="737"/>
      <c r="L71" s="737"/>
      <c r="M71" s="737"/>
      <c r="N71" s="737"/>
      <c r="O71" s="719"/>
      <c r="P71" s="728"/>
      <c r="Q71" s="728">
        <f>SUM(Q69:Q70)</f>
        <v>30560</v>
      </c>
      <c r="R71" s="728"/>
      <c r="S71" s="728">
        <f>SUM(S69:S70)</f>
        <v>31381.8</v>
      </c>
      <c r="T71" s="732">
        <f>S71/Q71-1</f>
        <v>2.6891361256544455E-2</v>
      </c>
    </row>
    <row r="72" spans="1:20" s="671" customFormat="1" ht="27" customHeight="1">
      <c r="A72" s="2257">
        <v>16</v>
      </c>
      <c r="B72" s="693" t="s">
        <v>793</v>
      </c>
      <c r="C72" s="2261"/>
      <c r="D72" s="2262"/>
      <c r="E72" s="2262"/>
      <c r="F72" s="2262"/>
      <c r="G72" s="2262"/>
      <c r="H72" s="2262"/>
      <c r="I72" s="2262"/>
      <c r="J72" s="2262"/>
      <c r="K72" s="2262"/>
      <c r="L72" s="2262"/>
      <c r="M72" s="2262"/>
      <c r="N72" s="2262"/>
      <c r="O72" s="2263"/>
    </row>
    <row r="73" spans="1:20" s="671" customFormat="1" ht="17.25" customHeight="1">
      <c r="A73" s="2258"/>
      <c r="B73" s="668" t="s">
        <v>830</v>
      </c>
      <c r="C73" s="669">
        <v>1491</v>
      </c>
      <c r="D73" s="669">
        <v>1200</v>
      </c>
      <c r="E73" s="669">
        <v>936</v>
      </c>
      <c r="F73" s="669">
        <v>863</v>
      </c>
      <c r="G73" s="669">
        <v>554</v>
      </c>
      <c r="H73" s="669">
        <v>550</v>
      </c>
      <c r="I73" s="669">
        <v>674</v>
      </c>
      <c r="J73" s="669">
        <v>951</v>
      </c>
      <c r="K73" s="669">
        <v>878</v>
      </c>
      <c r="L73" s="669">
        <v>1366</v>
      </c>
      <c r="M73" s="669">
        <v>1436</v>
      </c>
      <c r="N73" s="669">
        <v>1649</v>
      </c>
      <c r="O73" s="670">
        <f>SUM(C73:N73)</f>
        <v>12548</v>
      </c>
      <c r="P73" s="731">
        <f>energo_jaunais!D34</f>
        <v>5</v>
      </c>
      <c r="Q73" s="667">
        <f>O73</f>
        <v>12548</v>
      </c>
      <c r="R73" s="731">
        <f>energo_jaunais!M34</f>
        <v>1.7</v>
      </c>
      <c r="S73" s="667">
        <f>R73*8*365</f>
        <v>4964</v>
      </c>
    </row>
    <row r="74" spans="1:20" s="671" customFormat="1" ht="17.25" customHeight="1">
      <c r="A74" s="2259"/>
      <c r="B74" s="668" t="s">
        <v>816</v>
      </c>
      <c r="C74" s="669">
        <v>6606</v>
      </c>
      <c r="D74" s="669">
        <v>8593</v>
      </c>
      <c r="E74" s="669">
        <v>3195</v>
      </c>
      <c r="F74" s="669">
        <v>5895</v>
      </c>
      <c r="G74" s="669">
        <v>6310</v>
      </c>
      <c r="H74" s="669">
        <v>7181</v>
      </c>
      <c r="I74" s="669">
        <v>8643</v>
      </c>
      <c r="J74" s="669">
        <v>7075</v>
      </c>
      <c r="K74" s="669">
        <v>6970</v>
      </c>
      <c r="L74" s="669">
        <v>6654</v>
      </c>
      <c r="M74" s="669">
        <v>3275</v>
      </c>
      <c r="N74" s="669">
        <v>4020</v>
      </c>
      <c r="O74" s="670">
        <f>SUM(C74:N74)</f>
        <v>74417</v>
      </c>
      <c r="P74" s="731">
        <f>energo_jaunais!G34-P73</f>
        <v>127.13</v>
      </c>
      <c r="Q74" s="671">
        <f>O75+O74</f>
        <v>201014</v>
      </c>
      <c r="R74" s="721">
        <f>energo_jaunais!W34-R73</f>
        <v>141.02999999999997</v>
      </c>
      <c r="S74" s="722">
        <f>R74/P74*Q74</f>
        <v>222992.24746322661</v>
      </c>
    </row>
    <row r="75" spans="1:20" s="671" customFormat="1" ht="17.25" customHeight="1" thickBot="1">
      <c r="A75" s="2260"/>
      <c r="B75" s="672" t="s">
        <v>831</v>
      </c>
      <c r="C75" s="694">
        <v>16594</v>
      </c>
      <c r="D75" s="694">
        <v>18447</v>
      </c>
      <c r="E75" s="694">
        <v>11109</v>
      </c>
      <c r="F75" s="694">
        <v>11442</v>
      </c>
      <c r="G75" s="694">
        <v>7296</v>
      </c>
      <c r="H75" s="694">
        <v>6229</v>
      </c>
      <c r="I75" s="694">
        <v>5043</v>
      </c>
      <c r="J75" s="694">
        <v>4574</v>
      </c>
      <c r="K75" s="694">
        <v>7352</v>
      </c>
      <c r="L75" s="694">
        <v>11660</v>
      </c>
      <c r="M75" s="694">
        <v>12861</v>
      </c>
      <c r="N75" s="694">
        <v>13990</v>
      </c>
      <c r="O75" s="674">
        <f>SUM(C75:N75)</f>
        <v>126597</v>
      </c>
      <c r="P75" s="728"/>
      <c r="Q75" s="728">
        <f>SUM(Q73:Q74)</f>
        <v>213562</v>
      </c>
      <c r="R75" s="728"/>
      <c r="S75" s="728">
        <f>SUM(S73:S74)</f>
        <v>227956.24746322661</v>
      </c>
      <c r="T75" s="732">
        <f>S75/Q75-1</f>
        <v>6.7400789762348312E-2</v>
      </c>
    </row>
    <row r="76" spans="1:20" s="671" customFormat="1" ht="17.25" customHeight="1" thickBot="1">
      <c r="A76" s="739"/>
      <c r="B76" s="716"/>
      <c r="C76" s="707"/>
      <c r="D76" s="708"/>
      <c r="E76" s="708"/>
      <c r="F76" s="708"/>
      <c r="G76" s="708"/>
      <c r="H76" s="708"/>
      <c r="I76" s="708"/>
      <c r="J76" s="708"/>
      <c r="K76" s="708"/>
      <c r="L76" s="708"/>
      <c r="M76" s="708"/>
      <c r="N76" s="708"/>
      <c r="O76" s="719"/>
    </row>
    <row r="77" spans="1:20" s="671" customFormat="1" ht="27" customHeight="1">
      <c r="A77" s="2257">
        <v>17</v>
      </c>
      <c r="B77" s="693" t="s">
        <v>797</v>
      </c>
      <c r="C77" s="2261"/>
      <c r="D77" s="2262"/>
      <c r="E77" s="2262"/>
      <c r="F77" s="2262"/>
      <c r="G77" s="2262"/>
      <c r="H77" s="2262"/>
      <c r="I77" s="2262"/>
      <c r="J77" s="2262"/>
      <c r="K77" s="2262"/>
      <c r="L77" s="2262"/>
      <c r="M77" s="2262"/>
      <c r="N77" s="2262"/>
      <c r="O77" s="2263"/>
    </row>
    <row r="78" spans="1:20" s="671" customFormat="1" ht="18" customHeight="1" thickBot="1">
      <c r="A78" s="2264"/>
      <c r="B78" s="695" t="s">
        <v>832</v>
      </c>
      <c r="C78" s="690">
        <v>1976</v>
      </c>
      <c r="D78" s="690">
        <v>1547</v>
      </c>
      <c r="E78" s="690">
        <v>1449</v>
      </c>
      <c r="F78" s="690">
        <v>1084</v>
      </c>
      <c r="G78" s="690">
        <v>725</v>
      </c>
      <c r="H78" s="690">
        <v>510</v>
      </c>
      <c r="I78" s="690">
        <v>659</v>
      </c>
      <c r="J78" s="690">
        <v>922</v>
      </c>
      <c r="K78" s="690">
        <v>1275</v>
      </c>
      <c r="L78" s="690">
        <v>1449</v>
      </c>
      <c r="M78" s="690">
        <v>1849</v>
      </c>
      <c r="N78" s="690">
        <v>2174</v>
      </c>
      <c r="O78" s="674">
        <f>C78+D78+E78+F78+G78+H78+I78+J78+K78+L78+M78+N78</f>
        <v>15619</v>
      </c>
      <c r="P78" s="731">
        <f>energo_jaunais!D36</f>
        <v>4.25</v>
      </c>
      <c r="Q78" s="667">
        <f>O78</f>
        <v>15619</v>
      </c>
      <c r="R78" s="731">
        <f>energo_jaunais!M36</f>
        <v>1.7</v>
      </c>
      <c r="S78" s="667">
        <f>R78*8*365</f>
        <v>4964</v>
      </c>
    </row>
    <row r="79" spans="1:20" ht="15.75">
      <c r="P79" s="728"/>
      <c r="Q79" s="728">
        <f>SUM(Q77:Q78)</f>
        <v>15619</v>
      </c>
      <c r="R79" s="728"/>
      <c r="S79" s="728">
        <f>SUM(S77:S78)</f>
        <v>4964</v>
      </c>
      <c r="T79" s="732">
        <f>S79/Q79-1</f>
        <v>-0.68218195787182279</v>
      </c>
    </row>
    <row r="80" spans="1:20">
      <c r="R80" s="660"/>
    </row>
    <row r="81" spans="15:20" ht="18">
      <c r="O81" s="742" t="s">
        <v>160</v>
      </c>
      <c r="P81" s="743"/>
      <c r="Q81" s="742">
        <f>Q7+Q12+Q17+Q22+Q27+Q32+Q37+Q41+Q45+Q49+Q54+Q58+Q62+Q67+Q71+Q75+Q79</f>
        <v>966758.40000000002</v>
      </c>
      <c r="R81" s="743"/>
      <c r="S81" s="742">
        <f>S7+S12+S17+S22+S27+S32+S37+S41+S45+S49+S54+S58+S62+S67+S71+S75+S79</f>
        <v>1602848.5320295023</v>
      </c>
      <c r="T81" s="745">
        <f>S81/Q81-1</f>
        <v>0.6579618362038564</v>
      </c>
    </row>
    <row r="82" spans="15:20" ht="18">
      <c r="O82" s="742"/>
      <c r="P82" s="743"/>
      <c r="Q82" s="743"/>
      <c r="R82" s="744"/>
      <c r="S82" s="743"/>
      <c r="T82" s="743"/>
    </row>
  </sheetData>
  <mergeCells count="34">
    <mergeCell ref="A13:A16"/>
    <mergeCell ref="B1:N1"/>
    <mergeCell ref="A3:A6"/>
    <mergeCell ref="C3:O3"/>
    <mergeCell ref="A8:A11"/>
    <mergeCell ref="C8:O8"/>
    <mergeCell ref="A18:A20"/>
    <mergeCell ref="C18:O18"/>
    <mergeCell ref="A23:A26"/>
    <mergeCell ref="C23:O23"/>
    <mergeCell ref="A28:A30"/>
    <mergeCell ref="C28:O28"/>
    <mergeCell ref="A33:A36"/>
    <mergeCell ref="C33:O33"/>
    <mergeCell ref="A38:A40"/>
    <mergeCell ref="C38:O38"/>
    <mergeCell ref="A42:A44"/>
    <mergeCell ref="C42:O42"/>
    <mergeCell ref="A46:A48"/>
    <mergeCell ref="C46:O46"/>
    <mergeCell ref="A50:A53"/>
    <mergeCell ref="C50:O50"/>
    <mergeCell ref="A55:A57"/>
    <mergeCell ref="C55:O55"/>
    <mergeCell ref="A72:A75"/>
    <mergeCell ref="C72:O72"/>
    <mergeCell ref="A77:A78"/>
    <mergeCell ref="C77:O77"/>
    <mergeCell ref="A59:A61"/>
    <mergeCell ref="C59:O59"/>
    <mergeCell ref="A63:A66"/>
    <mergeCell ref="C63:O63"/>
    <mergeCell ref="A68:A70"/>
    <mergeCell ref="C68:O68"/>
  </mergeCells>
  <pageMargins left="0.7" right="0.7" top="0.75" bottom="0.75" header="0.3" footer="0.3"/>
  <pageSetup paperSize="9" orientation="portrait" horizontalDpi="1200" verticalDpi="1200"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dimension ref="A2:W36"/>
  <sheetViews>
    <sheetView topLeftCell="J28" workbookViewId="0">
      <selection activeCell="O43" sqref="O43"/>
    </sheetView>
  </sheetViews>
  <sheetFormatPr defaultRowHeight="12.75"/>
  <cols>
    <col min="1" max="1" width="3" customWidth="1"/>
    <col min="2" max="2" width="18.7109375" customWidth="1"/>
    <col min="3" max="3" width="9.5703125" customWidth="1"/>
    <col min="4" max="4" width="13.28515625" customWidth="1"/>
    <col min="5" max="5" width="10.5703125" customWidth="1"/>
    <col min="6" max="7" width="10.42578125" customWidth="1"/>
    <col min="8" max="8" width="13.5703125" customWidth="1"/>
    <col min="9" max="9" width="12.42578125" customWidth="1"/>
    <col min="10" max="10" width="11.85546875" customWidth="1"/>
    <col min="11" max="11" width="16" customWidth="1"/>
    <col min="12" max="12" width="5.42578125" customWidth="1"/>
    <col min="13" max="13" width="10.85546875" customWidth="1"/>
    <col min="14" max="14" width="11.85546875" customWidth="1"/>
    <col min="15" max="15" width="12.5703125" customWidth="1"/>
    <col min="16" max="16" width="11.7109375" customWidth="1"/>
    <col min="17" max="18" width="11.85546875" customWidth="1"/>
    <col min="19" max="19" width="16.28515625" customWidth="1"/>
    <col min="20" max="21" width="13.28515625" customWidth="1"/>
    <col min="22" max="22" width="12.42578125" customWidth="1"/>
    <col min="23" max="23" width="13.28515625" customWidth="1"/>
  </cols>
  <sheetData>
    <row r="2" spans="1:23" ht="21" customHeight="1">
      <c r="A2" s="2364" t="s">
        <v>737</v>
      </c>
      <c r="B2" s="2365" t="s">
        <v>738</v>
      </c>
      <c r="C2" s="2361" t="s">
        <v>739</v>
      </c>
      <c r="D2" s="2362"/>
      <c r="E2" s="2362"/>
      <c r="F2" s="2362"/>
      <c r="G2" s="2363"/>
      <c r="H2" s="2365" t="s">
        <v>740</v>
      </c>
      <c r="I2" s="2365"/>
      <c r="J2" s="2365"/>
      <c r="K2" s="2366" t="s">
        <v>741</v>
      </c>
      <c r="M2" s="2361" t="s">
        <v>742</v>
      </c>
      <c r="N2" s="2362"/>
      <c r="O2" s="2362"/>
      <c r="P2" s="2362"/>
      <c r="Q2" s="2362"/>
      <c r="R2" s="2362"/>
      <c r="S2" s="2362"/>
      <c r="T2" s="2362"/>
      <c r="U2" s="2362"/>
      <c r="V2" s="2362"/>
      <c r="W2" s="2363"/>
    </row>
    <row r="3" spans="1:23" ht="59.25" customHeight="1">
      <c r="A3" s="2364"/>
      <c r="B3" s="2365"/>
      <c r="C3" s="601" t="s">
        <v>743</v>
      </c>
      <c r="D3" s="601" t="s">
        <v>744</v>
      </c>
      <c r="E3" s="601" t="s">
        <v>745</v>
      </c>
      <c r="F3" s="601" t="s">
        <v>746</v>
      </c>
      <c r="G3" s="601" t="s">
        <v>747</v>
      </c>
      <c r="H3" s="600" t="s">
        <v>748</v>
      </c>
      <c r="I3" s="600" t="s">
        <v>749</v>
      </c>
      <c r="J3" s="600" t="s">
        <v>750</v>
      </c>
      <c r="K3" s="2366"/>
      <c r="M3" s="601" t="s">
        <v>744</v>
      </c>
      <c r="N3" s="602" t="s">
        <v>745</v>
      </c>
      <c r="O3" s="602" t="s">
        <v>746</v>
      </c>
      <c r="P3" s="602" t="s">
        <v>751</v>
      </c>
      <c r="Q3" s="603" t="s">
        <v>752</v>
      </c>
      <c r="R3" s="602" t="s">
        <v>753</v>
      </c>
      <c r="S3" s="602" t="s">
        <v>754</v>
      </c>
      <c r="T3" s="602" t="s">
        <v>755</v>
      </c>
      <c r="U3" s="604" t="s">
        <v>756</v>
      </c>
      <c r="V3" s="602" t="s">
        <v>757</v>
      </c>
      <c r="W3" s="602" t="s">
        <v>758</v>
      </c>
    </row>
    <row r="4" spans="1:23" ht="38.25" customHeight="1">
      <c r="A4" s="2319">
        <v>1</v>
      </c>
      <c r="B4" s="2320" t="s">
        <v>759</v>
      </c>
      <c r="C4" s="2341">
        <v>33</v>
      </c>
      <c r="D4" s="2319">
        <v>4.25</v>
      </c>
      <c r="E4" s="2319">
        <v>5.75</v>
      </c>
      <c r="F4" s="2319">
        <v>19</v>
      </c>
      <c r="G4" s="2367">
        <f>F4+E4+D4</f>
        <v>29</v>
      </c>
      <c r="H4" s="605" t="s">
        <v>760</v>
      </c>
      <c r="I4" s="605">
        <v>250</v>
      </c>
      <c r="J4" s="605">
        <v>5</v>
      </c>
      <c r="K4" s="2368"/>
      <c r="M4" s="2334">
        <v>1.2</v>
      </c>
      <c r="N4" s="2334">
        <v>5.75</v>
      </c>
      <c r="O4" s="2334">
        <v>19</v>
      </c>
      <c r="P4" s="2322">
        <v>1.6</v>
      </c>
      <c r="Q4" s="2322">
        <v>3</v>
      </c>
      <c r="R4" s="2322">
        <v>1</v>
      </c>
      <c r="S4" s="2322">
        <v>0.5</v>
      </c>
      <c r="T4" s="2322">
        <v>0.6</v>
      </c>
      <c r="U4" s="2322">
        <v>6</v>
      </c>
      <c r="V4" s="2322">
        <v>3</v>
      </c>
      <c r="W4" s="2348">
        <f>SUM(M4:V5)</f>
        <v>41.65</v>
      </c>
    </row>
    <row r="5" spans="1:23" ht="12.75" customHeight="1">
      <c r="A5" s="2319"/>
      <c r="B5" s="2320"/>
      <c r="C5" s="2341"/>
      <c r="D5" s="2319"/>
      <c r="E5" s="2319"/>
      <c r="F5" s="2319"/>
      <c r="G5" s="2367"/>
      <c r="H5" s="605" t="s">
        <v>761</v>
      </c>
      <c r="I5" s="605">
        <v>250</v>
      </c>
      <c r="J5" s="605">
        <v>12</v>
      </c>
      <c r="K5" s="2368"/>
      <c r="M5" s="2334"/>
      <c r="N5" s="2334"/>
      <c r="O5" s="2334"/>
      <c r="P5" s="2324"/>
      <c r="Q5" s="2324"/>
      <c r="R5" s="2324"/>
      <c r="S5" s="2324"/>
      <c r="T5" s="2324"/>
      <c r="U5" s="2324"/>
      <c r="V5" s="2324"/>
      <c r="W5" s="2348"/>
    </row>
    <row r="6" spans="1:23" ht="12.75" customHeight="1">
      <c r="A6" s="2318">
        <v>2</v>
      </c>
      <c r="B6" s="2342" t="s">
        <v>762</v>
      </c>
      <c r="C6" s="2343">
        <v>13</v>
      </c>
      <c r="D6" s="2302">
        <v>2.88</v>
      </c>
      <c r="E6" s="2359">
        <v>10</v>
      </c>
      <c r="F6" s="2318">
        <v>2</v>
      </c>
      <c r="G6" s="2344">
        <f>F6+E6+D6</f>
        <v>14.879999999999999</v>
      </c>
      <c r="H6" s="606" t="s">
        <v>760</v>
      </c>
      <c r="I6" s="606">
        <v>250</v>
      </c>
      <c r="J6" s="606">
        <v>3</v>
      </c>
      <c r="K6" s="2360"/>
      <c r="M6" s="2347">
        <v>1.3</v>
      </c>
      <c r="N6" s="2347">
        <v>10</v>
      </c>
      <c r="O6" s="2347">
        <v>2</v>
      </c>
      <c r="P6" s="2303">
        <v>1.6</v>
      </c>
      <c r="Q6" s="2303">
        <v>3</v>
      </c>
      <c r="R6" s="2303">
        <v>1</v>
      </c>
      <c r="S6" s="2303">
        <v>0.5</v>
      </c>
      <c r="T6" s="2303">
        <v>0.6</v>
      </c>
      <c r="U6" s="2303">
        <v>6</v>
      </c>
      <c r="V6" s="2303">
        <v>3</v>
      </c>
      <c r="W6" s="2340">
        <f>SUM(M6:V7)</f>
        <v>29</v>
      </c>
    </row>
    <row r="7" spans="1:23" ht="12.75" customHeight="1">
      <c r="A7" s="2318"/>
      <c r="B7" s="2342"/>
      <c r="C7" s="2343"/>
      <c r="D7" s="2302"/>
      <c r="E7" s="2359"/>
      <c r="F7" s="2318"/>
      <c r="G7" s="2344"/>
      <c r="H7" s="606" t="s">
        <v>763</v>
      </c>
      <c r="I7" s="606">
        <v>125</v>
      </c>
      <c r="J7" s="606">
        <v>17</v>
      </c>
      <c r="K7" s="2360"/>
      <c r="M7" s="2347"/>
      <c r="N7" s="2347"/>
      <c r="O7" s="2347"/>
      <c r="P7" s="2304"/>
      <c r="Q7" s="2304"/>
      <c r="R7" s="2304"/>
      <c r="S7" s="2304"/>
      <c r="T7" s="2304"/>
      <c r="U7" s="2304"/>
      <c r="V7" s="2304"/>
      <c r="W7" s="2340"/>
    </row>
    <row r="8" spans="1:23" ht="12.75" customHeight="1">
      <c r="A8" s="2319">
        <v>3</v>
      </c>
      <c r="B8" s="2329" t="s">
        <v>764</v>
      </c>
      <c r="C8" s="2341">
        <v>3</v>
      </c>
      <c r="D8" s="2358">
        <v>4.25</v>
      </c>
      <c r="E8" s="2319">
        <v>3</v>
      </c>
      <c r="F8" s="2319">
        <v>0</v>
      </c>
      <c r="G8" s="2344">
        <f>F8+E8+D8</f>
        <v>7.25</v>
      </c>
      <c r="H8" s="2319" t="s">
        <v>760</v>
      </c>
      <c r="I8" s="2319">
        <v>250</v>
      </c>
      <c r="J8" s="2319">
        <v>17</v>
      </c>
      <c r="K8" s="2356" t="s">
        <v>765</v>
      </c>
      <c r="M8" s="2334">
        <v>1.2</v>
      </c>
      <c r="N8" s="2334">
        <v>3</v>
      </c>
      <c r="O8" s="2334">
        <v>0</v>
      </c>
      <c r="P8" s="2322">
        <v>1.6</v>
      </c>
      <c r="Q8" s="2322">
        <v>3</v>
      </c>
      <c r="R8" s="2322">
        <v>1</v>
      </c>
      <c r="S8" s="2322">
        <v>0.5</v>
      </c>
      <c r="T8" s="2322">
        <v>0.6</v>
      </c>
      <c r="U8" s="2322">
        <v>6</v>
      </c>
      <c r="V8" s="2322">
        <v>3</v>
      </c>
      <c r="W8" s="2348">
        <f>SUM(M8:V9)</f>
        <v>19.899999999999999</v>
      </c>
    </row>
    <row r="9" spans="1:23" ht="33.75" customHeight="1">
      <c r="A9" s="2319"/>
      <c r="B9" s="2329"/>
      <c r="C9" s="2341"/>
      <c r="D9" s="2358"/>
      <c r="E9" s="2319"/>
      <c r="F9" s="2319"/>
      <c r="G9" s="2344"/>
      <c r="H9" s="2319"/>
      <c r="I9" s="2319"/>
      <c r="J9" s="2319"/>
      <c r="K9" s="2357"/>
      <c r="M9" s="2334"/>
      <c r="N9" s="2334"/>
      <c r="O9" s="2334"/>
      <c r="P9" s="2324"/>
      <c r="Q9" s="2324"/>
      <c r="R9" s="2324"/>
      <c r="S9" s="2324"/>
      <c r="T9" s="2324"/>
      <c r="U9" s="2324"/>
      <c r="V9" s="2324"/>
      <c r="W9" s="2348"/>
    </row>
    <row r="10" spans="1:23" ht="18.75" customHeight="1">
      <c r="A10" s="2318">
        <v>4</v>
      </c>
      <c r="B10" s="2342" t="s">
        <v>766</v>
      </c>
      <c r="C10" s="2343">
        <v>5</v>
      </c>
      <c r="D10" s="2302">
        <v>4.5</v>
      </c>
      <c r="E10" s="2355">
        <v>2.5</v>
      </c>
      <c r="F10" s="2318">
        <v>0</v>
      </c>
      <c r="G10" s="2344">
        <f>F10+E10+D10</f>
        <v>7</v>
      </c>
      <c r="H10" s="2318" t="s">
        <v>760</v>
      </c>
      <c r="I10" s="2318">
        <v>250</v>
      </c>
      <c r="J10" s="2318">
        <v>18</v>
      </c>
      <c r="K10" s="2345"/>
      <c r="M10" s="2347">
        <v>1.2</v>
      </c>
      <c r="N10" s="2354">
        <v>2.5</v>
      </c>
      <c r="O10" s="2347">
        <v>0</v>
      </c>
      <c r="P10" s="2303">
        <v>1.6</v>
      </c>
      <c r="Q10" s="2303">
        <v>3</v>
      </c>
      <c r="R10" s="2303">
        <v>1</v>
      </c>
      <c r="S10" s="2303">
        <v>0.5</v>
      </c>
      <c r="T10" s="2303">
        <v>0.6</v>
      </c>
      <c r="U10" s="2303">
        <v>6</v>
      </c>
      <c r="V10" s="2303">
        <v>3</v>
      </c>
      <c r="W10" s="2340">
        <f>SUM(M10:V11)</f>
        <v>19.399999999999999</v>
      </c>
    </row>
    <row r="11" spans="1:23" ht="12.75" customHeight="1">
      <c r="A11" s="2318"/>
      <c r="B11" s="2342"/>
      <c r="C11" s="2343"/>
      <c r="D11" s="2302"/>
      <c r="E11" s="2355"/>
      <c r="F11" s="2318"/>
      <c r="G11" s="2344"/>
      <c r="H11" s="2318"/>
      <c r="I11" s="2318"/>
      <c r="J11" s="2318"/>
      <c r="K11" s="2345"/>
      <c r="M11" s="2347"/>
      <c r="N11" s="2354"/>
      <c r="O11" s="2347"/>
      <c r="P11" s="2304"/>
      <c r="Q11" s="2304"/>
      <c r="R11" s="2304"/>
      <c r="S11" s="2304"/>
      <c r="T11" s="2304"/>
      <c r="U11" s="2304"/>
      <c r="V11" s="2304"/>
      <c r="W11" s="2340"/>
    </row>
    <row r="12" spans="1:23" ht="12.75" customHeight="1">
      <c r="A12" s="2319">
        <v>5</v>
      </c>
      <c r="B12" s="2320" t="s">
        <v>767</v>
      </c>
      <c r="C12" s="2341">
        <v>25</v>
      </c>
      <c r="D12" s="2334">
        <v>4</v>
      </c>
      <c r="E12" s="2319">
        <v>2</v>
      </c>
      <c r="F12" s="2319">
        <v>42.74</v>
      </c>
      <c r="G12" s="2332">
        <f>F12+E12+D12</f>
        <v>48.74</v>
      </c>
      <c r="H12" s="2319" t="s">
        <v>760</v>
      </c>
      <c r="I12" s="2319">
        <v>250</v>
      </c>
      <c r="J12" s="2319">
        <v>16</v>
      </c>
      <c r="K12" s="2333"/>
      <c r="M12" s="2334">
        <v>1.2</v>
      </c>
      <c r="N12" s="2334">
        <v>2</v>
      </c>
      <c r="O12" s="2334">
        <v>42.74</v>
      </c>
      <c r="P12" s="2322">
        <v>1.6</v>
      </c>
      <c r="Q12" s="2322">
        <v>3</v>
      </c>
      <c r="R12" s="2322">
        <v>1</v>
      </c>
      <c r="S12" s="2322">
        <v>0.5</v>
      </c>
      <c r="T12" s="2322">
        <v>0.6</v>
      </c>
      <c r="U12" s="2322">
        <v>6</v>
      </c>
      <c r="V12" s="2322">
        <v>3</v>
      </c>
      <c r="W12" s="2348">
        <f>SUM(M12:V13)</f>
        <v>61.640000000000008</v>
      </c>
    </row>
    <row r="13" spans="1:23" ht="12.75" customHeight="1">
      <c r="A13" s="2319"/>
      <c r="B13" s="2320"/>
      <c r="C13" s="2341"/>
      <c r="D13" s="2334"/>
      <c r="E13" s="2319"/>
      <c r="F13" s="2319"/>
      <c r="G13" s="2332"/>
      <c r="H13" s="2319"/>
      <c r="I13" s="2319"/>
      <c r="J13" s="2319"/>
      <c r="K13" s="2333"/>
      <c r="M13" s="2334"/>
      <c r="N13" s="2334"/>
      <c r="O13" s="2334"/>
      <c r="P13" s="2324"/>
      <c r="Q13" s="2324"/>
      <c r="R13" s="2324"/>
      <c r="S13" s="2324"/>
      <c r="T13" s="2324"/>
      <c r="U13" s="2324"/>
      <c r="V13" s="2324"/>
      <c r="W13" s="2348"/>
    </row>
    <row r="14" spans="1:23" ht="12.75" customHeight="1">
      <c r="A14" s="2318">
        <v>6</v>
      </c>
      <c r="B14" s="2342" t="s">
        <v>768</v>
      </c>
      <c r="C14" s="2343">
        <v>53</v>
      </c>
      <c r="D14" s="2318">
        <v>4.5</v>
      </c>
      <c r="E14" s="2318">
        <v>10.5</v>
      </c>
      <c r="F14" s="2318">
        <v>0</v>
      </c>
      <c r="G14" s="2350">
        <f>F14+E14+D14</f>
        <v>15</v>
      </c>
      <c r="H14" s="2318" t="s">
        <v>761</v>
      </c>
      <c r="I14" s="2318">
        <v>250</v>
      </c>
      <c r="J14" s="2318">
        <v>18</v>
      </c>
      <c r="K14" s="2345"/>
      <c r="M14" s="2302">
        <v>1.2</v>
      </c>
      <c r="N14" s="2347">
        <v>10.5</v>
      </c>
      <c r="O14" s="2347">
        <v>0</v>
      </c>
      <c r="P14" s="2303">
        <v>1.6</v>
      </c>
      <c r="Q14" s="2303">
        <v>3</v>
      </c>
      <c r="R14" s="2303">
        <v>1</v>
      </c>
      <c r="S14" s="2303">
        <v>0.5</v>
      </c>
      <c r="T14" s="2303">
        <v>0.6</v>
      </c>
      <c r="U14" s="2303">
        <v>6</v>
      </c>
      <c r="V14" s="2303">
        <v>3</v>
      </c>
      <c r="W14" s="2346">
        <f>SUM(M14:V15)</f>
        <v>27.4</v>
      </c>
    </row>
    <row r="15" spans="1:23" ht="13.5" customHeight="1">
      <c r="A15" s="2318"/>
      <c r="B15" s="2342"/>
      <c r="C15" s="2343"/>
      <c r="D15" s="2318"/>
      <c r="E15" s="2318"/>
      <c r="F15" s="2318"/>
      <c r="G15" s="2350"/>
      <c r="H15" s="2318"/>
      <c r="I15" s="2318"/>
      <c r="J15" s="2318"/>
      <c r="K15" s="2345"/>
      <c r="M15" s="2302"/>
      <c r="N15" s="2347"/>
      <c r="O15" s="2347"/>
      <c r="P15" s="2304"/>
      <c r="Q15" s="2304"/>
      <c r="R15" s="2304"/>
      <c r="S15" s="2304"/>
      <c r="T15" s="2304"/>
      <c r="U15" s="2304"/>
      <c r="V15" s="2304"/>
      <c r="W15" s="2346"/>
    </row>
    <row r="16" spans="1:23" ht="13.5" customHeight="1">
      <c r="A16" s="2319">
        <v>7</v>
      </c>
      <c r="B16" s="2320" t="s">
        <v>769</v>
      </c>
      <c r="C16" s="2341">
        <v>20</v>
      </c>
      <c r="D16" s="2319">
        <v>3.5</v>
      </c>
      <c r="E16" s="2319">
        <v>6.5</v>
      </c>
      <c r="F16" s="2352">
        <v>3</v>
      </c>
      <c r="G16" s="2332">
        <f>F16+E16+D16+C16</f>
        <v>33</v>
      </c>
      <c r="H16" s="605" t="s">
        <v>770</v>
      </c>
      <c r="I16" s="605">
        <v>1000</v>
      </c>
      <c r="J16" s="605">
        <v>1</v>
      </c>
      <c r="K16" s="2333"/>
      <c r="M16" s="2334">
        <v>1.2</v>
      </c>
      <c r="N16" s="2334">
        <v>6.5</v>
      </c>
      <c r="O16" s="2322">
        <v>3</v>
      </c>
      <c r="P16" s="2322">
        <v>1.6</v>
      </c>
      <c r="Q16" s="2322">
        <v>3</v>
      </c>
      <c r="R16" s="2322">
        <v>1</v>
      </c>
      <c r="S16" s="2322">
        <v>0.5</v>
      </c>
      <c r="T16" s="2322">
        <v>0.6</v>
      </c>
      <c r="U16" s="2322">
        <v>6</v>
      </c>
      <c r="V16" s="2351">
        <v>0</v>
      </c>
      <c r="W16" s="2349">
        <f>SUM(M16:V17)</f>
        <v>23.4</v>
      </c>
    </row>
    <row r="17" spans="1:23" ht="13.5" customHeight="1">
      <c r="A17" s="2319"/>
      <c r="B17" s="2320"/>
      <c r="C17" s="2341"/>
      <c r="D17" s="2319"/>
      <c r="E17" s="2319"/>
      <c r="F17" s="2353"/>
      <c r="G17" s="2332"/>
      <c r="H17" s="605" t="s">
        <v>771</v>
      </c>
      <c r="I17" s="605">
        <v>400</v>
      </c>
      <c r="J17" s="605">
        <v>5</v>
      </c>
      <c r="K17" s="2333"/>
      <c r="M17" s="2334"/>
      <c r="N17" s="2334"/>
      <c r="O17" s="2323"/>
      <c r="P17" s="2324"/>
      <c r="Q17" s="2323"/>
      <c r="R17" s="2323"/>
      <c r="S17" s="2323"/>
      <c r="T17" s="2323"/>
      <c r="U17" s="2323"/>
      <c r="V17" s="2323"/>
      <c r="W17" s="2349"/>
    </row>
    <row r="18" spans="1:23" ht="19.5" customHeight="1">
      <c r="A18" s="2319"/>
      <c r="B18" s="2320"/>
      <c r="C18" s="609">
        <v>15</v>
      </c>
      <c r="D18" s="605">
        <v>0</v>
      </c>
      <c r="E18" s="605">
        <v>10</v>
      </c>
      <c r="F18" s="605">
        <v>0</v>
      </c>
      <c r="G18" s="610">
        <f>E18</f>
        <v>10</v>
      </c>
      <c r="H18" s="605" t="s">
        <v>760</v>
      </c>
      <c r="I18" s="605">
        <v>250</v>
      </c>
      <c r="J18" s="605">
        <v>2</v>
      </c>
      <c r="K18" s="2333"/>
      <c r="M18" s="611">
        <v>0</v>
      </c>
      <c r="N18" s="612">
        <v>10</v>
      </c>
      <c r="O18" s="613">
        <v>0</v>
      </c>
      <c r="P18" s="613">
        <v>0</v>
      </c>
      <c r="Q18" s="613">
        <v>0</v>
      </c>
      <c r="R18" s="613">
        <v>0</v>
      </c>
      <c r="S18" s="613">
        <v>0</v>
      </c>
      <c r="T18" s="613">
        <v>0</v>
      </c>
      <c r="U18" s="613">
        <v>0</v>
      </c>
      <c r="V18" s="612">
        <v>3</v>
      </c>
      <c r="W18" s="614">
        <f>SUM(M18:V18)</f>
        <v>13</v>
      </c>
    </row>
    <row r="19" spans="1:23" ht="14.25" customHeight="1">
      <c r="A19" s="2318">
        <v>8</v>
      </c>
      <c r="B19" s="2342" t="s">
        <v>772</v>
      </c>
      <c r="C19" s="2343">
        <v>50</v>
      </c>
      <c r="D19" s="2318">
        <v>8.5</v>
      </c>
      <c r="E19" s="2318">
        <v>11.5</v>
      </c>
      <c r="F19" s="2318">
        <v>0</v>
      </c>
      <c r="G19" s="2350">
        <f>F19+E19+D19</f>
        <v>20</v>
      </c>
      <c r="H19" s="606" t="s">
        <v>771</v>
      </c>
      <c r="I19" s="606">
        <v>400</v>
      </c>
      <c r="J19" s="606">
        <v>15</v>
      </c>
      <c r="K19" s="2345"/>
      <c r="M19" s="2347">
        <v>1.2</v>
      </c>
      <c r="N19" s="2347">
        <v>11.5</v>
      </c>
      <c r="O19" s="2347">
        <v>0</v>
      </c>
      <c r="P19" s="2303">
        <v>1.6</v>
      </c>
      <c r="Q19" s="2303">
        <v>3</v>
      </c>
      <c r="R19" s="2303">
        <v>1</v>
      </c>
      <c r="S19" s="2303">
        <v>0.5</v>
      </c>
      <c r="T19" s="2303">
        <v>0.6</v>
      </c>
      <c r="U19" s="2303">
        <v>6</v>
      </c>
      <c r="V19" s="2303">
        <v>3</v>
      </c>
      <c r="W19" s="2346">
        <f>SUM(M19:V20)</f>
        <v>28.4</v>
      </c>
    </row>
    <row r="20" spans="1:23" ht="14.25" customHeight="1">
      <c r="A20" s="2318"/>
      <c r="B20" s="2342"/>
      <c r="C20" s="2343"/>
      <c r="D20" s="2318"/>
      <c r="E20" s="2318"/>
      <c r="F20" s="2318"/>
      <c r="G20" s="2350"/>
      <c r="H20" s="606" t="s">
        <v>760</v>
      </c>
      <c r="I20" s="606">
        <v>250</v>
      </c>
      <c r="J20" s="606">
        <v>10</v>
      </c>
      <c r="K20" s="2345"/>
      <c r="M20" s="2347"/>
      <c r="N20" s="2347"/>
      <c r="O20" s="2347"/>
      <c r="P20" s="2304"/>
      <c r="Q20" s="2304"/>
      <c r="R20" s="2304"/>
      <c r="S20" s="2304"/>
      <c r="T20" s="2304"/>
      <c r="U20" s="2304"/>
      <c r="V20" s="2304"/>
      <c r="W20" s="2346"/>
    </row>
    <row r="21" spans="1:23" ht="14.25" customHeight="1">
      <c r="A21" s="2319">
        <v>9</v>
      </c>
      <c r="B21" s="2320" t="s">
        <v>773</v>
      </c>
      <c r="C21" s="2341">
        <v>10</v>
      </c>
      <c r="D21" s="2334">
        <v>4.13</v>
      </c>
      <c r="E21" s="2319">
        <v>5.87</v>
      </c>
      <c r="F21" s="2319">
        <v>0</v>
      </c>
      <c r="G21" s="2332">
        <f>F21+E21+D21</f>
        <v>10</v>
      </c>
      <c r="H21" s="605" t="s">
        <v>774</v>
      </c>
      <c r="I21" s="605">
        <v>125</v>
      </c>
      <c r="J21" s="605">
        <v>9</v>
      </c>
      <c r="K21" s="2333"/>
      <c r="M21" s="2334">
        <v>1.2</v>
      </c>
      <c r="N21" s="2334">
        <v>5.87</v>
      </c>
      <c r="O21" s="2334">
        <v>0</v>
      </c>
      <c r="P21" s="2322">
        <v>1.6</v>
      </c>
      <c r="Q21" s="2322">
        <v>3</v>
      </c>
      <c r="R21" s="2322">
        <v>0.9</v>
      </c>
      <c r="S21" s="2322">
        <v>0.4</v>
      </c>
      <c r="T21" s="2322">
        <v>0.6</v>
      </c>
      <c r="U21" s="2322">
        <v>6</v>
      </c>
      <c r="V21" s="2322">
        <v>3</v>
      </c>
      <c r="W21" s="2348">
        <f>SUM(M21:V22)</f>
        <v>22.57</v>
      </c>
    </row>
    <row r="22" spans="1:23" ht="14.25" customHeight="1">
      <c r="A22" s="2319"/>
      <c r="B22" s="2320"/>
      <c r="C22" s="2341"/>
      <c r="D22" s="2334"/>
      <c r="E22" s="2319"/>
      <c r="F22" s="2319"/>
      <c r="G22" s="2332"/>
      <c r="H22" s="605" t="s">
        <v>760</v>
      </c>
      <c r="I22" s="605">
        <v>250</v>
      </c>
      <c r="J22" s="605">
        <v>12</v>
      </c>
      <c r="K22" s="2333"/>
      <c r="M22" s="2334"/>
      <c r="N22" s="2334"/>
      <c r="O22" s="2334"/>
      <c r="P22" s="2323"/>
      <c r="Q22" s="2323"/>
      <c r="R22" s="2324"/>
      <c r="S22" s="2324"/>
      <c r="T22" s="2323"/>
      <c r="U22" s="2323"/>
      <c r="V22" s="2323"/>
      <c r="W22" s="2348"/>
    </row>
    <row r="23" spans="1:23" ht="14.25" customHeight="1">
      <c r="A23" s="2318">
        <v>10</v>
      </c>
      <c r="B23" s="2342" t="s">
        <v>775</v>
      </c>
      <c r="C23" s="2343">
        <v>5</v>
      </c>
      <c r="D23" s="2318">
        <v>2.25</v>
      </c>
      <c r="E23" s="2318">
        <v>2.75</v>
      </c>
      <c r="F23" s="2318">
        <v>0</v>
      </c>
      <c r="G23" s="2344">
        <f>F23+E23+D23</f>
        <v>5</v>
      </c>
      <c r="H23" s="606" t="s">
        <v>774</v>
      </c>
      <c r="I23" s="606">
        <v>125</v>
      </c>
      <c r="J23" s="606">
        <v>3</v>
      </c>
      <c r="K23" s="2345"/>
      <c r="M23" s="2302">
        <v>1.2</v>
      </c>
      <c r="N23" s="2302">
        <v>2.75</v>
      </c>
      <c r="O23" s="2302">
        <v>0</v>
      </c>
      <c r="P23" s="2303">
        <v>1.6</v>
      </c>
      <c r="Q23" s="2303">
        <v>3</v>
      </c>
      <c r="R23" s="2303">
        <v>0.9</v>
      </c>
      <c r="S23" s="2303">
        <v>0.4</v>
      </c>
      <c r="T23" s="2338">
        <v>0.6</v>
      </c>
      <c r="U23" s="2303">
        <v>6</v>
      </c>
      <c r="V23" s="2303">
        <v>3</v>
      </c>
      <c r="W23" s="2340">
        <f>SUM(M23:V24)</f>
        <v>19.450000000000003</v>
      </c>
    </row>
    <row r="24" spans="1:23" ht="14.25" customHeight="1">
      <c r="A24" s="2318"/>
      <c r="B24" s="2342"/>
      <c r="C24" s="2343"/>
      <c r="D24" s="2318"/>
      <c r="E24" s="2318"/>
      <c r="F24" s="2318"/>
      <c r="G24" s="2344"/>
      <c r="H24" s="615" t="s">
        <v>776</v>
      </c>
      <c r="I24" s="606">
        <v>125</v>
      </c>
      <c r="J24" s="606">
        <v>15</v>
      </c>
      <c r="K24" s="2345"/>
      <c r="M24" s="2302"/>
      <c r="N24" s="2302"/>
      <c r="O24" s="2302"/>
      <c r="P24" s="2304"/>
      <c r="Q24" s="2304"/>
      <c r="R24" s="2304"/>
      <c r="S24" s="2304"/>
      <c r="T24" s="2339"/>
      <c r="U24" s="2304"/>
      <c r="V24" s="2304"/>
      <c r="W24" s="2340"/>
    </row>
    <row r="25" spans="1:23" ht="14.25" customHeight="1">
      <c r="A25" s="2319">
        <v>11</v>
      </c>
      <c r="B25" s="2320" t="s">
        <v>777</v>
      </c>
      <c r="C25" s="2341">
        <v>47</v>
      </c>
      <c r="D25" s="2334">
        <v>4.43</v>
      </c>
      <c r="E25" s="2319">
        <v>41.8</v>
      </c>
      <c r="F25" s="2319">
        <v>10</v>
      </c>
      <c r="G25" s="2332">
        <f>F25+E25+D25</f>
        <v>56.23</v>
      </c>
      <c r="H25" s="605" t="s">
        <v>774</v>
      </c>
      <c r="I25" s="605">
        <v>125</v>
      </c>
      <c r="J25" s="605">
        <v>1</v>
      </c>
      <c r="K25" s="2333"/>
      <c r="M25" s="2322">
        <v>1.3</v>
      </c>
      <c r="N25" s="2334">
        <v>41.8</v>
      </c>
      <c r="O25" s="2334">
        <v>10</v>
      </c>
      <c r="P25" s="2322">
        <v>1.6</v>
      </c>
      <c r="Q25" s="2322">
        <v>1.5</v>
      </c>
      <c r="R25" s="2322">
        <v>1</v>
      </c>
      <c r="S25" s="2322">
        <v>0.4</v>
      </c>
      <c r="T25" s="2322">
        <v>0.6</v>
      </c>
      <c r="U25" s="2322">
        <v>6</v>
      </c>
      <c r="V25" s="2322">
        <v>3</v>
      </c>
      <c r="W25" s="2325">
        <f>SUM(M25:V27)</f>
        <v>67.199999999999989</v>
      </c>
    </row>
    <row r="26" spans="1:23" ht="14.25" customHeight="1">
      <c r="A26" s="2319"/>
      <c r="B26" s="2320"/>
      <c r="C26" s="2341"/>
      <c r="D26" s="2334"/>
      <c r="E26" s="2319"/>
      <c r="F26" s="2319"/>
      <c r="G26" s="2332"/>
      <c r="H26" s="605" t="s">
        <v>760</v>
      </c>
      <c r="I26" s="605">
        <v>250</v>
      </c>
      <c r="J26" s="605">
        <v>14</v>
      </c>
      <c r="K26" s="2333"/>
      <c r="M26" s="2323"/>
      <c r="N26" s="2334"/>
      <c r="O26" s="2334"/>
      <c r="P26" s="2323"/>
      <c r="Q26" s="2323"/>
      <c r="R26" s="2323"/>
      <c r="S26" s="2323"/>
      <c r="T26" s="2323"/>
      <c r="U26" s="2323"/>
      <c r="V26" s="2323"/>
      <c r="W26" s="2326"/>
    </row>
    <row r="27" spans="1:23" ht="13.5" customHeight="1">
      <c r="A27" s="2319"/>
      <c r="B27" s="2320"/>
      <c r="C27" s="2341"/>
      <c r="D27" s="2334"/>
      <c r="E27" s="2319"/>
      <c r="F27" s="2319"/>
      <c r="G27" s="2332"/>
      <c r="H27" s="616" t="s">
        <v>778</v>
      </c>
      <c r="I27" s="605">
        <v>100</v>
      </c>
      <c r="J27" s="605">
        <v>8</v>
      </c>
      <c r="K27" s="2333"/>
      <c r="M27" s="2324"/>
      <c r="N27" s="2334"/>
      <c r="O27" s="2334"/>
      <c r="P27" s="2324"/>
      <c r="Q27" s="2324"/>
      <c r="R27" s="2324"/>
      <c r="S27" s="2324"/>
      <c r="T27" s="2324"/>
      <c r="U27" s="2324"/>
      <c r="V27" s="2324"/>
      <c r="W27" s="2327"/>
    </row>
    <row r="28" spans="1:23" ht="25.5">
      <c r="A28" s="2328">
        <v>11</v>
      </c>
      <c r="B28" s="2329" t="s">
        <v>779</v>
      </c>
      <c r="C28" s="2330">
        <v>8</v>
      </c>
      <c r="D28" s="2321">
        <v>2.4</v>
      </c>
      <c r="E28" s="2331">
        <v>6</v>
      </c>
      <c r="F28" s="2335">
        <v>0</v>
      </c>
      <c r="G28" s="2336">
        <f>F28+E28+D28</f>
        <v>8.4</v>
      </c>
      <c r="H28" s="617" t="s">
        <v>780</v>
      </c>
      <c r="I28" s="618">
        <v>125</v>
      </c>
      <c r="J28" s="619">
        <v>11</v>
      </c>
      <c r="K28" s="2307"/>
      <c r="L28" s="620"/>
      <c r="M28" s="2308">
        <v>1.2</v>
      </c>
      <c r="N28" s="2321">
        <v>6</v>
      </c>
      <c r="O28" s="2321">
        <v>0</v>
      </c>
      <c r="P28" s="2305">
        <v>1.6</v>
      </c>
      <c r="Q28" s="2305">
        <v>3</v>
      </c>
      <c r="R28" s="2305">
        <v>1</v>
      </c>
      <c r="S28" s="2305">
        <v>0.4</v>
      </c>
      <c r="T28" s="2305">
        <v>0.6</v>
      </c>
      <c r="U28" s="2310">
        <v>6</v>
      </c>
      <c r="V28" s="2305">
        <v>3</v>
      </c>
      <c r="W28" s="2309">
        <f>SUM(M28:V29)</f>
        <v>22.8</v>
      </c>
    </row>
    <row r="29" spans="1:23" ht="25.5">
      <c r="A29" s="2328"/>
      <c r="B29" s="2329"/>
      <c r="C29" s="2330"/>
      <c r="D29" s="2321"/>
      <c r="E29" s="2331"/>
      <c r="F29" s="2335"/>
      <c r="G29" s="2337"/>
      <c r="H29" s="619" t="s">
        <v>781</v>
      </c>
      <c r="I29" s="618">
        <v>125</v>
      </c>
      <c r="J29" s="619">
        <v>8</v>
      </c>
      <c r="K29" s="2307"/>
      <c r="L29" s="620"/>
      <c r="M29" s="2308"/>
      <c r="N29" s="2321"/>
      <c r="O29" s="2321"/>
      <c r="P29" s="2306"/>
      <c r="Q29" s="2306"/>
      <c r="R29" s="2306"/>
      <c r="S29" s="2306"/>
      <c r="T29" s="2306"/>
      <c r="U29" s="2311"/>
      <c r="V29" s="2306"/>
      <c r="W29" s="2309"/>
    </row>
    <row r="30" spans="1:23" ht="27.75">
      <c r="A30" s="2319">
        <v>12</v>
      </c>
      <c r="B30" s="2320" t="s">
        <v>782</v>
      </c>
      <c r="C30" s="609" t="s">
        <v>783</v>
      </c>
      <c r="D30" s="621">
        <v>0</v>
      </c>
      <c r="E30" s="622">
        <v>8</v>
      </c>
      <c r="F30" s="622">
        <v>2</v>
      </c>
      <c r="G30" s="610">
        <f>F30+E30+D30</f>
        <v>10</v>
      </c>
      <c r="H30" s="623" t="s">
        <v>784</v>
      </c>
      <c r="I30" s="624">
        <v>100</v>
      </c>
      <c r="J30" s="605">
        <v>9</v>
      </c>
      <c r="K30" s="625"/>
      <c r="M30" s="626">
        <v>0</v>
      </c>
      <c r="N30" s="627">
        <v>8</v>
      </c>
      <c r="O30" s="627">
        <v>2</v>
      </c>
      <c r="P30" s="612">
        <v>1.6</v>
      </c>
      <c r="Q30" s="612">
        <v>1.5</v>
      </c>
      <c r="R30" s="612">
        <v>1</v>
      </c>
      <c r="S30" s="612">
        <v>0.2</v>
      </c>
      <c r="T30" s="612">
        <v>0.6</v>
      </c>
      <c r="U30" s="613">
        <v>0</v>
      </c>
      <c r="V30" s="612">
        <v>0</v>
      </c>
      <c r="W30" s="628">
        <f>SUM(M30:V30)</f>
        <v>14.899999999999999</v>
      </c>
    </row>
    <row r="31" spans="1:23" ht="39.75" customHeight="1">
      <c r="A31" s="2319"/>
      <c r="B31" s="2320"/>
      <c r="C31" s="629" t="s">
        <v>785</v>
      </c>
      <c r="D31" s="630">
        <v>1.53</v>
      </c>
      <c r="E31" s="622">
        <v>44</v>
      </c>
      <c r="F31" s="622">
        <v>11</v>
      </c>
      <c r="G31" s="631">
        <f>F31+E31+D31</f>
        <v>56.53</v>
      </c>
      <c r="H31" s="623" t="s">
        <v>786</v>
      </c>
      <c r="I31" s="624">
        <v>45</v>
      </c>
      <c r="J31" s="605">
        <v>14</v>
      </c>
      <c r="K31" s="632" t="s">
        <v>787</v>
      </c>
      <c r="M31" s="612">
        <v>1.3</v>
      </c>
      <c r="N31" s="627">
        <v>44</v>
      </c>
      <c r="O31" s="627">
        <v>11</v>
      </c>
      <c r="P31" s="613">
        <v>0</v>
      </c>
      <c r="Q31" s="613">
        <v>0</v>
      </c>
      <c r="R31" s="613">
        <v>0</v>
      </c>
      <c r="S31" s="613">
        <v>0</v>
      </c>
      <c r="T31" s="613">
        <v>0</v>
      </c>
      <c r="U31" s="612">
        <v>8</v>
      </c>
      <c r="V31" s="613">
        <v>3</v>
      </c>
      <c r="W31" s="628">
        <f>SUM(M31:V31)</f>
        <v>67.3</v>
      </c>
    </row>
    <row r="32" spans="1:23" ht="36.75" customHeight="1">
      <c r="A32" s="606">
        <v>13</v>
      </c>
      <c r="B32" s="633" t="s">
        <v>788</v>
      </c>
      <c r="C32" s="634">
        <v>40</v>
      </c>
      <c r="D32" s="635">
        <v>5.25</v>
      </c>
      <c r="E32" s="608">
        <v>38</v>
      </c>
      <c r="F32" s="606">
        <v>0</v>
      </c>
      <c r="G32" s="636">
        <f>F32+E32+D32</f>
        <v>43.25</v>
      </c>
      <c r="H32" s="637" t="s">
        <v>789</v>
      </c>
      <c r="I32" s="638">
        <v>250</v>
      </c>
      <c r="J32" s="639">
        <v>21</v>
      </c>
      <c r="K32" s="640"/>
      <c r="M32" s="641">
        <v>1.3</v>
      </c>
      <c r="N32" s="607">
        <v>38</v>
      </c>
      <c r="O32" s="607">
        <v>0</v>
      </c>
      <c r="P32" s="642">
        <v>1.6</v>
      </c>
      <c r="Q32" s="642">
        <v>1.5</v>
      </c>
      <c r="R32" s="642">
        <v>1</v>
      </c>
      <c r="S32" s="642">
        <v>0.2</v>
      </c>
      <c r="T32" s="642">
        <v>0.6</v>
      </c>
      <c r="U32" s="643">
        <v>6</v>
      </c>
      <c r="V32" s="643">
        <v>3</v>
      </c>
      <c r="W32" s="644">
        <f>SUM(M32:V32)</f>
        <v>53.2</v>
      </c>
    </row>
    <row r="33" spans="1:23" ht="37.5" customHeight="1">
      <c r="A33" s="624">
        <v>14</v>
      </c>
      <c r="B33" s="645" t="s">
        <v>790</v>
      </c>
      <c r="C33" s="610">
        <v>20</v>
      </c>
      <c r="D33" s="627">
        <v>4.5</v>
      </c>
      <c r="E33" s="646">
        <v>15</v>
      </c>
      <c r="F33" s="605">
        <v>0</v>
      </c>
      <c r="G33" s="610">
        <f>D33+E33+F33</f>
        <v>19.5</v>
      </c>
      <c r="H33" s="647" t="s">
        <v>791</v>
      </c>
      <c r="I33" s="624">
        <v>250</v>
      </c>
      <c r="J33" s="624">
        <v>18</v>
      </c>
      <c r="K33" s="648" t="s">
        <v>792</v>
      </c>
      <c r="M33" s="612">
        <v>1</v>
      </c>
      <c r="N33" s="612">
        <v>15</v>
      </c>
      <c r="O33" s="612">
        <v>0</v>
      </c>
      <c r="P33" s="612">
        <v>1.6</v>
      </c>
      <c r="Q33" s="612">
        <v>3</v>
      </c>
      <c r="R33" s="612">
        <v>0.9</v>
      </c>
      <c r="S33" s="612">
        <v>0.2</v>
      </c>
      <c r="T33" s="612">
        <v>0.6</v>
      </c>
      <c r="U33" s="612">
        <v>6</v>
      </c>
      <c r="V33" s="612">
        <v>3</v>
      </c>
      <c r="W33" s="628">
        <f>SUM(M33:V33)</f>
        <v>31.3</v>
      </c>
    </row>
    <row r="34" spans="1:23" ht="38.25" customHeight="1">
      <c r="A34" s="2312">
        <v>15</v>
      </c>
      <c r="B34" s="2314" t="s">
        <v>793</v>
      </c>
      <c r="C34" s="2316">
        <v>100</v>
      </c>
      <c r="D34" s="2302">
        <v>5</v>
      </c>
      <c r="E34" s="2318">
        <v>15</v>
      </c>
      <c r="F34" s="2318">
        <v>112.13</v>
      </c>
      <c r="G34" s="2298">
        <f>F34+E34+D34</f>
        <v>132.13</v>
      </c>
      <c r="H34" s="606" t="s">
        <v>794</v>
      </c>
      <c r="I34" s="606">
        <v>250</v>
      </c>
      <c r="J34" s="606">
        <v>9</v>
      </c>
      <c r="K34" s="2300" t="s">
        <v>795</v>
      </c>
      <c r="M34" s="2302">
        <v>1.7</v>
      </c>
      <c r="N34" s="2302">
        <v>15</v>
      </c>
      <c r="O34" s="2302">
        <v>112.13</v>
      </c>
      <c r="P34" s="2303">
        <v>1.6</v>
      </c>
      <c r="Q34" s="2303">
        <v>1.5</v>
      </c>
      <c r="R34" s="2303">
        <v>1</v>
      </c>
      <c r="S34" s="2303">
        <v>0.2</v>
      </c>
      <c r="T34" s="2303">
        <v>0.6</v>
      </c>
      <c r="U34" s="643">
        <v>6</v>
      </c>
      <c r="V34" s="643">
        <v>3</v>
      </c>
      <c r="W34" s="2296">
        <f>SUM(M34:V34)</f>
        <v>142.72999999999996</v>
      </c>
    </row>
    <row r="35" spans="1:23" ht="12.75" customHeight="1">
      <c r="A35" s="2313"/>
      <c r="B35" s="2315"/>
      <c r="C35" s="2317"/>
      <c r="D35" s="2302"/>
      <c r="E35" s="2318"/>
      <c r="F35" s="2318"/>
      <c r="G35" s="2299"/>
      <c r="H35" s="606" t="s">
        <v>796</v>
      </c>
      <c r="I35" s="606">
        <v>125</v>
      </c>
      <c r="J35" s="606">
        <v>22</v>
      </c>
      <c r="K35" s="2301"/>
      <c r="M35" s="2302"/>
      <c r="N35" s="2302"/>
      <c r="O35" s="2302"/>
      <c r="P35" s="2304"/>
      <c r="Q35" s="2304"/>
      <c r="R35" s="2304"/>
      <c r="S35" s="2304"/>
      <c r="T35" s="2304"/>
      <c r="U35" s="649"/>
      <c r="V35" s="649"/>
      <c r="W35" s="2297"/>
    </row>
    <row r="36" spans="1:23" ht="39" customHeight="1">
      <c r="A36" s="624">
        <v>16</v>
      </c>
      <c r="B36" s="645" t="s">
        <v>797</v>
      </c>
      <c r="C36" s="650">
        <v>400</v>
      </c>
      <c r="D36" s="651">
        <v>4.25</v>
      </c>
      <c r="E36" s="652">
        <v>0</v>
      </c>
      <c r="F36" s="653">
        <v>0</v>
      </c>
      <c r="G36" s="654">
        <f>D36+E36+F36</f>
        <v>4.25</v>
      </c>
      <c r="H36" s="655" t="s">
        <v>791</v>
      </c>
      <c r="I36" s="656">
        <v>250</v>
      </c>
      <c r="J36" s="656">
        <v>17</v>
      </c>
      <c r="K36" s="623" t="s">
        <v>798</v>
      </c>
      <c r="M36" s="612">
        <v>1.7</v>
      </c>
      <c r="N36" s="611">
        <v>0</v>
      </c>
      <c r="O36" s="651">
        <v>0</v>
      </c>
      <c r="P36" s="651">
        <v>1.6</v>
      </c>
      <c r="Q36" s="651">
        <v>1.5</v>
      </c>
      <c r="R36" s="651">
        <v>1</v>
      </c>
      <c r="S36" s="651">
        <v>0.2</v>
      </c>
      <c r="T36" s="651">
        <v>0.6</v>
      </c>
      <c r="U36" s="651">
        <v>10</v>
      </c>
      <c r="V36" s="651">
        <v>0</v>
      </c>
      <c r="W36" s="657">
        <f>SUM(M36:V36)</f>
        <v>16.600000000000001</v>
      </c>
    </row>
  </sheetData>
  <mergeCells count="265">
    <mergeCell ref="M2:W2"/>
    <mergeCell ref="C4:C5"/>
    <mergeCell ref="D4:D5"/>
    <mergeCell ref="E4:E5"/>
    <mergeCell ref="F4:F5"/>
    <mergeCell ref="A2:A3"/>
    <mergeCell ref="B2:B3"/>
    <mergeCell ref="C2:G2"/>
    <mergeCell ref="H2:J2"/>
    <mergeCell ref="K2:K3"/>
    <mergeCell ref="W4:W5"/>
    <mergeCell ref="Q4:Q5"/>
    <mergeCell ref="R4:R5"/>
    <mergeCell ref="S4:S5"/>
    <mergeCell ref="T4:T5"/>
    <mergeCell ref="U4:U5"/>
    <mergeCell ref="V4:V5"/>
    <mergeCell ref="G4:G5"/>
    <mergeCell ref="K4:K5"/>
    <mergeCell ref="M4:M5"/>
    <mergeCell ref="N4:N5"/>
    <mergeCell ref="O4:O5"/>
    <mergeCell ref="P4:P5"/>
    <mergeCell ref="A4:A5"/>
    <mergeCell ref="A6:A7"/>
    <mergeCell ref="B6:B7"/>
    <mergeCell ref="C6:C7"/>
    <mergeCell ref="D6:D7"/>
    <mergeCell ref="E6:E7"/>
    <mergeCell ref="F6:F7"/>
    <mergeCell ref="G6:G7"/>
    <mergeCell ref="K6:K7"/>
    <mergeCell ref="M6:M7"/>
    <mergeCell ref="B4:B5"/>
    <mergeCell ref="T6:T7"/>
    <mergeCell ref="U6:U7"/>
    <mergeCell ref="V6:V7"/>
    <mergeCell ref="W6:W7"/>
    <mergeCell ref="A8:A9"/>
    <mergeCell ref="B8:B9"/>
    <mergeCell ref="C8:C9"/>
    <mergeCell ref="D8:D9"/>
    <mergeCell ref="E8:E9"/>
    <mergeCell ref="F8:F9"/>
    <mergeCell ref="N6:N7"/>
    <mergeCell ref="O6:O7"/>
    <mergeCell ref="P6:P7"/>
    <mergeCell ref="Q6:Q7"/>
    <mergeCell ref="R6:R7"/>
    <mergeCell ref="S6:S7"/>
    <mergeCell ref="T8:T9"/>
    <mergeCell ref="U8:U9"/>
    <mergeCell ref="V8:V9"/>
    <mergeCell ref="W8:W9"/>
    <mergeCell ref="Q8:Q9"/>
    <mergeCell ref="R8:R9"/>
    <mergeCell ref="S8:S9"/>
    <mergeCell ref="A10:A11"/>
    <mergeCell ref="B10:B11"/>
    <mergeCell ref="C10:C11"/>
    <mergeCell ref="D10:D11"/>
    <mergeCell ref="E10:E11"/>
    <mergeCell ref="F10:F11"/>
    <mergeCell ref="N8:N9"/>
    <mergeCell ref="O8:O9"/>
    <mergeCell ref="P8:P9"/>
    <mergeCell ref="G8:G9"/>
    <mergeCell ref="H8:H9"/>
    <mergeCell ref="I8:I9"/>
    <mergeCell ref="J8:J9"/>
    <mergeCell ref="K8:K9"/>
    <mergeCell ref="M8:M9"/>
    <mergeCell ref="T10:T11"/>
    <mergeCell ref="U10:U11"/>
    <mergeCell ref="V10:V11"/>
    <mergeCell ref="W10:W11"/>
    <mergeCell ref="A12:A13"/>
    <mergeCell ref="B12:B13"/>
    <mergeCell ref="C12:C13"/>
    <mergeCell ref="D12:D13"/>
    <mergeCell ref="E12:E13"/>
    <mergeCell ref="F12:F13"/>
    <mergeCell ref="N10:N11"/>
    <mergeCell ref="O10:O11"/>
    <mergeCell ref="P10:P11"/>
    <mergeCell ref="Q10:Q11"/>
    <mergeCell ref="R10:R11"/>
    <mergeCell ref="S10:S11"/>
    <mergeCell ref="G10:G11"/>
    <mergeCell ref="H10:H11"/>
    <mergeCell ref="I10:I11"/>
    <mergeCell ref="J10:J11"/>
    <mergeCell ref="K10:K11"/>
    <mergeCell ref="M10:M11"/>
    <mergeCell ref="T12:T13"/>
    <mergeCell ref="U12:U13"/>
    <mergeCell ref="V12:V13"/>
    <mergeCell ref="W12:W13"/>
    <mergeCell ref="A14:A15"/>
    <mergeCell ref="B14:B15"/>
    <mergeCell ref="C14:C15"/>
    <mergeCell ref="D14:D15"/>
    <mergeCell ref="E14:E15"/>
    <mergeCell ref="F14:F15"/>
    <mergeCell ref="N12:N13"/>
    <mergeCell ref="O12:O13"/>
    <mergeCell ref="P12:P13"/>
    <mergeCell ref="Q12:Q13"/>
    <mergeCell ref="R12:R13"/>
    <mergeCell ref="S12:S13"/>
    <mergeCell ref="G12:G13"/>
    <mergeCell ref="H12:H13"/>
    <mergeCell ref="I12:I13"/>
    <mergeCell ref="J12:J13"/>
    <mergeCell ref="K12:K13"/>
    <mergeCell ref="M12:M13"/>
    <mergeCell ref="T14:T15"/>
    <mergeCell ref="U14:U15"/>
    <mergeCell ref="V14:V15"/>
    <mergeCell ref="W14:W15"/>
    <mergeCell ref="A16:A18"/>
    <mergeCell ref="B16:B18"/>
    <mergeCell ref="C16:C17"/>
    <mergeCell ref="D16:D17"/>
    <mergeCell ref="E16:E17"/>
    <mergeCell ref="F16:F17"/>
    <mergeCell ref="N14:N15"/>
    <mergeCell ref="O14:O15"/>
    <mergeCell ref="P14:P15"/>
    <mergeCell ref="O16:O17"/>
    <mergeCell ref="P16:P17"/>
    <mergeCell ref="T19:T20"/>
    <mergeCell ref="U19:U20"/>
    <mergeCell ref="Q14:Q15"/>
    <mergeCell ref="R14:R15"/>
    <mergeCell ref="S14:S15"/>
    <mergeCell ref="G14:G15"/>
    <mergeCell ref="H14:H15"/>
    <mergeCell ref="I14:I15"/>
    <mergeCell ref="J14:J15"/>
    <mergeCell ref="K14:K15"/>
    <mergeCell ref="M14:M15"/>
    <mergeCell ref="V21:V22"/>
    <mergeCell ref="G21:G22"/>
    <mergeCell ref="K21:K22"/>
    <mergeCell ref="M21:M22"/>
    <mergeCell ref="W16:W17"/>
    <mergeCell ref="A19:A20"/>
    <mergeCell ref="B19:B20"/>
    <mergeCell ref="C19:C20"/>
    <mergeCell ref="D19:D20"/>
    <mergeCell ref="E19:E20"/>
    <mergeCell ref="F19:F20"/>
    <mergeCell ref="G19:G20"/>
    <mergeCell ref="K19:K20"/>
    <mergeCell ref="M19:M20"/>
    <mergeCell ref="Q16:Q17"/>
    <mergeCell ref="R16:R17"/>
    <mergeCell ref="S16:S17"/>
    <mergeCell ref="T16:T17"/>
    <mergeCell ref="U16:U17"/>
    <mergeCell ref="V16:V17"/>
    <mergeCell ref="G16:G17"/>
    <mergeCell ref="K16:K18"/>
    <mergeCell ref="M16:M17"/>
    <mergeCell ref="N16:N17"/>
    <mergeCell ref="F23:F24"/>
    <mergeCell ref="G23:G24"/>
    <mergeCell ref="K23:K24"/>
    <mergeCell ref="M23:M24"/>
    <mergeCell ref="V19:V20"/>
    <mergeCell ref="W19:W20"/>
    <mergeCell ref="A21:A22"/>
    <mergeCell ref="B21:B22"/>
    <mergeCell ref="C21:C22"/>
    <mergeCell ref="D21:D22"/>
    <mergeCell ref="E21:E22"/>
    <mergeCell ref="F21:F22"/>
    <mergeCell ref="N19:N20"/>
    <mergeCell ref="O19:O20"/>
    <mergeCell ref="P19:P20"/>
    <mergeCell ref="Q19:Q20"/>
    <mergeCell ref="R19:R20"/>
    <mergeCell ref="S19:S20"/>
    <mergeCell ref="W21:W22"/>
    <mergeCell ref="Q21:Q22"/>
    <mergeCell ref="R21:R22"/>
    <mergeCell ref="S21:S22"/>
    <mergeCell ref="T21:T22"/>
    <mergeCell ref="U21:U22"/>
    <mergeCell ref="N21:N22"/>
    <mergeCell ref="O21:O22"/>
    <mergeCell ref="P21:P22"/>
    <mergeCell ref="T23:T24"/>
    <mergeCell ref="U23:U24"/>
    <mergeCell ref="V23:V24"/>
    <mergeCell ref="W23:W24"/>
    <mergeCell ref="A25:A27"/>
    <mergeCell ref="B25:B27"/>
    <mergeCell ref="C25:C27"/>
    <mergeCell ref="D25:D27"/>
    <mergeCell ref="E25:E27"/>
    <mergeCell ref="F25:F27"/>
    <mergeCell ref="N23:N24"/>
    <mergeCell ref="O23:O24"/>
    <mergeCell ref="P23:P24"/>
    <mergeCell ref="Q23:Q24"/>
    <mergeCell ref="R23:R24"/>
    <mergeCell ref="S23:S24"/>
    <mergeCell ref="A23:A24"/>
    <mergeCell ref="B23:B24"/>
    <mergeCell ref="C23:C24"/>
    <mergeCell ref="D23:D24"/>
    <mergeCell ref="E23:E24"/>
    <mergeCell ref="S25:S27"/>
    <mergeCell ref="T25:T27"/>
    <mergeCell ref="R28:R29"/>
    <mergeCell ref="S28:S29"/>
    <mergeCell ref="W25:W27"/>
    <mergeCell ref="A28:A29"/>
    <mergeCell ref="B28:B29"/>
    <mergeCell ref="C28:C29"/>
    <mergeCell ref="D28:D29"/>
    <mergeCell ref="E28:E29"/>
    <mergeCell ref="U25:U27"/>
    <mergeCell ref="V25:V27"/>
    <mergeCell ref="G25:G27"/>
    <mergeCell ref="K25:K27"/>
    <mergeCell ref="M25:M27"/>
    <mergeCell ref="N25:N27"/>
    <mergeCell ref="O25:O27"/>
    <mergeCell ref="P25:P27"/>
    <mergeCell ref="Q25:Q27"/>
    <mergeCell ref="R25:R27"/>
    <mergeCell ref="O28:O29"/>
    <mergeCell ref="P28:P29"/>
    <mergeCell ref="F28:F29"/>
    <mergeCell ref="G28:G29"/>
    <mergeCell ref="A34:A35"/>
    <mergeCell ref="B34:B35"/>
    <mergeCell ref="C34:C35"/>
    <mergeCell ref="D34:D35"/>
    <mergeCell ref="E34:E35"/>
    <mergeCell ref="F34:F35"/>
    <mergeCell ref="A30:A31"/>
    <mergeCell ref="B30:B31"/>
    <mergeCell ref="N28:N29"/>
    <mergeCell ref="W34:W35"/>
    <mergeCell ref="G34:G35"/>
    <mergeCell ref="K34:K35"/>
    <mergeCell ref="M34:M35"/>
    <mergeCell ref="N34:N35"/>
    <mergeCell ref="O34:O35"/>
    <mergeCell ref="P34:P35"/>
    <mergeCell ref="Q28:Q29"/>
    <mergeCell ref="K28:K29"/>
    <mergeCell ref="M28:M29"/>
    <mergeCell ref="V28:V29"/>
    <mergeCell ref="W28:W29"/>
    <mergeCell ref="T28:T29"/>
    <mergeCell ref="U28:U29"/>
    <mergeCell ref="Q34:Q35"/>
    <mergeCell ref="R34:R35"/>
    <mergeCell ref="S34:S35"/>
    <mergeCell ref="T34:T35"/>
  </mergeCell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dimension ref="A1:BR54"/>
  <sheetViews>
    <sheetView zoomScaleNormal="100" workbookViewId="0">
      <pane xSplit="3" ySplit="4" topLeftCell="D12" activePane="bottomRight" state="frozen"/>
      <selection activeCell="P7" sqref="P7"/>
      <selection pane="topRight" activeCell="P7" sqref="P7"/>
      <selection pane="bottomLeft" activeCell="P7" sqref="P7"/>
      <selection pane="bottomRight" activeCell="A13" sqref="A13:IV13"/>
    </sheetView>
  </sheetViews>
  <sheetFormatPr defaultColWidth="12.42578125" defaultRowHeight="15" outlineLevelRow="1" outlineLevelCol="1"/>
  <cols>
    <col min="1" max="1" width="7.42578125" style="826" customWidth="1"/>
    <col min="2" max="2" width="41.42578125" style="826" customWidth="1"/>
    <col min="3" max="3" width="11.28515625" style="826" bestFit="1" customWidth="1"/>
    <col min="4" max="4" width="9.42578125" style="827" hidden="1" customWidth="1" outlineLevel="1"/>
    <col min="5" max="5" width="8.42578125" style="827" hidden="1" customWidth="1" outlineLevel="1"/>
    <col min="6" max="6" width="19" style="826" customWidth="1" collapsed="1"/>
    <col min="7" max="7" width="9.42578125" style="827" hidden="1" customWidth="1" outlineLevel="1"/>
    <col min="8" max="8" width="8.42578125" style="827" hidden="1" customWidth="1" outlineLevel="1"/>
    <col min="9" max="9" width="21.85546875" style="826" customWidth="1" collapsed="1"/>
    <col min="10" max="10" width="9.42578125" style="827" hidden="1" customWidth="1" outlineLevel="1"/>
    <col min="11" max="11" width="8.42578125" style="827" hidden="1" customWidth="1" outlineLevel="1"/>
    <col min="12" max="12" width="19" style="826" customWidth="1" collapsed="1"/>
    <col min="13" max="13" width="16.7109375" style="826" customWidth="1"/>
    <col min="14" max="14" width="21.7109375" style="826" customWidth="1"/>
    <col min="15" max="15" width="12.42578125" style="826"/>
    <col min="16" max="16" width="13.28515625" style="826" bestFit="1" customWidth="1"/>
    <col min="17" max="16384" width="12.42578125" style="826"/>
  </cols>
  <sheetData>
    <row r="1" spans="1:17" ht="21" customHeight="1">
      <c r="A1" s="825" t="s">
        <v>847</v>
      </c>
      <c r="B1" s="825"/>
    </row>
    <row r="2" spans="1:17" ht="15.75" thickBot="1"/>
    <row r="3" spans="1:17" ht="15.75">
      <c r="A3" s="2372" t="s">
        <v>255</v>
      </c>
      <c r="B3" s="2374" t="s">
        <v>254</v>
      </c>
      <c r="C3" s="828"/>
      <c r="D3" s="2376" t="s">
        <v>242</v>
      </c>
      <c r="E3" s="2377"/>
      <c r="F3" s="2378"/>
      <c r="G3" s="2379" t="s">
        <v>241</v>
      </c>
      <c r="H3" s="2377"/>
      <c r="I3" s="2378"/>
      <c r="J3" s="2379" t="s">
        <v>848</v>
      </c>
      <c r="K3" s="2377"/>
      <c r="L3" s="2378"/>
      <c r="M3" s="2369" t="s">
        <v>160</v>
      </c>
      <c r="N3" s="2370"/>
      <c r="O3" s="2371"/>
    </row>
    <row r="4" spans="1:17" s="837" customFormat="1" ht="36.75" customHeight="1" thickBot="1">
      <c r="A4" s="2373"/>
      <c r="B4" s="2375"/>
      <c r="C4" s="829" t="s">
        <v>237</v>
      </c>
      <c r="D4" s="830" t="s">
        <v>236</v>
      </c>
      <c r="E4" s="831" t="s">
        <v>235</v>
      </c>
      <c r="F4" s="832" t="s">
        <v>0</v>
      </c>
      <c r="G4" s="830" t="s">
        <v>236</v>
      </c>
      <c r="H4" s="831" t="s">
        <v>235</v>
      </c>
      <c r="I4" s="832" t="s">
        <v>0</v>
      </c>
      <c r="J4" s="833" t="s">
        <v>236</v>
      </c>
      <c r="K4" s="831" t="s">
        <v>235</v>
      </c>
      <c r="L4" s="832" t="s">
        <v>0</v>
      </c>
      <c r="M4" s="834" t="s">
        <v>234</v>
      </c>
      <c r="N4" s="835" t="s">
        <v>0</v>
      </c>
      <c r="O4" s="836" t="s">
        <v>15</v>
      </c>
    </row>
    <row r="5" spans="1:17" ht="32.25" thickBot="1">
      <c r="A5" s="838" t="s">
        <v>233</v>
      </c>
      <c r="B5" s="839" t="s">
        <v>232</v>
      </c>
      <c r="C5" s="840" t="s">
        <v>161</v>
      </c>
      <c r="D5" s="841">
        <v>36000</v>
      </c>
      <c r="E5" s="842">
        <v>1</v>
      </c>
      <c r="F5" s="843">
        <v>25800</v>
      </c>
      <c r="G5" s="844"/>
      <c r="H5" s="845">
        <v>1</v>
      </c>
      <c r="I5" s="846">
        <v>31000</v>
      </c>
      <c r="J5" s="841"/>
      <c r="K5" s="842">
        <v>1</v>
      </c>
      <c r="L5" s="843">
        <v>34000</v>
      </c>
      <c r="M5" s="847">
        <f>SUM(E5,H5,K5,)</f>
        <v>3</v>
      </c>
      <c r="N5" s="848">
        <f>SUM(F5,I5,L5,)</f>
        <v>90800</v>
      </c>
      <c r="O5" s="849">
        <f t="shared" ref="O5:O29" si="0">N5/$N$51</f>
        <v>5.0543631176409691E-2</v>
      </c>
    </row>
    <row r="6" spans="1:17" ht="32.25" thickBot="1">
      <c r="A6" s="850" t="s">
        <v>231</v>
      </c>
      <c r="B6" s="839" t="s">
        <v>230</v>
      </c>
      <c r="C6" s="851"/>
      <c r="D6" s="852"/>
      <c r="E6" s="852"/>
      <c r="F6" s="852">
        <f>SUM(F7,F12,F20,F30,F38,F46,F47)</f>
        <v>441078</v>
      </c>
      <c r="G6" s="852"/>
      <c r="H6" s="852"/>
      <c r="I6" s="852">
        <f>SUM(I7,I12,I20,I30,I38,I46,I47)</f>
        <v>565043.68319999997</v>
      </c>
      <c r="J6" s="852"/>
      <c r="K6" s="852"/>
      <c r="L6" s="852">
        <f>SUM(L7,L12,L20,L30,L38,L46,L47)</f>
        <v>609946</v>
      </c>
      <c r="M6" s="853" t="s">
        <v>849</v>
      </c>
      <c r="N6" s="853">
        <f>SUM(F6,I6,L6,)</f>
        <v>1616067.6831999999</v>
      </c>
      <c r="O6" s="854">
        <f t="shared" si="0"/>
        <v>0.89958071515171467</v>
      </c>
      <c r="P6" s="855" t="b">
        <f>N7+N12+N20+N30+N38+N46+N47=N6</f>
        <v>1</v>
      </c>
    </row>
    <row r="7" spans="1:17" ht="18.75" thickBot="1">
      <c r="A7" s="856" t="s">
        <v>14</v>
      </c>
      <c r="B7" s="857" t="s">
        <v>229</v>
      </c>
      <c r="C7" s="858"/>
      <c r="D7" s="859"/>
      <c r="E7" s="842"/>
      <c r="F7" s="860">
        <f>SUM(F8:F11)</f>
        <v>19364</v>
      </c>
      <c r="G7" s="861"/>
      <c r="H7" s="862"/>
      <c r="I7" s="863">
        <f>SUM(I8:I11)</f>
        <v>26529.683199999999</v>
      </c>
      <c r="J7" s="859"/>
      <c r="K7" s="842"/>
      <c r="L7" s="864">
        <f>SUM(L8:L11)</f>
        <v>33600</v>
      </c>
      <c r="M7" s="865">
        <f t="shared" ref="M7:N22" si="1">SUM(E7,H7,K7,)</f>
        <v>0</v>
      </c>
      <c r="N7" s="848">
        <f t="shared" si="1"/>
        <v>79493.683199999999</v>
      </c>
      <c r="O7" s="866">
        <f t="shared" si="0"/>
        <v>4.4249993441796864E-2</v>
      </c>
    </row>
    <row r="8" spans="1:17" ht="15.75" hidden="1" outlineLevel="1">
      <c r="A8" s="867" t="s">
        <v>228</v>
      </c>
      <c r="B8" s="868" t="s">
        <v>850</v>
      </c>
      <c r="C8" s="869" t="s">
        <v>161</v>
      </c>
      <c r="D8" s="870">
        <v>4500</v>
      </c>
      <c r="E8" s="871">
        <v>1</v>
      </c>
      <c r="F8" s="872">
        <f>D8*E8</f>
        <v>4500</v>
      </c>
      <c r="G8" s="870">
        <v>4500</v>
      </c>
      <c r="H8" s="871">
        <v>1</v>
      </c>
      <c r="I8" s="873">
        <f>G8*H8</f>
        <v>4500</v>
      </c>
      <c r="J8" s="870">
        <v>4500</v>
      </c>
      <c r="K8" s="871">
        <v>1</v>
      </c>
      <c r="L8" s="874">
        <f>J8*K8</f>
        <v>4500</v>
      </c>
      <c r="M8" s="875">
        <f t="shared" si="1"/>
        <v>3</v>
      </c>
      <c r="N8" s="875">
        <f t="shared" si="1"/>
        <v>13500</v>
      </c>
      <c r="O8" s="876">
        <f t="shared" si="0"/>
        <v>7.514746926008049E-3</v>
      </c>
    </row>
    <row r="9" spans="1:17" ht="15.75" hidden="1" outlineLevel="1">
      <c r="A9" s="867" t="s">
        <v>226</v>
      </c>
      <c r="B9" s="868" t="s">
        <v>227</v>
      </c>
      <c r="C9" s="877" t="s">
        <v>165</v>
      </c>
      <c r="D9" s="870">
        <v>8</v>
      </c>
      <c r="E9" s="871">
        <v>1026</v>
      </c>
      <c r="F9" s="872">
        <f>D9*E9</f>
        <v>8208</v>
      </c>
      <c r="G9" s="870">
        <v>8</v>
      </c>
      <c r="H9" s="878">
        <v>1700</v>
      </c>
      <c r="I9" s="873">
        <f>G9*H9</f>
        <v>13600</v>
      </c>
      <c r="J9" s="870">
        <v>8</v>
      </c>
      <c r="K9" s="871">
        <v>1774</v>
      </c>
      <c r="L9" s="874">
        <f>J9*K9</f>
        <v>14192</v>
      </c>
      <c r="M9" s="879">
        <f t="shared" si="1"/>
        <v>4500</v>
      </c>
      <c r="N9" s="879">
        <f t="shared" si="1"/>
        <v>36000</v>
      </c>
      <c r="O9" s="880">
        <f t="shared" si="0"/>
        <v>2.0039325136021462E-2</v>
      </c>
    </row>
    <row r="10" spans="1:17" ht="15.75" hidden="1" outlineLevel="1">
      <c r="A10" s="881" t="s">
        <v>224</v>
      </c>
      <c r="B10" s="882" t="s">
        <v>225</v>
      </c>
      <c r="C10" s="883" t="s">
        <v>165</v>
      </c>
      <c r="D10" s="884">
        <v>3.6</v>
      </c>
      <c r="E10" s="885">
        <v>460</v>
      </c>
      <c r="F10" s="886">
        <f t="shared" ref="F10:F47" si="2">D10*E10</f>
        <v>1656</v>
      </c>
      <c r="G10" s="884">
        <v>3.6</v>
      </c>
      <c r="H10" s="887">
        <v>674.91200000000003</v>
      </c>
      <c r="I10" s="888">
        <f>G10*H10</f>
        <v>2429.6832000000004</v>
      </c>
      <c r="J10" s="884">
        <v>3.6</v>
      </c>
      <c r="K10" s="885">
        <v>1780</v>
      </c>
      <c r="L10" s="889">
        <f>J10*K10</f>
        <v>6408</v>
      </c>
      <c r="M10" s="879">
        <f t="shared" si="1"/>
        <v>2914.9120000000003</v>
      </c>
      <c r="N10" s="879">
        <f t="shared" si="1"/>
        <v>10493.683199999999</v>
      </c>
      <c r="O10" s="890">
        <f t="shared" si="0"/>
        <v>5.8412869310890594E-3</v>
      </c>
    </row>
    <row r="11" spans="1:17" ht="18.75" hidden="1" customHeight="1" outlineLevel="1" thickBot="1">
      <c r="A11" s="891" t="s">
        <v>851</v>
      </c>
      <c r="B11" s="892" t="s">
        <v>223</v>
      </c>
      <c r="C11" s="893" t="s">
        <v>161</v>
      </c>
      <c r="D11" s="894">
        <v>5000</v>
      </c>
      <c r="E11" s="895">
        <v>1</v>
      </c>
      <c r="F11" s="896">
        <f t="shared" si="2"/>
        <v>5000</v>
      </c>
      <c r="G11" s="894">
        <v>6000</v>
      </c>
      <c r="H11" s="887">
        <v>1</v>
      </c>
      <c r="I11" s="888">
        <f>G11*H11</f>
        <v>6000</v>
      </c>
      <c r="J11" s="897">
        <v>8500</v>
      </c>
      <c r="K11" s="895">
        <v>1</v>
      </c>
      <c r="L11" s="898">
        <f>J11*K11</f>
        <v>8500</v>
      </c>
      <c r="M11" s="899">
        <f t="shared" si="1"/>
        <v>3</v>
      </c>
      <c r="N11" s="899">
        <f t="shared" si="1"/>
        <v>19500</v>
      </c>
      <c r="O11" s="900">
        <f t="shared" si="0"/>
        <v>1.0854634448678293E-2</v>
      </c>
    </row>
    <row r="12" spans="1:17" ht="18.75" collapsed="1" thickBot="1">
      <c r="A12" s="856" t="s">
        <v>16</v>
      </c>
      <c r="B12" s="857" t="s">
        <v>222</v>
      </c>
      <c r="C12" s="851"/>
      <c r="D12" s="859"/>
      <c r="E12" s="842"/>
      <c r="F12" s="860">
        <f>SUM(F13:F19)</f>
        <v>250720</v>
      </c>
      <c r="G12" s="861"/>
      <c r="H12" s="862"/>
      <c r="I12" s="863">
        <f>SUM(I13:I19)</f>
        <v>307120</v>
      </c>
      <c r="J12" s="859"/>
      <c r="K12" s="842"/>
      <c r="L12" s="864">
        <f>SUM(L13:L19)</f>
        <v>341536</v>
      </c>
      <c r="M12" s="865">
        <f t="shared" si="1"/>
        <v>0</v>
      </c>
      <c r="N12" s="848">
        <f>SUM(I12,L12,)+F12</f>
        <v>899376</v>
      </c>
      <c r="O12" s="866">
        <f t="shared" si="0"/>
        <v>0.50063578009817888</v>
      </c>
      <c r="P12" s="901" t="s">
        <v>852</v>
      </c>
      <c r="Q12" s="855"/>
    </row>
    <row r="13" spans="1:17" ht="15.75" hidden="1" outlineLevel="1">
      <c r="A13" s="867" t="s">
        <v>221</v>
      </c>
      <c r="B13" s="868" t="s">
        <v>220</v>
      </c>
      <c r="C13" s="902" t="s">
        <v>161</v>
      </c>
      <c r="D13" s="903">
        <v>8000</v>
      </c>
      <c r="E13" s="871">
        <v>0</v>
      </c>
      <c r="F13" s="872">
        <f t="shared" si="2"/>
        <v>0</v>
      </c>
      <c r="G13" s="844">
        <v>14000</v>
      </c>
      <c r="H13" s="845">
        <v>0</v>
      </c>
      <c r="I13" s="904">
        <f>G13*H13</f>
        <v>0</v>
      </c>
      <c r="J13" s="903">
        <v>30000</v>
      </c>
      <c r="K13" s="871">
        <v>0</v>
      </c>
      <c r="L13" s="874">
        <f>J13*K13</f>
        <v>0</v>
      </c>
      <c r="M13" s="875">
        <f t="shared" si="1"/>
        <v>0</v>
      </c>
      <c r="N13" s="875">
        <f>SUM(F13,I13,L13,)</f>
        <v>0</v>
      </c>
      <c r="O13" s="905">
        <f t="shared" si="0"/>
        <v>0</v>
      </c>
    </row>
    <row r="14" spans="1:17" ht="30.75" hidden="1" outlineLevel="1">
      <c r="A14" s="881" t="s">
        <v>219</v>
      </c>
      <c r="B14" s="882" t="s">
        <v>853</v>
      </c>
      <c r="C14" s="906" t="s">
        <v>161</v>
      </c>
      <c r="D14" s="884">
        <v>12000</v>
      </c>
      <c r="E14" s="885">
        <v>1</v>
      </c>
      <c r="F14" s="886">
        <f t="shared" si="2"/>
        <v>12000</v>
      </c>
      <c r="G14" s="884">
        <v>6000</v>
      </c>
      <c r="H14" s="887">
        <v>1</v>
      </c>
      <c r="I14" s="888">
        <f>G14*H14</f>
        <v>6000</v>
      </c>
      <c r="J14" s="884">
        <v>6000</v>
      </c>
      <c r="K14" s="885">
        <v>1</v>
      </c>
      <c r="L14" s="889">
        <f>J14*K14</f>
        <v>6000</v>
      </c>
      <c r="M14" s="879">
        <f t="shared" si="1"/>
        <v>3</v>
      </c>
      <c r="N14" s="879">
        <f t="shared" si="1"/>
        <v>24000</v>
      </c>
      <c r="O14" s="880">
        <f t="shared" si="0"/>
        <v>1.3359550090680976E-2</v>
      </c>
    </row>
    <row r="15" spans="1:17" ht="15.75" hidden="1" outlineLevel="1">
      <c r="A15" s="881" t="s">
        <v>217</v>
      </c>
      <c r="B15" s="882" t="s">
        <v>216</v>
      </c>
      <c r="C15" s="906" t="s">
        <v>165</v>
      </c>
      <c r="D15" s="897"/>
      <c r="E15" s="895"/>
      <c r="F15" s="896"/>
      <c r="G15" s="907"/>
      <c r="H15" s="887"/>
      <c r="I15" s="888"/>
      <c r="J15" s="884"/>
      <c r="K15" s="885"/>
      <c r="L15" s="889"/>
      <c r="M15" s="879">
        <f t="shared" si="1"/>
        <v>0</v>
      </c>
      <c r="N15" s="879">
        <f t="shared" si="1"/>
        <v>0</v>
      </c>
      <c r="O15" s="880">
        <f t="shared" si="0"/>
        <v>0</v>
      </c>
    </row>
    <row r="16" spans="1:17" ht="15.75" hidden="1" outlineLevel="1">
      <c r="A16" s="881" t="s">
        <v>215</v>
      </c>
      <c r="B16" s="882" t="s">
        <v>214</v>
      </c>
      <c r="C16" s="906" t="s">
        <v>165</v>
      </c>
      <c r="D16" s="884">
        <v>160</v>
      </c>
      <c r="E16" s="885">
        <v>972</v>
      </c>
      <c r="F16" s="886">
        <f>D16*E16</f>
        <v>155520</v>
      </c>
      <c r="G16" s="908">
        <v>160</v>
      </c>
      <c r="H16" s="887">
        <v>486</v>
      </c>
      <c r="I16" s="888">
        <f>G16*H16</f>
        <v>77760</v>
      </c>
      <c r="J16" s="884">
        <v>160</v>
      </c>
      <c r="K16" s="885">
        <v>486</v>
      </c>
      <c r="L16" s="889">
        <f>J16*K16</f>
        <v>77760</v>
      </c>
      <c r="M16" s="879">
        <f t="shared" si="1"/>
        <v>1944</v>
      </c>
      <c r="N16" s="879">
        <f t="shared" si="1"/>
        <v>311040</v>
      </c>
      <c r="O16" s="880">
        <f t="shared" si="0"/>
        <v>0.17313976917522544</v>
      </c>
    </row>
    <row r="17" spans="1:70" ht="15.75" hidden="1" outlineLevel="1">
      <c r="A17" s="881" t="s">
        <v>213</v>
      </c>
      <c r="B17" s="882" t="s">
        <v>212</v>
      </c>
      <c r="C17" s="906" t="s">
        <v>165</v>
      </c>
      <c r="D17" s="903"/>
      <c r="E17" s="871"/>
      <c r="F17" s="872"/>
      <c r="G17" s="908">
        <v>240</v>
      </c>
      <c r="H17" s="887">
        <v>584</v>
      </c>
      <c r="I17" s="888">
        <f>G17*H17</f>
        <v>140160</v>
      </c>
      <c r="J17" s="884">
        <v>240</v>
      </c>
      <c r="K17" s="885">
        <v>842.4</v>
      </c>
      <c r="L17" s="889">
        <f>J17*K17</f>
        <v>202176</v>
      </c>
      <c r="M17" s="879">
        <f t="shared" si="1"/>
        <v>1426.4</v>
      </c>
      <c r="N17" s="879">
        <f t="shared" si="1"/>
        <v>342336</v>
      </c>
      <c r="O17" s="880">
        <f t="shared" si="0"/>
        <v>0.19056062249347344</v>
      </c>
    </row>
    <row r="18" spans="1:70" ht="15.75" hidden="1" outlineLevel="1">
      <c r="A18" s="881" t="s">
        <v>211</v>
      </c>
      <c r="B18" s="909" t="s">
        <v>854</v>
      </c>
      <c r="C18" s="906" t="s">
        <v>161</v>
      </c>
      <c r="D18" s="910">
        <v>13800</v>
      </c>
      <c r="E18" s="885">
        <v>4</v>
      </c>
      <c r="F18" s="886">
        <f>D18*E18</f>
        <v>55200</v>
      </c>
      <c r="G18" s="910">
        <v>13800</v>
      </c>
      <c r="H18" s="887">
        <v>4</v>
      </c>
      <c r="I18" s="888">
        <f>G18*H18</f>
        <v>55200</v>
      </c>
      <c r="J18" s="911">
        <v>13800</v>
      </c>
      <c r="K18" s="885">
        <v>2</v>
      </c>
      <c r="L18" s="889">
        <f>J18*K18</f>
        <v>27600</v>
      </c>
      <c r="M18" s="879">
        <f t="shared" si="1"/>
        <v>10</v>
      </c>
      <c r="N18" s="879">
        <f t="shared" si="1"/>
        <v>138000</v>
      </c>
      <c r="O18" s="880">
        <f t="shared" si="0"/>
        <v>7.6817413021415606E-2</v>
      </c>
    </row>
    <row r="19" spans="1:70" ht="30.75" hidden="1" outlineLevel="1" thickBot="1">
      <c r="A19" s="912" t="s">
        <v>209</v>
      </c>
      <c r="B19" s="913" t="s">
        <v>208</v>
      </c>
      <c r="C19" s="914" t="s">
        <v>161</v>
      </c>
      <c r="D19" s="897">
        <v>28000</v>
      </c>
      <c r="E19" s="895">
        <v>1</v>
      </c>
      <c r="F19" s="896">
        <f t="shared" si="2"/>
        <v>28000</v>
      </c>
      <c r="G19" s="915">
        <v>28000</v>
      </c>
      <c r="H19" s="916">
        <v>1</v>
      </c>
      <c r="I19" s="917">
        <f>G19*H19</f>
        <v>28000</v>
      </c>
      <c r="J19" s="915">
        <v>28000</v>
      </c>
      <c r="K19" s="895">
        <v>1</v>
      </c>
      <c r="L19" s="898">
        <f>J19*K19</f>
        <v>28000</v>
      </c>
      <c r="M19" s="899">
        <f t="shared" si="1"/>
        <v>3</v>
      </c>
      <c r="N19" s="899">
        <f t="shared" si="1"/>
        <v>84000</v>
      </c>
      <c r="O19" s="900">
        <f t="shared" si="0"/>
        <v>4.6758425317383417E-2</v>
      </c>
    </row>
    <row r="20" spans="1:70" ht="32.25" collapsed="1" thickBot="1">
      <c r="A20" s="856" t="s">
        <v>19</v>
      </c>
      <c r="B20" s="857" t="s">
        <v>207</v>
      </c>
      <c r="C20" s="851"/>
      <c r="D20" s="859"/>
      <c r="E20" s="842"/>
      <c r="F20" s="860">
        <f>SUM(F21:F29)</f>
        <v>66384</v>
      </c>
      <c r="G20" s="861"/>
      <c r="H20" s="862"/>
      <c r="I20" s="863">
        <f>SUM(I21:I29)</f>
        <v>84944</v>
      </c>
      <c r="J20" s="859"/>
      <c r="K20" s="842"/>
      <c r="L20" s="864">
        <f>SUM(L21:L29)</f>
        <v>158480</v>
      </c>
      <c r="M20" s="865">
        <f t="shared" si="1"/>
        <v>0</v>
      </c>
      <c r="N20" s="848">
        <f t="shared" si="1"/>
        <v>309808</v>
      </c>
      <c r="O20" s="866">
        <f t="shared" si="0"/>
        <v>0.17245397893723716</v>
      </c>
    </row>
    <row r="21" spans="1:70" ht="15.75" hidden="1" outlineLevel="1">
      <c r="A21" s="867" t="s">
        <v>206</v>
      </c>
      <c r="B21" s="868" t="s">
        <v>205</v>
      </c>
      <c r="C21" s="902" t="s">
        <v>161</v>
      </c>
      <c r="D21" s="870">
        <v>5800</v>
      </c>
      <c r="E21" s="871">
        <v>2</v>
      </c>
      <c r="F21" s="872">
        <f t="shared" si="2"/>
        <v>11600</v>
      </c>
      <c r="G21" s="870">
        <v>5800</v>
      </c>
      <c r="H21" s="887">
        <v>4</v>
      </c>
      <c r="I21" s="888">
        <f t="shared" ref="I21:I27" si="3">G21*H21</f>
        <v>23200</v>
      </c>
      <c r="J21" s="870">
        <v>8200</v>
      </c>
      <c r="K21" s="918">
        <v>2</v>
      </c>
      <c r="L21" s="874">
        <f t="shared" ref="L21:L27" si="4">J21*K21</f>
        <v>16400</v>
      </c>
      <c r="M21" s="875">
        <f t="shared" si="1"/>
        <v>8</v>
      </c>
      <c r="N21" s="875">
        <f t="shared" si="1"/>
        <v>51200</v>
      </c>
      <c r="O21" s="905">
        <f t="shared" si="0"/>
        <v>2.8500373526786082E-2</v>
      </c>
    </row>
    <row r="22" spans="1:70" ht="30.75" hidden="1" outlineLevel="1">
      <c r="A22" s="881" t="s">
        <v>204</v>
      </c>
      <c r="B22" s="882" t="s">
        <v>855</v>
      </c>
      <c r="C22" s="906" t="s">
        <v>196</v>
      </c>
      <c r="D22" s="884">
        <v>62</v>
      </c>
      <c r="E22" s="885">
        <v>280</v>
      </c>
      <c r="F22" s="886">
        <f t="shared" si="2"/>
        <v>17360</v>
      </c>
      <c r="G22" s="908">
        <v>62</v>
      </c>
      <c r="H22" s="887">
        <v>96</v>
      </c>
      <c r="I22" s="888">
        <f t="shared" si="3"/>
        <v>5952</v>
      </c>
      <c r="J22" s="884">
        <v>62</v>
      </c>
      <c r="K22" s="885">
        <v>240</v>
      </c>
      <c r="L22" s="889">
        <f t="shared" si="4"/>
        <v>14880</v>
      </c>
      <c r="M22" s="879">
        <f t="shared" si="1"/>
        <v>616</v>
      </c>
      <c r="N22" s="879">
        <f t="shared" si="1"/>
        <v>38192</v>
      </c>
      <c r="O22" s="880">
        <f t="shared" si="0"/>
        <v>2.1259497377636993E-2</v>
      </c>
    </row>
    <row r="23" spans="1:70" ht="15.75" hidden="1" outlineLevel="1">
      <c r="A23" s="881" t="s">
        <v>202</v>
      </c>
      <c r="B23" s="882" t="s">
        <v>201</v>
      </c>
      <c r="C23" s="906" t="s">
        <v>165</v>
      </c>
      <c r="D23" s="884">
        <v>32</v>
      </c>
      <c r="E23" s="885">
        <v>460</v>
      </c>
      <c r="F23" s="886">
        <f t="shared" si="2"/>
        <v>14720</v>
      </c>
      <c r="G23" s="908">
        <v>32</v>
      </c>
      <c r="H23" s="887">
        <v>675</v>
      </c>
      <c r="I23" s="888">
        <f t="shared" si="3"/>
        <v>21600</v>
      </c>
      <c r="J23" s="884">
        <v>56</v>
      </c>
      <c r="K23" s="885">
        <v>1780</v>
      </c>
      <c r="L23" s="889">
        <f t="shared" si="4"/>
        <v>99680</v>
      </c>
      <c r="M23" s="879">
        <f t="shared" ref="M23:N51" si="5">SUM(E23,H23,K23,)</f>
        <v>2915</v>
      </c>
      <c r="N23" s="879">
        <f t="shared" si="5"/>
        <v>136000</v>
      </c>
      <c r="O23" s="880">
        <f t="shared" si="0"/>
        <v>7.5704117180525526E-2</v>
      </c>
    </row>
    <row r="24" spans="1:70" ht="15.75" hidden="1" outlineLevel="1">
      <c r="A24" s="881" t="s">
        <v>200</v>
      </c>
      <c r="B24" s="882" t="s">
        <v>199</v>
      </c>
      <c r="C24" s="906" t="s">
        <v>165</v>
      </c>
      <c r="D24" s="884">
        <v>160</v>
      </c>
      <c r="E24" s="885">
        <v>55</v>
      </c>
      <c r="F24" s="886">
        <f t="shared" si="2"/>
        <v>8800</v>
      </c>
      <c r="G24" s="908">
        <v>160</v>
      </c>
      <c r="H24" s="887">
        <v>122</v>
      </c>
      <c r="I24" s="888">
        <f t="shared" si="3"/>
        <v>19520</v>
      </c>
      <c r="J24" s="884">
        <v>140</v>
      </c>
      <c r="K24" s="885">
        <v>68</v>
      </c>
      <c r="L24" s="889">
        <f t="shared" si="4"/>
        <v>9520</v>
      </c>
      <c r="M24" s="879">
        <f t="shared" si="5"/>
        <v>245</v>
      </c>
      <c r="N24" s="879">
        <f t="shared" si="5"/>
        <v>37840</v>
      </c>
      <c r="O24" s="890">
        <f t="shared" si="0"/>
        <v>2.1063557309640338E-2</v>
      </c>
    </row>
    <row r="25" spans="1:70" ht="15.75" hidden="1" outlineLevel="1">
      <c r="A25" s="881" t="s">
        <v>198</v>
      </c>
      <c r="B25" s="882" t="s">
        <v>856</v>
      </c>
      <c r="C25" s="906" t="s">
        <v>196</v>
      </c>
      <c r="D25" s="884">
        <v>42</v>
      </c>
      <c r="E25" s="885">
        <v>192</v>
      </c>
      <c r="F25" s="886">
        <f t="shared" si="2"/>
        <v>8064</v>
      </c>
      <c r="G25" s="908">
        <v>42</v>
      </c>
      <c r="H25" s="887">
        <v>192</v>
      </c>
      <c r="I25" s="888">
        <f t="shared" si="3"/>
        <v>8064</v>
      </c>
      <c r="J25" s="884">
        <v>42</v>
      </c>
      <c r="K25" s="885">
        <v>320</v>
      </c>
      <c r="L25" s="889">
        <f t="shared" si="4"/>
        <v>13440</v>
      </c>
      <c r="M25" s="879">
        <f t="shared" si="5"/>
        <v>704</v>
      </c>
      <c r="N25" s="879">
        <f t="shared" si="5"/>
        <v>29568</v>
      </c>
      <c r="O25" s="890">
        <f t="shared" si="0"/>
        <v>1.6458965711718961E-2</v>
      </c>
    </row>
    <row r="26" spans="1:70" ht="15.75" hidden="1" outlineLevel="1">
      <c r="A26" s="867" t="s">
        <v>195</v>
      </c>
      <c r="B26" s="882" t="s">
        <v>194</v>
      </c>
      <c r="C26" s="906" t="s">
        <v>161</v>
      </c>
      <c r="D26" s="884">
        <v>8000</v>
      </c>
      <c r="E26" s="919">
        <v>0</v>
      </c>
      <c r="F26" s="886">
        <f t="shared" si="2"/>
        <v>0</v>
      </c>
      <c r="G26" s="908">
        <v>8000</v>
      </c>
      <c r="H26" s="920">
        <v>0</v>
      </c>
      <c r="I26" s="888">
        <f t="shared" si="3"/>
        <v>0</v>
      </c>
      <c r="J26" s="884">
        <v>8000</v>
      </c>
      <c r="K26" s="919">
        <v>0</v>
      </c>
      <c r="L26" s="889">
        <f t="shared" si="4"/>
        <v>0</v>
      </c>
      <c r="M26" s="879">
        <f t="shared" si="5"/>
        <v>0</v>
      </c>
      <c r="N26" s="879">
        <f t="shared" si="5"/>
        <v>0</v>
      </c>
      <c r="O26" s="890">
        <f t="shared" si="0"/>
        <v>0</v>
      </c>
    </row>
    <row r="27" spans="1:70" ht="15.75" hidden="1" outlineLevel="1">
      <c r="A27" s="921" t="s">
        <v>193</v>
      </c>
      <c r="B27" s="922" t="s">
        <v>857</v>
      </c>
      <c r="C27" s="914" t="s">
        <v>161</v>
      </c>
      <c r="D27" s="923">
        <v>1000</v>
      </c>
      <c r="E27" s="924">
        <v>2</v>
      </c>
      <c r="F27" s="896">
        <f t="shared" si="2"/>
        <v>2000</v>
      </c>
      <c r="G27" s="923">
        <v>1000</v>
      </c>
      <c r="H27" s="925">
        <v>2</v>
      </c>
      <c r="I27" s="926">
        <f t="shared" si="3"/>
        <v>2000</v>
      </c>
      <c r="J27" s="923">
        <v>1000</v>
      </c>
      <c r="K27" s="924">
        <v>2</v>
      </c>
      <c r="L27" s="898">
        <f t="shared" si="4"/>
        <v>2000</v>
      </c>
      <c r="M27" s="879">
        <f t="shared" si="5"/>
        <v>6</v>
      </c>
      <c r="N27" s="879">
        <f t="shared" si="5"/>
        <v>6000</v>
      </c>
      <c r="O27" s="890">
        <f t="shared" si="0"/>
        <v>3.339887522670244E-3</v>
      </c>
    </row>
    <row r="28" spans="1:70" s="937" customFormat="1" ht="15.75" hidden="1" outlineLevel="1">
      <c r="A28" s="927" t="s">
        <v>191</v>
      </c>
      <c r="B28" s="882" t="s">
        <v>858</v>
      </c>
      <c r="C28" s="928" t="s">
        <v>161</v>
      </c>
      <c r="D28" s="929"/>
      <c r="E28" s="930"/>
      <c r="F28" s="931"/>
      <c r="G28" s="932"/>
      <c r="H28" s="933"/>
      <c r="I28" s="934"/>
      <c r="J28" s="929"/>
      <c r="K28" s="930"/>
      <c r="L28" s="935"/>
      <c r="M28" s="879">
        <f t="shared" si="5"/>
        <v>0</v>
      </c>
      <c r="N28" s="879">
        <f t="shared" si="5"/>
        <v>0</v>
      </c>
      <c r="O28" s="890">
        <f t="shared" si="0"/>
        <v>0</v>
      </c>
      <c r="P28" s="936"/>
      <c r="Q28" s="936"/>
      <c r="R28" s="936"/>
      <c r="S28" s="936"/>
      <c r="T28" s="936"/>
      <c r="U28" s="936"/>
      <c r="V28" s="936"/>
      <c r="W28" s="936"/>
      <c r="X28" s="936"/>
      <c r="Y28" s="936"/>
      <c r="Z28" s="936"/>
      <c r="AA28" s="936"/>
      <c r="AB28" s="936"/>
      <c r="AC28" s="936"/>
      <c r="AD28" s="936"/>
      <c r="AE28" s="936"/>
      <c r="AF28" s="936"/>
      <c r="AG28" s="936"/>
      <c r="AH28" s="936"/>
      <c r="AI28" s="936"/>
      <c r="AJ28" s="936"/>
      <c r="AK28" s="936"/>
      <c r="AL28" s="936"/>
      <c r="AM28" s="936"/>
      <c r="AN28" s="936"/>
      <c r="AO28" s="936"/>
      <c r="AP28" s="936"/>
      <c r="AQ28" s="936"/>
      <c r="AR28" s="936"/>
      <c r="AS28" s="936"/>
      <c r="AT28" s="936"/>
      <c r="AU28" s="936"/>
      <c r="AV28" s="936"/>
      <c r="AW28" s="936"/>
      <c r="AX28" s="936"/>
      <c r="AY28" s="936"/>
      <c r="AZ28" s="936"/>
      <c r="BA28" s="936"/>
      <c r="BB28" s="936"/>
      <c r="BC28" s="936"/>
      <c r="BD28" s="936"/>
      <c r="BE28" s="936"/>
      <c r="BF28" s="936"/>
      <c r="BG28" s="936"/>
      <c r="BH28" s="936"/>
      <c r="BI28" s="936"/>
      <c r="BJ28" s="936"/>
      <c r="BK28" s="936"/>
      <c r="BL28" s="936"/>
      <c r="BM28" s="936"/>
      <c r="BN28" s="936"/>
      <c r="BO28" s="936"/>
      <c r="BP28" s="936"/>
      <c r="BQ28" s="936"/>
      <c r="BR28" s="936"/>
    </row>
    <row r="29" spans="1:70" ht="15.75" hidden="1" customHeight="1" outlineLevel="1" thickBot="1">
      <c r="A29" s="938" t="s">
        <v>189</v>
      </c>
      <c r="B29" s="939" t="s">
        <v>188</v>
      </c>
      <c r="C29" s="940" t="s">
        <v>165</v>
      </c>
      <c r="D29" s="941">
        <v>32</v>
      </c>
      <c r="E29" s="942">
        <v>120</v>
      </c>
      <c r="F29" s="943">
        <f t="shared" si="2"/>
        <v>3840</v>
      </c>
      <c r="G29" s="908">
        <v>32</v>
      </c>
      <c r="H29" s="887">
        <v>144</v>
      </c>
      <c r="I29" s="888">
        <f>G29*H29</f>
        <v>4608</v>
      </c>
      <c r="J29" s="941">
        <v>32</v>
      </c>
      <c r="K29" s="942">
        <v>80</v>
      </c>
      <c r="L29" s="944">
        <f>J29*K29</f>
        <v>2560</v>
      </c>
      <c r="M29" s="899">
        <f t="shared" si="5"/>
        <v>344</v>
      </c>
      <c r="N29" s="899">
        <f t="shared" si="5"/>
        <v>11008</v>
      </c>
      <c r="O29" s="945">
        <f t="shared" si="0"/>
        <v>6.1275803082590074E-3</v>
      </c>
    </row>
    <row r="30" spans="1:70" ht="17.25" customHeight="1" collapsed="1" thickBot="1">
      <c r="A30" s="856" t="s">
        <v>22</v>
      </c>
      <c r="B30" s="857" t="s">
        <v>187</v>
      </c>
      <c r="C30" s="851"/>
      <c r="D30" s="859"/>
      <c r="E30" s="842"/>
      <c r="F30" s="860">
        <f>SUM(F31:F37)</f>
        <v>33140</v>
      </c>
      <c r="G30" s="861"/>
      <c r="H30" s="862"/>
      <c r="I30" s="863">
        <f>SUM(I31:I37)</f>
        <v>24120</v>
      </c>
      <c r="J30" s="859"/>
      <c r="K30" s="842"/>
      <c r="L30" s="864">
        <f>SUM(L31:L37)</f>
        <v>0</v>
      </c>
      <c r="M30" s="865">
        <f t="shared" si="5"/>
        <v>0</v>
      </c>
      <c r="N30" s="848">
        <f t="shared" si="5"/>
        <v>57260</v>
      </c>
      <c r="O30" s="946">
        <f>N30/N51</f>
        <v>3.187365992468303E-2</v>
      </c>
    </row>
    <row r="31" spans="1:70" ht="15.75" hidden="1" outlineLevel="1">
      <c r="A31" s="947"/>
      <c r="B31" s="868" t="s">
        <v>186</v>
      </c>
      <c r="C31" s="902" t="s">
        <v>165</v>
      </c>
      <c r="D31" s="903"/>
      <c r="E31" s="871"/>
      <c r="F31" s="872"/>
      <c r="G31" s="948"/>
      <c r="H31" s="878"/>
      <c r="I31" s="873"/>
      <c r="J31" s="903"/>
      <c r="K31" s="871"/>
      <c r="L31" s="874"/>
      <c r="M31" s="875">
        <f t="shared" si="5"/>
        <v>0</v>
      </c>
      <c r="N31" s="875">
        <f t="shared" si="5"/>
        <v>0</v>
      </c>
      <c r="O31" s="949">
        <f t="shared" ref="O31:O36" si="6">N31/$N$51</f>
        <v>0</v>
      </c>
    </row>
    <row r="32" spans="1:70" ht="15.75" hidden="1" outlineLevel="1">
      <c r="A32" s="881" t="s">
        <v>97</v>
      </c>
      <c r="B32" s="882" t="s">
        <v>185</v>
      </c>
      <c r="C32" s="906" t="s">
        <v>165</v>
      </c>
      <c r="D32" s="923">
        <v>300</v>
      </c>
      <c r="E32" s="885">
        <v>32</v>
      </c>
      <c r="F32" s="886">
        <f t="shared" si="2"/>
        <v>9600</v>
      </c>
      <c r="G32" s="923">
        <v>300</v>
      </c>
      <c r="H32" s="887">
        <v>0</v>
      </c>
      <c r="I32" s="888">
        <f>G32*H32</f>
        <v>0</v>
      </c>
      <c r="J32" s="923">
        <v>300</v>
      </c>
      <c r="K32" s="885">
        <v>0</v>
      </c>
      <c r="L32" s="889">
        <f>J32*K32</f>
        <v>0</v>
      </c>
      <c r="M32" s="879">
        <f t="shared" si="5"/>
        <v>32</v>
      </c>
      <c r="N32" s="879">
        <f t="shared" si="5"/>
        <v>9600</v>
      </c>
      <c r="O32" s="890">
        <f t="shared" si="6"/>
        <v>5.3438200362723905E-3</v>
      </c>
    </row>
    <row r="33" spans="1:16" ht="15.75" hidden="1" outlineLevel="1">
      <c r="A33" s="881" t="s">
        <v>98</v>
      </c>
      <c r="B33" s="882" t="s">
        <v>184</v>
      </c>
      <c r="C33" s="906" t="s">
        <v>165</v>
      </c>
      <c r="D33" s="923">
        <v>310</v>
      </c>
      <c r="E33" s="885">
        <v>14</v>
      </c>
      <c r="F33" s="886">
        <f t="shared" si="2"/>
        <v>4340</v>
      </c>
      <c r="G33" s="923">
        <v>310</v>
      </c>
      <c r="H33" s="887">
        <v>0</v>
      </c>
      <c r="I33" s="888">
        <f>G33*H33</f>
        <v>0</v>
      </c>
      <c r="J33" s="923">
        <v>310</v>
      </c>
      <c r="K33" s="885">
        <v>0</v>
      </c>
      <c r="L33" s="889">
        <f>J33*K33</f>
        <v>0</v>
      </c>
      <c r="M33" s="879">
        <f t="shared" si="5"/>
        <v>14</v>
      </c>
      <c r="N33" s="879">
        <f t="shared" si="5"/>
        <v>4340</v>
      </c>
      <c r="O33" s="890">
        <f t="shared" si="6"/>
        <v>2.4158519747314762E-3</v>
      </c>
    </row>
    <row r="34" spans="1:16" ht="15.75" hidden="1" outlineLevel="1">
      <c r="A34" s="881" t="s">
        <v>183</v>
      </c>
      <c r="B34" s="909" t="s">
        <v>182</v>
      </c>
      <c r="C34" s="906" t="s">
        <v>165</v>
      </c>
      <c r="D34" s="923">
        <v>620</v>
      </c>
      <c r="E34" s="885">
        <v>12</v>
      </c>
      <c r="F34" s="886">
        <f t="shared" si="2"/>
        <v>7440</v>
      </c>
      <c r="G34" s="923">
        <v>620</v>
      </c>
      <c r="H34" s="887">
        <v>26</v>
      </c>
      <c r="I34" s="888">
        <f>G34*H34</f>
        <v>16120</v>
      </c>
      <c r="J34" s="923">
        <v>620</v>
      </c>
      <c r="K34" s="885">
        <v>0</v>
      </c>
      <c r="L34" s="889">
        <f>J34*K34</f>
        <v>0</v>
      </c>
      <c r="M34" s="879">
        <f t="shared" si="5"/>
        <v>38</v>
      </c>
      <c r="N34" s="879">
        <f t="shared" si="5"/>
        <v>23560</v>
      </c>
      <c r="O34" s="890">
        <f t="shared" si="6"/>
        <v>1.3114625005685157E-2</v>
      </c>
    </row>
    <row r="35" spans="1:16" ht="15.75" hidden="1" outlineLevel="1">
      <c r="A35" s="912" t="s">
        <v>181</v>
      </c>
      <c r="B35" s="913" t="s">
        <v>859</v>
      </c>
      <c r="C35" s="914" t="s">
        <v>165</v>
      </c>
      <c r="D35" s="897">
        <v>220</v>
      </c>
      <c r="E35" s="895">
        <v>8</v>
      </c>
      <c r="F35" s="886">
        <f t="shared" si="2"/>
        <v>1760</v>
      </c>
      <c r="G35" s="950">
        <v>0</v>
      </c>
      <c r="H35" s="887">
        <v>0</v>
      </c>
      <c r="I35" s="888">
        <v>0</v>
      </c>
      <c r="J35" s="897">
        <v>0</v>
      </c>
      <c r="K35" s="895">
        <v>0</v>
      </c>
      <c r="L35" s="898">
        <v>0</v>
      </c>
      <c r="M35" s="879">
        <f t="shared" si="5"/>
        <v>8</v>
      </c>
      <c r="N35" s="879">
        <f t="shared" si="5"/>
        <v>1760</v>
      </c>
      <c r="O35" s="890">
        <f t="shared" si="6"/>
        <v>9.7970033998327159E-4</v>
      </c>
    </row>
    <row r="36" spans="1:16" ht="15.75" hidden="1" outlineLevel="1">
      <c r="A36" s="912" t="s">
        <v>729</v>
      </c>
      <c r="B36" s="913" t="s">
        <v>180</v>
      </c>
      <c r="C36" s="914" t="s">
        <v>161</v>
      </c>
      <c r="D36" s="897">
        <v>10000</v>
      </c>
      <c r="E36" s="895">
        <v>1</v>
      </c>
      <c r="F36" s="896">
        <f>D36*E36</f>
        <v>10000</v>
      </c>
      <c r="G36" s="908">
        <v>15000</v>
      </c>
      <c r="H36" s="887">
        <v>1</v>
      </c>
      <c r="I36" s="888">
        <v>8000</v>
      </c>
      <c r="J36" s="897">
        <v>10000</v>
      </c>
      <c r="K36" s="895">
        <v>0</v>
      </c>
      <c r="L36" s="898">
        <f>J36*K36</f>
        <v>0</v>
      </c>
      <c r="M36" s="879">
        <f t="shared" si="5"/>
        <v>2</v>
      </c>
      <c r="N36" s="879">
        <f t="shared" si="5"/>
        <v>18000</v>
      </c>
      <c r="O36" s="890">
        <f t="shared" si="6"/>
        <v>1.0019662568010731E-2</v>
      </c>
    </row>
    <row r="37" spans="1:16" ht="16.5" hidden="1" outlineLevel="1" thickBot="1">
      <c r="A37" s="912" t="s">
        <v>860</v>
      </c>
      <c r="B37" s="913" t="s">
        <v>861</v>
      </c>
      <c r="C37" s="914" t="s">
        <v>161</v>
      </c>
      <c r="D37" s="897">
        <v>15000</v>
      </c>
      <c r="E37" s="895">
        <v>0</v>
      </c>
      <c r="F37" s="896">
        <f>D37*E37</f>
        <v>0</v>
      </c>
      <c r="G37" s="897">
        <v>18000</v>
      </c>
      <c r="H37" s="887">
        <v>0</v>
      </c>
      <c r="I37" s="888">
        <f>G37*H37</f>
        <v>0</v>
      </c>
      <c r="J37" s="897"/>
      <c r="K37" s="895"/>
      <c r="L37" s="898"/>
      <c r="M37" s="899">
        <f t="shared" si="5"/>
        <v>0</v>
      </c>
      <c r="N37" s="899">
        <f t="shared" si="5"/>
        <v>0</v>
      </c>
      <c r="O37" s="945"/>
    </row>
    <row r="38" spans="1:16" ht="18.75" collapsed="1" thickBot="1">
      <c r="A38" s="856" t="s">
        <v>23</v>
      </c>
      <c r="B38" s="857" t="s">
        <v>178</v>
      </c>
      <c r="C38" s="851"/>
      <c r="D38" s="859"/>
      <c r="E38" s="842"/>
      <c r="F38" s="860">
        <f>SUM(F39:F45)</f>
        <v>42470</v>
      </c>
      <c r="G38" s="861"/>
      <c r="H38" s="862"/>
      <c r="I38" s="863">
        <f>SUM(I39:I45)</f>
        <v>59330</v>
      </c>
      <c r="J38" s="859"/>
      <c r="K38" s="842"/>
      <c r="L38" s="864">
        <f>SUM(L39:L45)</f>
        <v>49730</v>
      </c>
      <c r="M38" s="865">
        <f t="shared" si="5"/>
        <v>0</v>
      </c>
      <c r="N38" s="848">
        <f t="shared" si="5"/>
        <v>151530</v>
      </c>
      <c r="O38" s="946">
        <f t="shared" ref="O38:O51" si="7">N38/$N$51</f>
        <v>8.4348859385037014E-2</v>
      </c>
      <c r="P38" s="855"/>
    </row>
    <row r="39" spans="1:16" ht="15.75" hidden="1" outlineLevel="1">
      <c r="A39" s="867" t="s">
        <v>99</v>
      </c>
      <c r="B39" s="868" t="s">
        <v>177</v>
      </c>
      <c r="C39" s="951" t="s">
        <v>161</v>
      </c>
      <c r="D39" s="952">
        <v>6430</v>
      </c>
      <c r="E39" s="953">
        <v>0</v>
      </c>
      <c r="F39" s="954">
        <f t="shared" si="2"/>
        <v>0</v>
      </c>
      <c r="G39" s="952">
        <v>6430</v>
      </c>
      <c r="H39" s="955">
        <v>2</v>
      </c>
      <c r="I39" s="956">
        <f t="shared" ref="I39:I45" si="8">G39*H39</f>
        <v>12860</v>
      </c>
      <c r="J39" s="952">
        <v>6430</v>
      </c>
      <c r="K39" s="953">
        <v>2</v>
      </c>
      <c r="L39" s="957">
        <f t="shared" ref="L39:L45" si="9">J39*K39</f>
        <v>12860</v>
      </c>
      <c r="M39" s="875">
        <f t="shared" si="5"/>
        <v>4</v>
      </c>
      <c r="N39" s="875">
        <f t="shared" si="5"/>
        <v>25720</v>
      </c>
      <c r="O39" s="949">
        <f t="shared" si="7"/>
        <v>1.4316984513846446E-2</v>
      </c>
    </row>
    <row r="40" spans="1:16" ht="15.75" hidden="1" outlineLevel="1">
      <c r="A40" s="881" t="s">
        <v>100</v>
      </c>
      <c r="B40" s="882" t="s">
        <v>176</v>
      </c>
      <c r="C40" s="958" t="s">
        <v>161</v>
      </c>
      <c r="D40" s="959">
        <v>20800</v>
      </c>
      <c r="E40" s="960">
        <v>1</v>
      </c>
      <c r="F40" s="961">
        <f t="shared" si="2"/>
        <v>20800</v>
      </c>
      <c r="G40" s="962">
        <v>16800</v>
      </c>
      <c r="H40" s="955">
        <v>1</v>
      </c>
      <c r="I40" s="956">
        <f t="shared" si="8"/>
        <v>16800</v>
      </c>
      <c r="J40" s="959">
        <v>15200</v>
      </c>
      <c r="K40" s="960">
        <v>1</v>
      </c>
      <c r="L40" s="963">
        <f t="shared" si="9"/>
        <v>15200</v>
      </c>
      <c r="M40" s="879">
        <f>SUM(E40,H40,K40,)</f>
        <v>3</v>
      </c>
      <c r="N40" s="879">
        <f t="shared" si="5"/>
        <v>52800</v>
      </c>
      <c r="O40" s="890">
        <f t="shared" si="7"/>
        <v>2.9391010199498146E-2</v>
      </c>
    </row>
    <row r="41" spans="1:16" ht="15.75" hidden="1" outlineLevel="1">
      <c r="A41" s="881" t="s">
        <v>175</v>
      </c>
      <c r="B41" s="882" t="s">
        <v>174</v>
      </c>
      <c r="C41" s="958" t="s">
        <v>161</v>
      </c>
      <c r="D41" s="964">
        <v>16670</v>
      </c>
      <c r="E41" s="960">
        <v>1</v>
      </c>
      <c r="F41" s="961">
        <f t="shared" si="2"/>
        <v>16670</v>
      </c>
      <c r="G41" s="964">
        <v>16670</v>
      </c>
      <c r="H41" s="955">
        <v>1</v>
      </c>
      <c r="I41" s="956">
        <f t="shared" si="8"/>
        <v>16670</v>
      </c>
      <c r="J41" s="965">
        <v>16670</v>
      </c>
      <c r="K41" s="960">
        <v>1</v>
      </c>
      <c r="L41" s="963">
        <f t="shared" si="9"/>
        <v>16670</v>
      </c>
      <c r="M41" s="879">
        <f t="shared" si="5"/>
        <v>3</v>
      </c>
      <c r="N41" s="879">
        <f t="shared" si="5"/>
        <v>50010</v>
      </c>
      <c r="O41" s="890">
        <f t="shared" si="7"/>
        <v>2.7837962501456481E-2</v>
      </c>
    </row>
    <row r="42" spans="1:16" ht="15.75" hidden="1" outlineLevel="1">
      <c r="A42" s="881" t="s">
        <v>173</v>
      </c>
      <c r="B42" s="882" t="s">
        <v>730</v>
      </c>
      <c r="C42" s="958" t="s">
        <v>161</v>
      </c>
      <c r="D42" s="966">
        <v>5000</v>
      </c>
      <c r="E42" s="960">
        <v>1</v>
      </c>
      <c r="F42" s="961">
        <f t="shared" si="2"/>
        <v>5000</v>
      </c>
      <c r="G42" s="966">
        <v>5000</v>
      </c>
      <c r="H42" s="955">
        <v>1</v>
      </c>
      <c r="I42" s="956">
        <f t="shared" si="8"/>
        <v>5000</v>
      </c>
      <c r="J42" s="966">
        <v>5000</v>
      </c>
      <c r="K42" s="960">
        <v>1</v>
      </c>
      <c r="L42" s="963">
        <f t="shared" si="9"/>
        <v>5000</v>
      </c>
      <c r="M42" s="879">
        <f t="shared" si="5"/>
        <v>3</v>
      </c>
      <c r="N42" s="879">
        <f t="shared" si="5"/>
        <v>15000</v>
      </c>
      <c r="O42" s="890">
        <f t="shared" si="7"/>
        <v>8.349718806675609E-3</v>
      </c>
    </row>
    <row r="43" spans="1:16" ht="15.75" hidden="1" outlineLevel="1">
      <c r="A43" s="881" t="s">
        <v>731</v>
      </c>
      <c r="B43" s="967" t="s">
        <v>732</v>
      </c>
      <c r="C43" s="958" t="s">
        <v>161</v>
      </c>
      <c r="D43" s="960"/>
      <c r="E43" s="960"/>
      <c r="F43" s="961"/>
      <c r="G43" s="968"/>
      <c r="H43" s="955"/>
      <c r="I43" s="956">
        <f t="shared" si="8"/>
        <v>0</v>
      </c>
      <c r="J43" s="965"/>
      <c r="K43" s="960"/>
      <c r="L43" s="963">
        <f t="shared" si="9"/>
        <v>0</v>
      </c>
      <c r="M43" s="879">
        <f t="shared" si="5"/>
        <v>0</v>
      </c>
      <c r="N43" s="879">
        <f t="shared" si="5"/>
        <v>0</v>
      </c>
      <c r="O43" s="890">
        <f t="shared" si="7"/>
        <v>0</v>
      </c>
    </row>
    <row r="44" spans="1:16" ht="15.75" hidden="1" outlineLevel="1">
      <c r="A44" s="881" t="s">
        <v>734</v>
      </c>
      <c r="B44" s="967" t="s">
        <v>735</v>
      </c>
      <c r="C44" s="958" t="s">
        <v>161</v>
      </c>
      <c r="D44" s="960">
        <v>6000</v>
      </c>
      <c r="E44" s="960">
        <v>0</v>
      </c>
      <c r="F44" s="961">
        <f t="shared" si="2"/>
        <v>0</v>
      </c>
      <c r="G44" s="968"/>
      <c r="H44" s="955"/>
      <c r="I44" s="956">
        <f t="shared" si="8"/>
        <v>0</v>
      </c>
      <c r="J44" s="965"/>
      <c r="K44" s="960"/>
      <c r="L44" s="963">
        <f t="shared" si="9"/>
        <v>0</v>
      </c>
      <c r="M44" s="879">
        <f t="shared" si="5"/>
        <v>0</v>
      </c>
      <c r="N44" s="879">
        <f t="shared" si="5"/>
        <v>0</v>
      </c>
      <c r="O44" s="890">
        <f t="shared" si="7"/>
        <v>0</v>
      </c>
    </row>
    <row r="45" spans="1:16" ht="16.5" hidden="1" outlineLevel="1" thickBot="1">
      <c r="A45" s="938" t="s">
        <v>736</v>
      </c>
      <c r="B45" s="939" t="s">
        <v>172</v>
      </c>
      <c r="C45" s="969" t="s">
        <v>161</v>
      </c>
      <c r="D45" s="970">
        <v>8000</v>
      </c>
      <c r="E45" s="971">
        <v>0</v>
      </c>
      <c r="F45" s="972">
        <f t="shared" si="2"/>
        <v>0</v>
      </c>
      <c r="G45" s="973">
        <v>8000</v>
      </c>
      <c r="H45" s="974">
        <v>1</v>
      </c>
      <c r="I45" s="975">
        <f t="shared" si="8"/>
        <v>8000</v>
      </c>
      <c r="J45" s="970">
        <v>0</v>
      </c>
      <c r="K45" s="971">
        <v>0</v>
      </c>
      <c r="L45" s="976">
        <f t="shared" si="9"/>
        <v>0</v>
      </c>
      <c r="M45" s="899">
        <f t="shared" si="5"/>
        <v>1</v>
      </c>
      <c r="N45" s="899">
        <f t="shared" si="5"/>
        <v>8000</v>
      </c>
      <c r="O45" s="945">
        <f t="shared" si="7"/>
        <v>4.4531833635603254E-3</v>
      </c>
    </row>
    <row r="46" spans="1:16" ht="24" customHeight="1" collapsed="1" thickBot="1">
      <c r="A46" s="977" t="s">
        <v>28</v>
      </c>
      <c r="B46" s="857" t="s">
        <v>167</v>
      </c>
      <c r="C46" s="851" t="s">
        <v>161</v>
      </c>
      <c r="D46" s="841">
        <v>17000</v>
      </c>
      <c r="E46" s="842">
        <v>1</v>
      </c>
      <c r="F46" s="978">
        <f t="shared" si="2"/>
        <v>17000</v>
      </c>
      <c r="G46" s="979">
        <v>51000</v>
      </c>
      <c r="H46" s="862">
        <v>1</v>
      </c>
      <c r="I46" s="980">
        <f>G46*H46</f>
        <v>51000</v>
      </c>
      <c r="J46" s="981">
        <v>5000</v>
      </c>
      <c r="K46" s="982">
        <v>1</v>
      </c>
      <c r="L46" s="983">
        <f>J46*K46</f>
        <v>5000</v>
      </c>
      <c r="M46" s="865">
        <f t="shared" si="5"/>
        <v>3</v>
      </c>
      <c r="N46" s="848">
        <f t="shared" si="5"/>
        <v>73000</v>
      </c>
      <c r="O46" s="946">
        <f t="shared" si="7"/>
        <v>4.063529819248797E-2</v>
      </c>
    </row>
    <row r="47" spans="1:16" ht="18.75" thickBot="1">
      <c r="A47" s="856" t="s">
        <v>79</v>
      </c>
      <c r="B47" s="857" t="s">
        <v>166</v>
      </c>
      <c r="C47" s="984" t="s">
        <v>165</v>
      </c>
      <c r="D47" s="841">
        <v>12</v>
      </c>
      <c r="E47" s="842">
        <v>1000</v>
      </c>
      <c r="F47" s="978">
        <f t="shared" si="2"/>
        <v>12000</v>
      </c>
      <c r="G47" s="948">
        <v>12</v>
      </c>
      <c r="H47" s="878">
        <v>1000</v>
      </c>
      <c r="I47" s="985">
        <f>G47*H47</f>
        <v>12000</v>
      </c>
      <c r="J47" s="981">
        <v>12</v>
      </c>
      <c r="K47" s="982">
        <v>1800</v>
      </c>
      <c r="L47" s="983">
        <f>J47*K47</f>
        <v>21600</v>
      </c>
      <c r="M47" s="853">
        <f t="shared" si="5"/>
        <v>3800</v>
      </c>
      <c r="N47" s="853">
        <f t="shared" si="5"/>
        <v>45600</v>
      </c>
      <c r="O47" s="986">
        <f t="shared" si="7"/>
        <v>2.5383145172293852E-2</v>
      </c>
    </row>
    <row r="48" spans="1:16" ht="21" customHeight="1" thickBot="1">
      <c r="A48" s="850" t="s">
        <v>159</v>
      </c>
      <c r="B48" s="839" t="s">
        <v>164</v>
      </c>
      <c r="C48" s="851"/>
      <c r="D48" s="859"/>
      <c r="E48" s="842"/>
      <c r="F48" s="987">
        <f>SUM(F50)</f>
        <v>23600</v>
      </c>
      <c r="G48" s="987">
        <f t="shared" ref="G48:M48" si="10">SUM(G50)</f>
        <v>0</v>
      </c>
      <c r="H48" s="987">
        <f t="shared" si="10"/>
        <v>0</v>
      </c>
      <c r="I48" s="987">
        <f t="shared" si="10"/>
        <v>32000</v>
      </c>
      <c r="J48" s="987">
        <f t="shared" si="10"/>
        <v>0</v>
      </c>
      <c r="K48" s="987">
        <f t="shared" si="10"/>
        <v>0</v>
      </c>
      <c r="L48" s="987">
        <f t="shared" si="10"/>
        <v>34000</v>
      </c>
      <c r="M48" s="987">
        <f t="shared" si="10"/>
        <v>0</v>
      </c>
      <c r="N48" s="848">
        <f t="shared" si="5"/>
        <v>89600</v>
      </c>
      <c r="O48" s="988">
        <f t="shared" si="7"/>
        <v>4.9875653671875644E-2</v>
      </c>
    </row>
    <row r="50" spans="1:16" ht="16.5" thickBot="1">
      <c r="A50" s="989" t="s">
        <v>34</v>
      </c>
      <c r="B50" s="990" t="s">
        <v>862</v>
      </c>
      <c r="C50" s="914" t="s">
        <v>161</v>
      </c>
      <c r="D50" s="991"/>
      <c r="E50" s="895"/>
      <c r="F50" s="992">
        <v>23600</v>
      </c>
      <c r="G50" s="993"/>
      <c r="H50" s="994"/>
      <c r="I50" s="995">
        <v>32000</v>
      </c>
      <c r="J50" s="996"/>
      <c r="K50" s="997"/>
      <c r="L50" s="998">
        <v>34000</v>
      </c>
      <c r="M50" s="899">
        <f t="shared" si="5"/>
        <v>0</v>
      </c>
      <c r="N50" s="899">
        <f t="shared" si="5"/>
        <v>89600</v>
      </c>
      <c r="O50" s="999">
        <f>N50/$N$51</f>
        <v>4.9875653671875644E-2</v>
      </c>
    </row>
    <row r="51" spans="1:16" ht="18.75" thickBot="1">
      <c r="A51" s="1000"/>
      <c r="B51" s="1001" t="s">
        <v>160</v>
      </c>
      <c r="C51" s="1002"/>
      <c r="D51" s="1003"/>
      <c r="E51" s="1004"/>
      <c r="F51" s="852">
        <f>SUM(F48,F6,F5,)</f>
        <v>490478</v>
      </c>
      <c r="G51" s="1003"/>
      <c r="H51" s="1004"/>
      <c r="I51" s="843">
        <f>SUM(I48,I6,I5,)</f>
        <v>628043.68319999997</v>
      </c>
      <c r="J51" s="1003"/>
      <c r="K51" s="1004"/>
      <c r="L51" s="852">
        <f>SUM(L48,L6,L5,)</f>
        <v>677946</v>
      </c>
      <c r="M51" s="865">
        <f t="shared" si="5"/>
        <v>0</v>
      </c>
      <c r="N51" s="848">
        <f>SUM(F51,I51,L51,)</f>
        <v>1796467.6831999999</v>
      </c>
      <c r="O51" s="1005">
        <f t="shared" si="7"/>
        <v>1</v>
      </c>
      <c r="P51" s="855" t="b">
        <f>N5+N6+N48=N51</f>
        <v>1</v>
      </c>
    </row>
    <row r="52" spans="1:16">
      <c r="A52" s="1006"/>
      <c r="B52" s="1006"/>
      <c r="C52" s="1006"/>
      <c r="D52" s="1007"/>
      <c r="E52" s="1007"/>
      <c r="F52" s="1006"/>
      <c r="G52" s="1007"/>
      <c r="H52" s="1007"/>
      <c r="I52" s="1006"/>
      <c r="J52" s="1007"/>
      <c r="K52" s="1007"/>
      <c r="L52" s="1006"/>
      <c r="N52" s="855"/>
      <c r="O52" s="1008"/>
      <c r="P52" s="1009"/>
    </row>
    <row r="53" spans="1:16" ht="15.75" thickBot="1">
      <c r="N53" s="855"/>
    </row>
    <row r="54" spans="1:16" ht="20.25" customHeight="1" thickBot="1">
      <c r="A54" s="1010" t="s">
        <v>33</v>
      </c>
      <c r="B54" s="1011" t="s">
        <v>163</v>
      </c>
      <c r="C54" s="851" t="s">
        <v>161</v>
      </c>
      <c r="D54" s="859"/>
      <c r="E54" s="842"/>
      <c r="F54" s="978">
        <v>14600</v>
      </c>
      <c r="G54" s="1012"/>
      <c r="H54" s="862"/>
      <c r="I54" s="863">
        <v>17800</v>
      </c>
      <c r="J54" s="981"/>
      <c r="K54" s="982"/>
      <c r="L54" s="983">
        <v>20300</v>
      </c>
      <c r="M54" s="1013">
        <f>SUM(E54,H54,K54,)</f>
        <v>0</v>
      </c>
      <c r="N54" s="1013">
        <f>SUM(F54,I54,L54,)</f>
        <v>52700</v>
      </c>
      <c r="O54" s="946">
        <f>N54/$N$51</f>
        <v>2.9335345407453643E-2</v>
      </c>
    </row>
  </sheetData>
  <mergeCells count="6">
    <mergeCell ref="M3:O3"/>
    <mergeCell ref="A3:A4"/>
    <mergeCell ref="B3:B4"/>
    <mergeCell ref="D3:F3"/>
    <mergeCell ref="G3:I3"/>
    <mergeCell ref="J3:L3"/>
  </mergeCells>
  <pageMargins left="0.88" right="0.11811023622047245" top="0.19685039370078741" bottom="0.15748031496062992" header="0.31496062992125984" footer="0.31496062992125984"/>
  <pageSetup paperSize="9" scale="47" fitToWidth="3" pageOrder="overThenDown" orientation="landscape" r:id="rId1"/>
  <colBreaks count="1" manualBreakCount="1">
    <brk id="15" max="52"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theme="6"/>
    <pageSetUpPr fitToPage="1"/>
  </sheetPr>
  <dimension ref="A1:BG393"/>
  <sheetViews>
    <sheetView zoomScale="90" zoomScaleNormal="90" workbookViewId="0">
      <pane xSplit="2" ySplit="4" topLeftCell="C5" activePane="bottomRight" state="frozen"/>
      <selection pane="topRight" activeCell="C1" sqref="C1"/>
      <selection pane="bottomLeft" activeCell="A5" sqref="A5"/>
      <selection pane="bottomRight" activeCell="M8" sqref="M8"/>
    </sheetView>
  </sheetViews>
  <sheetFormatPr defaultRowHeight="12.75"/>
  <cols>
    <col min="1" max="1" width="5.42578125" style="777" customWidth="1"/>
    <col min="2" max="2" width="59.42578125" style="777" customWidth="1"/>
    <col min="3" max="3" width="10.5703125" style="777" customWidth="1"/>
    <col min="4" max="4" width="12.140625" style="777" customWidth="1"/>
    <col min="5" max="5" width="8.5703125" style="777" customWidth="1"/>
    <col min="6" max="6" width="12.140625" style="777" customWidth="1"/>
    <col min="7" max="7" width="13.28515625" style="777" customWidth="1"/>
    <col min="8" max="8" width="12.42578125" style="777" customWidth="1"/>
    <col min="9" max="9" width="12.5703125" style="777" customWidth="1"/>
    <col min="10" max="10" width="13.5703125" style="777" customWidth="1"/>
    <col min="11" max="16" width="11.28515625" style="777" customWidth="1"/>
    <col min="17" max="59" width="9.140625" style="808"/>
    <col min="60" max="16384" width="9.140625" style="777"/>
  </cols>
  <sheetData>
    <row r="1" spans="1:59" s="1766" customFormat="1" ht="27" customHeight="1">
      <c r="A1" s="2178" t="s">
        <v>1134</v>
      </c>
      <c r="B1" s="2178"/>
      <c r="C1" s="1765"/>
      <c r="D1" s="1765"/>
      <c r="E1" s="1847"/>
      <c r="F1" s="1765"/>
      <c r="G1" s="1765"/>
      <c r="H1" s="1765"/>
      <c r="I1" s="1765"/>
      <c r="J1" s="1765"/>
      <c r="K1" s="1765"/>
      <c r="L1" s="1765"/>
      <c r="M1" s="1765"/>
      <c r="N1" s="1765"/>
      <c r="O1" s="1765"/>
      <c r="P1" s="1765"/>
      <c r="Q1" s="1765"/>
      <c r="R1" s="1765"/>
      <c r="S1" s="1765"/>
      <c r="T1" s="1765"/>
      <c r="U1" s="1765"/>
      <c r="V1" s="1765"/>
      <c r="W1" s="1765"/>
      <c r="X1" s="1765"/>
      <c r="Y1" s="1765"/>
      <c r="Z1" s="1765"/>
      <c r="AA1" s="1765"/>
      <c r="AB1" s="1765"/>
      <c r="AC1" s="1765"/>
      <c r="AD1" s="1765"/>
      <c r="AE1" s="1765"/>
      <c r="AF1" s="1765"/>
      <c r="AG1" s="1765"/>
      <c r="AH1" s="1765"/>
      <c r="AI1" s="1765"/>
      <c r="AJ1" s="1765"/>
      <c r="AK1" s="1765"/>
      <c r="AL1" s="1765"/>
      <c r="AM1" s="1765"/>
      <c r="AN1" s="1765"/>
      <c r="AO1" s="1765"/>
      <c r="AP1" s="1765"/>
      <c r="AQ1" s="1765"/>
      <c r="AR1" s="1765"/>
      <c r="AS1" s="1765"/>
      <c r="AT1" s="1765"/>
      <c r="AU1" s="1765"/>
      <c r="AV1" s="1765"/>
      <c r="AW1" s="1765"/>
      <c r="AX1" s="1765"/>
      <c r="AY1" s="1765"/>
      <c r="AZ1" s="1765"/>
      <c r="BA1" s="1765"/>
      <c r="BB1" s="1765"/>
      <c r="BC1" s="1765"/>
      <c r="BD1" s="1765"/>
      <c r="BE1" s="1765"/>
      <c r="BF1" s="1765"/>
      <c r="BG1" s="1765"/>
    </row>
    <row r="2" spans="1:59" ht="24.95" customHeight="1">
      <c r="A2" s="2179" t="s">
        <v>1107</v>
      </c>
      <c r="B2" s="2179"/>
      <c r="C2" s="2179"/>
      <c r="D2" s="808"/>
      <c r="E2" s="808"/>
      <c r="F2" s="808"/>
      <c r="G2" s="808"/>
      <c r="H2" s="808"/>
      <c r="I2" s="808"/>
      <c r="J2" s="808"/>
      <c r="K2" s="808"/>
      <c r="L2" s="808"/>
      <c r="M2" s="808"/>
      <c r="N2" s="808"/>
      <c r="O2" s="808"/>
      <c r="P2" s="808"/>
    </row>
    <row r="3" spans="1:59" ht="32.25" customHeight="1">
      <c r="A3" s="2180" t="s">
        <v>255</v>
      </c>
      <c r="B3" s="2181" t="s">
        <v>881</v>
      </c>
      <c r="C3" s="2177" t="s">
        <v>1095</v>
      </c>
      <c r="D3" s="2173" t="s">
        <v>882</v>
      </c>
      <c r="E3" s="2173"/>
      <c r="F3" s="2173" t="s">
        <v>899</v>
      </c>
      <c r="G3" s="2173"/>
      <c r="H3" s="1848"/>
      <c r="I3" s="2177" t="s">
        <v>1137</v>
      </c>
      <c r="J3" s="2177"/>
      <c r="K3" s="2173">
        <f>Titullapa!E8</f>
        <v>2017</v>
      </c>
      <c r="L3" s="2173"/>
      <c r="M3" s="2174">
        <f>K3+1</f>
        <v>2018</v>
      </c>
      <c r="N3" s="2174"/>
      <c r="O3" s="2175">
        <f t="shared" ref="O3" si="0">M3+1</f>
        <v>2019</v>
      </c>
      <c r="P3" s="2176"/>
      <c r="V3" s="1849"/>
      <c r="W3" s="1849"/>
      <c r="X3" s="1849"/>
      <c r="Y3" s="1849"/>
      <c r="Z3" s="1849"/>
      <c r="AA3" s="1849"/>
      <c r="AB3" s="1849"/>
      <c r="AC3" s="1849"/>
      <c r="AD3" s="1849"/>
      <c r="AE3" s="1849"/>
      <c r="AF3" s="1849"/>
      <c r="AG3" s="1849"/>
      <c r="AH3" s="1849"/>
      <c r="AI3" s="1849"/>
      <c r="AJ3" s="1849"/>
      <c r="AK3" s="1849"/>
      <c r="AM3" s="1850">
        <v>0.55000000000000004</v>
      </c>
    </row>
    <row r="4" spans="1:59" ht="38.25">
      <c r="A4" s="2180"/>
      <c r="B4" s="2181" t="s">
        <v>885</v>
      </c>
      <c r="C4" s="2177"/>
      <c r="D4" s="1851" t="s">
        <v>873</v>
      </c>
      <c r="E4" s="1851" t="s">
        <v>15</v>
      </c>
      <c r="F4" s="1851" t="s">
        <v>883</v>
      </c>
      <c r="G4" s="1851" t="s">
        <v>884</v>
      </c>
      <c r="H4" s="1848" t="s">
        <v>902</v>
      </c>
      <c r="I4" s="1852" t="s">
        <v>900</v>
      </c>
      <c r="J4" s="1852" t="s">
        <v>901</v>
      </c>
      <c r="K4" s="1852" t="s">
        <v>900</v>
      </c>
      <c r="L4" s="1852" t="s">
        <v>901</v>
      </c>
      <c r="M4" s="1852" t="s">
        <v>900</v>
      </c>
      <c r="N4" s="1888" t="s">
        <v>901</v>
      </c>
      <c r="O4" s="1852" t="s">
        <v>900</v>
      </c>
      <c r="P4" s="1852" t="s">
        <v>901</v>
      </c>
      <c r="V4" s="1849"/>
      <c r="W4" s="1849"/>
      <c r="X4" s="1849"/>
      <c r="Y4" s="1849"/>
      <c r="Z4" s="1849"/>
      <c r="AA4" s="1849"/>
      <c r="AB4" s="1849"/>
      <c r="AC4" s="1849"/>
      <c r="AD4" s="1849"/>
      <c r="AE4" s="1849"/>
      <c r="AF4" s="1849"/>
      <c r="AG4" s="1849"/>
      <c r="AH4" s="1849"/>
      <c r="AI4" s="1849"/>
      <c r="AJ4" s="1849"/>
      <c r="AK4" s="1849"/>
      <c r="AM4" s="1850">
        <v>0.45</v>
      </c>
    </row>
    <row r="5" spans="1:59" s="772" customFormat="1">
      <c r="A5" s="1853">
        <v>1</v>
      </c>
      <c r="B5" s="1854" t="s">
        <v>1096</v>
      </c>
      <c r="C5" s="1855">
        <v>0.85</v>
      </c>
      <c r="D5" s="1856">
        <f>IF(C5="IZVĒLIETIES!","norādiet likmi!",F5+G5)</f>
        <v>1500</v>
      </c>
      <c r="E5" s="1857">
        <f>D5/$D$16</f>
        <v>2.051562606852219E-2</v>
      </c>
      <c r="F5" s="1856">
        <f>ROUND(I5+K5+M5+O5,2)</f>
        <v>1500</v>
      </c>
      <c r="G5" s="1858">
        <f t="shared" ref="G5:G8" si="1">ROUND(J5+L5+N5+P5,2)</f>
        <v>0</v>
      </c>
      <c r="H5" s="1858">
        <f>IF(C5&lt;1,F5*C5*'17.PIV 4. pielikums finanšu an.'!$C$22,0)</f>
        <v>1272.5329333150337</v>
      </c>
      <c r="I5" s="1859"/>
      <c r="J5" s="1860"/>
      <c r="K5" s="1856">
        <f>(K7)*0.15</f>
        <v>750</v>
      </c>
      <c r="L5" s="1649"/>
      <c r="M5" s="1856">
        <f t="shared" ref="M5" si="2">(M7)*0.15</f>
        <v>750</v>
      </c>
      <c r="N5" s="1649"/>
      <c r="O5" s="1856"/>
      <c r="P5" s="1649"/>
      <c r="Q5" s="808"/>
      <c r="R5" s="808"/>
      <c r="S5" s="808"/>
      <c r="T5" s="808"/>
      <c r="U5" s="808"/>
      <c r="V5" s="1849"/>
      <c r="W5" s="1849"/>
      <c r="X5" s="1849"/>
      <c r="Y5" s="1849"/>
      <c r="Z5" s="1849"/>
      <c r="AA5" s="1849"/>
      <c r="AB5" s="1849"/>
      <c r="AC5" s="1849"/>
      <c r="AD5" s="1849"/>
      <c r="AE5" s="1849"/>
      <c r="AF5" s="1849"/>
      <c r="AG5" s="1849"/>
      <c r="AH5" s="1849"/>
      <c r="AI5" s="1849"/>
      <c r="AJ5" s="1849"/>
      <c r="AK5" s="1849"/>
      <c r="AL5" s="808"/>
      <c r="AM5" s="1850">
        <v>0.35</v>
      </c>
      <c r="AN5" s="808"/>
      <c r="AO5" s="808"/>
      <c r="AP5" s="808"/>
      <c r="AQ5" s="808"/>
      <c r="AR5" s="808"/>
      <c r="AS5" s="808"/>
      <c r="AT5" s="808"/>
      <c r="AU5" s="808"/>
      <c r="AV5" s="808"/>
      <c r="AW5" s="808"/>
      <c r="AX5" s="808"/>
      <c r="AY5" s="808"/>
      <c r="AZ5" s="808"/>
      <c r="BA5" s="808"/>
      <c r="BB5" s="808"/>
      <c r="BC5" s="808"/>
      <c r="BD5" s="808"/>
      <c r="BE5" s="808"/>
      <c r="BF5" s="808"/>
      <c r="BG5" s="808"/>
    </row>
    <row r="6" spans="1:59">
      <c r="A6" s="1853">
        <v>2</v>
      </c>
      <c r="B6" s="1854" t="s">
        <v>1138</v>
      </c>
      <c r="C6" s="1855">
        <v>0.85</v>
      </c>
      <c r="D6" s="1856">
        <f>SUM(D7:D7)</f>
        <v>15600</v>
      </c>
      <c r="E6" s="1857">
        <f t="shared" ref="E6:E15" si="3">D6/$D$16</f>
        <v>0.2133625111126308</v>
      </c>
      <c r="F6" s="1861">
        <f t="shared" ref="F6:F8" si="4">ROUND(I6+K6+M6+O6,2)</f>
        <v>15000</v>
      </c>
      <c r="G6" s="1858">
        <f t="shared" si="1"/>
        <v>600</v>
      </c>
      <c r="H6" s="1856">
        <f t="shared" ref="H6:P6" si="5">SUM(H7:H7)</f>
        <v>12725.329333150337</v>
      </c>
      <c r="I6" s="1860"/>
      <c r="J6" s="1860"/>
      <c r="K6" s="1862">
        <f>SUM(K7:K7)</f>
        <v>5000</v>
      </c>
      <c r="L6" s="1862">
        <f t="shared" si="5"/>
        <v>200</v>
      </c>
      <c r="M6" s="1862">
        <f t="shared" si="5"/>
        <v>5000</v>
      </c>
      <c r="N6" s="1862">
        <f t="shared" si="5"/>
        <v>200</v>
      </c>
      <c r="O6" s="1862">
        <f t="shared" si="5"/>
        <v>5000</v>
      </c>
      <c r="P6" s="1862">
        <f t="shared" si="5"/>
        <v>200</v>
      </c>
      <c r="V6" s="1849"/>
      <c r="W6" s="1849"/>
      <c r="X6" s="1849"/>
      <c r="Y6" s="1849"/>
      <c r="Z6" s="1849"/>
      <c r="AA6" s="1849"/>
      <c r="AB6" s="1849"/>
      <c r="AC6" s="1849"/>
      <c r="AD6" s="1849"/>
      <c r="AE6" s="1849"/>
      <c r="AF6" s="1849"/>
      <c r="AG6" s="1849"/>
      <c r="AH6" s="1849"/>
      <c r="AI6" s="1849"/>
      <c r="AJ6" s="1849"/>
      <c r="AK6" s="1849"/>
      <c r="AM6" s="1480"/>
    </row>
    <row r="7" spans="1:59">
      <c r="A7" s="1863" t="s">
        <v>14</v>
      </c>
      <c r="B7" s="1864" t="s">
        <v>1138</v>
      </c>
      <c r="C7" s="1855">
        <v>0.85</v>
      </c>
      <c r="D7" s="1858">
        <f>IF(C7="IZVĒLIETIES!","norādiet likmi!",F7+G7)</f>
        <v>15600</v>
      </c>
      <c r="E7" s="1857">
        <f t="shared" si="3"/>
        <v>0.2133625111126308</v>
      </c>
      <c r="F7" s="1858">
        <f t="shared" si="4"/>
        <v>15000</v>
      </c>
      <c r="G7" s="1858">
        <f t="shared" si="1"/>
        <v>600</v>
      </c>
      <c r="H7" s="1858">
        <f>IF(C7&lt;1,F7*C7*'17.PIV 4. pielikums finanšu an.'!$C$22,0)</f>
        <v>12725.329333150337</v>
      </c>
      <c r="I7" s="1865"/>
      <c r="J7" s="1865"/>
      <c r="K7" s="1650">
        <v>5000</v>
      </c>
      <c r="L7" s="1650">
        <v>200</v>
      </c>
      <c r="M7" s="1650">
        <v>5000</v>
      </c>
      <c r="N7" s="1650">
        <v>200</v>
      </c>
      <c r="O7" s="1650">
        <v>5000</v>
      </c>
      <c r="P7" s="1650">
        <v>200</v>
      </c>
      <c r="V7" s="1849"/>
      <c r="W7" s="1849"/>
      <c r="X7" s="1849"/>
      <c r="Y7" s="1849"/>
      <c r="Z7" s="1849"/>
      <c r="AA7" s="1849"/>
      <c r="AB7" s="1849"/>
      <c r="AC7" s="1849"/>
      <c r="AD7" s="1849"/>
      <c r="AE7" s="1849"/>
      <c r="AF7" s="1849"/>
      <c r="AG7" s="1849"/>
      <c r="AH7" s="1849"/>
      <c r="AI7" s="1849"/>
      <c r="AJ7" s="1849"/>
      <c r="AK7" s="1849"/>
      <c r="AM7" s="1480"/>
    </row>
    <row r="8" spans="1:59" ht="25.5">
      <c r="A8" s="1853">
        <v>3</v>
      </c>
      <c r="B8" s="1854" t="s">
        <v>1158</v>
      </c>
      <c r="C8" s="1855">
        <v>0.85</v>
      </c>
      <c r="D8" s="1861">
        <f>IF(C8="IZVĒLIETIES!","norādiet likmi!",F8+G8)</f>
        <v>45515</v>
      </c>
      <c r="E8" s="1857">
        <f t="shared" si="3"/>
        <v>0.62251248033919171</v>
      </c>
      <c r="F8" s="1861">
        <f t="shared" si="4"/>
        <v>45015</v>
      </c>
      <c r="G8" s="1858">
        <f t="shared" si="1"/>
        <v>500</v>
      </c>
      <c r="H8" s="1861">
        <f t="shared" ref="H8:P8" si="6">SUM(H9:H12)</f>
        <v>38188.713328784164</v>
      </c>
      <c r="I8" s="1866">
        <f t="shared" si="6"/>
        <v>5000</v>
      </c>
      <c r="J8" s="1866">
        <f t="shared" si="6"/>
        <v>500</v>
      </c>
      <c r="K8" s="1866">
        <f t="shared" si="6"/>
        <v>20000</v>
      </c>
      <c r="L8" s="1866">
        <f t="shared" si="6"/>
        <v>0</v>
      </c>
      <c r="M8" s="1866">
        <f t="shared" si="6"/>
        <v>15</v>
      </c>
      <c r="N8" s="1866">
        <f t="shared" si="6"/>
        <v>0</v>
      </c>
      <c r="O8" s="1866">
        <f t="shared" si="6"/>
        <v>20000</v>
      </c>
      <c r="P8" s="1866">
        <f t="shared" si="6"/>
        <v>0</v>
      </c>
      <c r="V8" s="1849"/>
      <c r="W8" s="1849"/>
      <c r="X8" s="1849"/>
      <c r="Y8" s="1849"/>
      <c r="Z8" s="1849"/>
      <c r="AA8" s="1849"/>
      <c r="AB8" s="1849"/>
      <c r="AC8" s="1849"/>
      <c r="AD8" s="1849"/>
      <c r="AE8" s="1849"/>
      <c r="AF8" s="1849"/>
      <c r="AG8" s="1849"/>
      <c r="AH8" s="1849"/>
      <c r="AI8" s="1849"/>
      <c r="AJ8" s="1849"/>
      <c r="AK8" s="1849"/>
    </row>
    <row r="9" spans="1:59" ht="25.5">
      <c r="A9" s="1863" t="s">
        <v>33</v>
      </c>
      <c r="B9" s="1864" t="s">
        <v>1159</v>
      </c>
      <c r="C9" s="1855">
        <v>0.85</v>
      </c>
      <c r="D9" s="1861">
        <f t="shared" ref="D9:D15" si="7">IF(C9="IZVĒLIETIES!","norādiet likmi!",F9+G9)</f>
        <v>5500</v>
      </c>
      <c r="E9" s="1857">
        <f t="shared" si="3"/>
        <v>7.5223962251248028E-2</v>
      </c>
      <c r="F9" s="1858">
        <f t="shared" ref="F9:F15" si="8">ROUND(I9+K9+M9+O9,2)</f>
        <v>5000</v>
      </c>
      <c r="G9" s="1858">
        <f>ROUND(J9+L9+N9+P9,2)</f>
        <v>500</v>
      </c>
      <c r="H9" s="1858">
        <f>IF(C9&lt;1,F9*C9*'17.PIV 4. pielikums finanšu an.'!$C$22,0)</f>
        <v>4241.7764443834458</v>
      </c>
      <c r="I9" s="1748">
        <v>5000</v>
      </c>
      <c r="J9" s="1748">
        <v>500</v>
      </c>
      <c r="K9" s="1650"/>
      <c r="L9" s="1650"/>
      <c r="M9" s="1650"/>
      <c r="N9" s="1650"/>
      <c r="O9" s="1650"/>
      <c r="P9" s="1650"/>
      <c r="V9" s="1849"/>
      <c r="W9" s="1849"/>
      <c r="X9" s="1849"/>
      <c r="Y9" s="1849"/>
      <c r="Z9" s="1849"/>
      <c r="AA9" s="1849"/>
      <c r="AB9" s="1849"/>
      <c r="AC9" s="1849"/>
      <c r="AD9" s="1849"/>
      <c r="AE9" s="1849"/>
      <c r="AF9" s="1849"/>
      <c r="AG9" s="1849"/>
      <c r="AH9" s="1849"/>
      <c r="AI9" s="1849"/>
      <c r="AJ9" s="1849"/>
      <c r="AK9" s="1849"/>
    </row>
    <row r="10" spans="1:59" ht="25.5">
      <c r="A10" s="1863" t="s">
        <v>34</v>
      </c>
      <c r="B10" s="1864" t="s">
        <v>1148</v>
      </c>
      <c r="C10" s="1855">
        <v>0.85</v>
      </c>
      <c r="D10" s="1861">
        <f t="shared" si="7"/>
        <v>40015</v>
      </c>
      <c r="E10" s="1857">
        <f t="shared" si="3"/>
        <v>0.54728851808794365</v>
      </c>
      <c r="F10" s="1858">
        <f t="shared" si="8"/>
        <v>40015</v>
      </c>
      <c r="G10" s="1858">
        <f t="shared" ref="G10:G15" si="9">ROUND(J10+L10+N10+P10,2)</f>
        <v>0</v>
      </c>
      <c r="H10" s="1858">
        <f>IF(C10&lt;1,F10*C10*'17.PIV 4. pielikums finanšu an.'!$C$22,0)</f>
        <v>33946.936884400719</v>
      </c>
      <c r="I10" s="1865"/>
      <c r="J10" s="1865"/>
      <c r="K10" s="1650">
        <v>20000</v>
      </c>
      <c r="L10" s="1650"/>
      <c r="M10" s="1650">
        <v>15</v>
      </c>
      <c r="N10" s="1650"/>
      <c r="O10" s="1650">
        <v>20000</v>
      </c>
      <c r="P10" s="1650"/>
      <c r="V10" s="1849"/>
      <c r="W10" s="1849"/>
      <c r="X10" s="1849"/>
      <c r="Y10" s="1849"/>
      <c r="Z10" s="1849"/>
      <c r="AA10" s="1849"/>
      <c r="AB10" s="1849"/>
      <c r="AC10" s="1849"/>
      <c r="AD10" s="1849"/>
      <c r="AE10" s="1849"/>
      <c r="AF10" s="1849"/>
      <c r="AG10" s="1849"/>
      <c r="AH10" s="1849"/>
      <c r="AI10" s="1849"/>
      <c r="AJ10" s="1849"/>
      <c r="AK10" s="1849"/>
    </row>
    <row r="11" spans="1:59">
      <c r="A11" s="1863" t="s">
        <v>35</v>
      </c>
      <c r="B11" s="1864" t="s">
        <v>1147</v>
      </c>
      <c r="C11" s="1855">
        <v>0.85</v>
      </c>
      <c r="D11" s="1861">
        <f t="shared" si="7"/>
        <v>0</v>
      </c>
      <c r="E11" s="1857">
        <f t="shared" si="3"/>
        <v>0</v>
      </c>
      <c r="F11" s="1858">
        <f t="shared" si="8"/>
        <v>0</v>
      </c>
      <c r="G11" s="1858">
        <f t="shared" si="9"/>
        <v>0</v>
      </c>
      <c r="H11" s="1858">
        <f>IF(C11&lt;1,F11*C11*'17.PIV 4. pielikums finanšu an.'!$C$22,0)</f>
        <v>0</v>
      </c>
      <c r="I11" s="1865"/>
      <c r="J11" s="1865"/>
      <c r="K11" s="1650"/>
      <c r="L11" s="1650"/>
      <c r="M11" s="1650"/>
      <c r="N11" s="1650"/>
      <c r="O11" s="1650"/>
      <c r="P11" s="1650"/>
      <c r="V11" s="1849"/>
      <c r="W11" s="1849"/>
      <c r="X11" s="1849"/>
      <c r="Y11" s="1849"/>
      <c r="Z11" s="1849"/>
      <c r="AA11" s="1849"/>
      <c r="AB11" s="1849"/>
      <c r="AC11" s="1849"/>
      <c r="AD11" s="1849"/>
      <c r="AE11" s="1849"/>
      <c r="AF11" s="1849"/>
      <c r="AG11" s="1849"/>
      <c r="AH11" s="1849"/>
      <c r="AI11" s="1849"/>
      <c r="AJ11" s="1849"/>
      <c r="AK11" s="1849"/>
    </row>
    <row r="12" spans="1:59" ht="38.25">
      <c r="A12" s="1863" t="s">
        <v>36</v>
      </c>
      <c r="B12" s="1864" t="s">
        <v>1162</v>
      </c>
      <c r="C12" s="1855">
        <v>0.85</v>
      </c>
      <c r="D12" s="1861">
        <f>IF(C12="IZVĒLIETIES!","norādiet likmi!",F12+G12)</f>
        <v>0</v>
      </c>
      <c r="E12" s="1857">
        <f t="shared" si="3"/>
        <v>0</v>
      </c>
      <c r="F12" s="1858">
        <f t="shared" si="8"/>
        <v>0</v>
      </c>
      <c r="G12" s="1858">
        <f t="shared" si="9"/>
        <v>0</v>
      </c>
      <c r="H12" s="1858">
        <f>IF(C12&lt;1,F12*C12*'17.PIV 4. pielikums finanšu an.'!$C$22,0)</f>
        <v>0</v>
      </c>
      <c r="I12" s="1865"/>
      <c r="J12" s="1865"/>
      <c r="K12" s="1650"/>
      <c r="L12" s="1650"/>
      <c r="M12" s="1650"/>
      <c r="N12" s="1650"/>
      <c r="O12" s="1650"/>
      <c r="P12" s="1650"/>
      <c r="V12" s="1849"/>
      <c r="W12" s="1849"/>
      <c r="X12" s="1849"/>
      <c r="Y12" s="1849"/>
      <c r="Z12" s="1849"/>
      <c r="AA12" s="1849"/>
      <c r="AB12" s="1849"/>
      <c r="AC12" s="1849"/>
      <c r="AD12" s="1849"/>
      <c r="AE12" s="1849"/>
      <c r="AF12" s="1849"/>
      <c r="AG12" s="1849"/>
      <c r="AH12" s="1849"/>
      <c r="AI12" s="1849"/>
      <c r="AJ12" s="1849"/>
      <c r="AK12" s="1849"/>
    </row>
    <row r="13" spans="1:59">
      <c r="A13" s="1853">
        <v>4</v>
      </c>
      <c r="B13" s="1854" t="s">
        <v>912</v>
      </c>
      <c r="C13" s="1855">
        <v>0.85</v>
      </c>
      <c r="D13" s="1861">
        <f t="shared" si="7"/>
        <v>0</v>
      </c>
      <c r="E13" s="1857">
        <f t="shared" si="3"/>
        <v>0</v>
      </c>
      <c r="F13" s="1861">
        <f t="shared" si="8"/>
        <v>0</v>
      </c>
      <c r="G13" s="1858">
        <f t="shared" si="9"/>
        <v>0</v>
      </c>
      <c r="H13" s="1861">
        <f>IF(C13&lt;1,F13*C13*'17.PIV 4. pielikums finanšu an.'!$C$22,0)</f>
        <v>0</v>
      </c>
      <c r="I13" s="1860"/>
      <c r="J13" s="1860"/>
      <c r="K13" s="1649">
        <v>0</v>
      </c>
      <c r="L13" s="1649"/>
      <c r="M13" s="1649"/>
      <c r="N13" s="1649"/>
      <c r="O13" s="1649"/>
      <c r="P13" s="1649"/>
      <c r="V13" s="1849"/>
      <c r="W13" s="1849"/>
      <c r="X13" s="1849"/>
      <c r="Y13" s="1849"/>
      <c r="Z13" s="1849"/>
      <c r="AA13" s="1849"/>
      <c r="AB13" s="1849"/>
      <c r="AC13" s="1849"/>
      <c r="AD13" s="1849"/>
      <c r="AE13" s="1849"/>
      <c r="AF13" s="1849"/>
      <c r="AG13" s="1849"/>
      <c r="AH13" s="1849"/>
      <c r="AI13" s="1849"/>
      <c r="AJ13" s="1849"/>
      <c r="AK13" s="1849"/>
    </row>
    <row r="14" spans="1:59">
      <c r="A14" s="1853">
        <v>5</v>
      </c>
      <c r="B14" s="1854" t="s">
        <v>1111</v>
      </c>
      <c r="C14" s="1855">
        <v>0.85</v>
      </c>
      <c r="D14" s="1861">
        <f t="shared" si="7"/>
        <v>10500</v>
      </c>
      <c r="E14" s="1857">
        <f t="shared" si="3"/>
        <v>0.14360938247965535</v>
      </c>
      <c r="F14" s="1861">
        <f t="shared" si="8"/>
        <v>9000</v>
      </c>
      <c r="G14" s="1858">
        <f t="shared" si="9"/>
        <v>1500</v>
      </c>
      <c r="H14" s="1861">
        <f>IF(C14&lt;1,F14*C14*'17.PIV 4. pielikums finanšu an.'!$C$22,0)</f>
        <v>7635.1975998902026</v>
      </c>
      <c r="I14" s="1860"/>
      <c r="J14" s="1860"/>
      <c r="K14" s="1649">
        <v>3000</v>
      </c>
      <c r="L14" s="1649">
        <v>500</v>
      </c>
      <c r="M14" s="1649">
        <v>3000</v>
      </c>
      <c r="N14" s="1649">
        <v>500</v>
      </c>
      <c r="O14" s="1649">
        <v>3000</v>
      </c>
      <c r="P14" s="1649">
        <v>500</v>
      </c>
      <c r="V14" s="1849"/>
      <c r="W14" s="1849"/>
      <c r="X14" s="1849"/>
      <c r="Y14" s="1849"/>
      <c r="Z14" s="1849"/>
      <c r="AA14" s="1849"/>
      <c r="AB14" s="1849"/>
      <c r="AC14" s="1849"/>
      <c r="AD14" s="1849"/>
      <c r="AE14" s="1849"/>
      <c r="AF14" s="1849"/>
      <c r="AG14" s="1849"/>
      <c r="AH14" s="1849"/>
      <c r="AI14" s="1849"/>
      <c r="AJ14" s="1849"/>
      <c r="AK14" s="1849"/>
    </row>
    <row r="15" spans="1:59">
      <c r="A15" s="1853">
        <v>6</v>
      </c>
      <c r="B15" s="1854" t="s">
        <v>1154</v>
      </c>
      <c r="C15" s="1855">
        <v>0.85</v>
      </c>
      <c r="D15" s="1861">
        <f t="shared" si="7"/>
        <v>0</v>
      </c>
      <c r="E15" s="1857">
        <f t="shared" si="3"/>
        <v>0</v>
      </c>
      <c r="F15" s="1861">
        <f t="shared" si="8"/>
        <v>0</v>
      </c>
      <c r="G15" s="1858">
        <f t="shared" si="9"/>
        <v>0</v>
      </c>
      <c r="H15" s="1861">
        <f>IF(C15&lt;1,F15*C15*'17.PIV 4. pielikums finanšu an.'!$C$22,0)</f>
        <v>0</v>
      </c>
      <c r="I15" s="1862"/>
      <c r="J15" s="1862"/>
      <c r="K15" s="1649"/>
      <c r="L15" s="1649"/>
      <c r="M15" s="1649"/>
      <c r="N15" s="1649"/>
      <c r="O15" s="1649"/>
      <c r="P15" s="1649"/>
      <c r="V15" s="1849"/>
      <c r="W15" s="1849"/>
      <c r="X15" s="1849"/>
      <c r="Y15" s="1849"/>
      <c r="Z15" s="1849"/>
      <c r="AA15" s="1849"/>
      <c r="AB15" s="1849"/>
      <c r="AC15" s="1849"/>
      <c r="AD15" s="1849"/>
      <c r="AE15" s="1849"/>
      <c r="AF15" s="1849"/>
      <c r="AG15" s="1849"/>
      <c r="AH15" s="1849"/>
      <c r="AI15" s="1849"/>
      <c r="AJ15" s="1849"/>
      <c r="AK15" s="1849"/>
    </row>
    <row r="16" spans="1:59">
      <c r="A16" s="1867"/>
      <c r="B16" s="1854" t="s">
        <v>160</v>
      </c>
      <c r="C16" s="1868">
        <v>0.85</v>
      </c>
      <c r="D16" s="1861">
        <f>D5+D6+D8+D13+D14+D15</f>
        <v>73115</v>
      </c>
      <c r="E16" s="1869">
        <f>E5+E6+E8+E13+E14+E15</f>
        <v>1</v>
      </c>
      <c r="F16" s="1861">
        <f>F5+F6+F8+F13+F14+F15</f>
        <v>70515</v>
      </c>
      <c r="G16" s="1861">
        <f>G5+G6+G8+G13+G14+G15</f>
        <v>2600</v>
      </c>
      <c r="H16" s="1861">
        <f t="shared" ref="H16" si="10">H5+H6+H8+H13+H14</f>
        <v>59821.773195139744</v>
      </c>
      <c r="I16" s="1861">
        <f t="shared" ref="I16:J16" si="11">I5+I6+I8+I13+I14</f>
        <v>5000</v>
      </c>
      <c r="J16" s="1861">
        <f t="shared" si="11"/>
        <v>500</v>
      </c>
      <c r="K16" s="1861">
        <f>K5+K6+K8+K13+K14+K15</f>
        <v>28750</v>
      </c>
      <c r="L16" s="1861">
        <f t="shared" ref="L16:P16" si="12">L5+L6+L8+L13+L14+L15</f>
        <v>700</v>
      </c>
      <c r="M16" s="1861">
        <f t="shared" si="12"/>
        <v>8765</v>
      </c>
      <c r="N16" s="1861">
        <f t="shared" si="12"/>
        <v>700</v>
      </c>
      <c r="O16" s="1861">
        <f t="shared" si="12"/>
        <v>28000</v>
      </c>
      <c r="P16" s="1861">
        <f t="shared" si="12"/>
        <v>700</v>
      </c>
      <c r="V16" s="1849"/>
      <c r="W16" s="1849"/>
      <c r="X16" s="1849"/>
      <c r="Y16" s="1849"/>
      <c r="Z16" s="1849"/>
      <c r="AA16" s="1849"/>
      <c r="AB16" s="1849"/>
      <c r="AC16" s="1849"/>
      <c r="AD16" s="1849"/>
      <c r="AE16" s="1849"/>
      <c r="AF16" s="1849"/>
      <c r="AG16" s="1849"/>
      <c r="AH16" s="1849"/>
      <c r="AI16" s="1849"/>
      <c r="AJ16" s="1849"/>
      <c r="AK16" s="1849"/>
    </row>
    <row r="17" spans="1:59" s="1876" customFormat="1" hidden="1">
      <c r="A17" s="1870"/>
      <c r="B17" s="1871" t="s">
        <v>1140</v>
      </c>
      <c r="C17" s="1872"/>
      <c r="D17" s="1873"/>
      <c r="E17" s="1874"/>
      <c r="F17" s="1873"/>
      <c r="G17" s="1873"/>
      <c r="H17" s="1873"/>
      <c r="I17" s="1873"/>
      <c r="J17" s="1873"/>
      <c r="K17" s="1873">
        <f>IF(K6-24426&gt;0, K6-24426, 0)</f>
        <v>0</v>
      </c>
      <c r="L17" s="1873"/>
      <c r="M17" s="1873">
        <f>IF(M6-24426&gt;0, M6-24426, 0)</f>
        <v>0</v>
      </c>
      <c r="N17" s="1873"/>
      <c r="O17" s="1873">
        <f>IF(O6-24426&gt;0, O6-24426, 0)</f>
        <v>0</v>
      </c>
      <c r="P17" s="1873"/>
      <c r="Q17" s="1875"/>
      <c r="R17" s="1875"/>
      <c r="S17" s="1875"/>
      <c r="T17" s="1875"/>
      <c r="U17" s="1875"/>
      <c r="V17" s="1875"/>
      <c r="W17" s="1875"/>
      <c r="X17" s="1875"/>
      <c r="Y17" s="1875"/>
      <c r="Z17" s="1875"/>
      <c r="AA17" s="1875"/>
      <c r="AB17" s="1875"/>
      <c r="AC17" s="1875"/>
      <c r="AD17" s="1875"/>
      <c r="AE17" s="1875"/>
      <c r="AF17" s="1875"/>
      <c r="AG17" s="1875"/>
      <c r="AH17" s="1875"/>
      <c r="AI17" s="1875"/>
      <c r="AJ17" s="1875"/>
      <c r="AK17" s="1875"/>
      <c r="AL17" s="1875"/>
      <c r="AM17" s="1875"/>
      <c r="AN17" s="1875"/>
      <c r="AO17" s="1875"/>
      <c r="AP17" s="1875"/>
      <c r="AQ17" s="1875"/>
      <c r="AR17" s="1875"/>
      <c r="AS17" s="1875"/>
      <c r="AT17" s="1875"/>
      <c r="AU17" s="1875"/>
      <c r="AV17" s="1875"/>
      <c r="AW17" s="1875"/>
      <c r="AX17" s="1875"/>
      <c r="AY17" s="1875"/>
      <c r="AZ17" s="1875"/>
      <c r="BA17" s="1875"/>
      <c r="BB17" s="1875"/>
      <c r="BC17" s="1875"/>
      <c r="BD17" s="1875"/>
      <c r="BE17" s="1875"/>
      <c r="BF17" s="1875"/>
      <c r="BG17" s="1875"/>
    </row>
    <row r="18" spans="1:59" s="808" customFormat="1">
      <c r="A18" s="1877"/>
      <c r="B18" s="1878" t="s">
        <v>1056</v>
      </c>
      <c r="C18" s="1855"/>
      <c r="D18" s="1862"/>
      <c r="E18" s="1879"/>
      <c r="F18" s="1866"/>
      <c r="G18" s="1866"/>
      <c r="H18" s="1866">
        <f>SUM(I18:P18)</f>
        <v>59821.773195139744</v>
      </c>
      <c r="I18" s="1866">
        <f>I16*$C$16*'17.PIV 4. pielikums finanšu an.'!C$22</f>
        <v>4241.7764443834458</v>
      </c>
      <c r="J18" s="1866"/>
      <c r="K18" s="1866">
        <f>K16*$C$16*'17.PIV 4. pielikums finanšu an.'!$C$22</f>
        <v>24390.214555204813</v>
      </c>
      <c r="L18" s="1866"/>
      <c r="M18" s="1866">
        <f>M16*$C$16*'17.PIV 4. pielikums finanšu an.'!$C$22</f>
        <v>7435.8341070041806</v>
      </c>
      <c r="N18" s="1866"/>
      <c r="O18" s="1866">
        <f>O16*$C$16*'17.PIV 4. pielikums finanšu an.'!$C$22</f>
        <v>23753.948088547299</v>
      </c>
      <c r="P18" s="1866"/>
      <c r="V18" s="1849"/>
      <c r="W18" s="1849"/>
      <c r="X18" s="1849"/>
      <c r="Y18" s="1849"/>
      <c r="Z18" s="1849"/>
      <c r="AA18" s="1849"/>
      <c r="AB18" s="1849"/>
      <c r="AC18" s="1849"/>
      <c r="AD18" s="1849"/>
      <c r="AE18" s="1849"/>
      <c r="AF18" s="1849"/>
      <c r="AG18" s="1849"/>
      <c r="AH18" s="1849"/>
      <c r="AI18" s="1849"/>
      <c r="AJ18" s="1849"/>
      <c r="AK18" s="1849"/>
    </row>
    <row r="19" spans="1:59" s="808" customFormat="1">
      <c r="A19" s="1880"/>
      <c r="G19" s="1480"/>
      <c r="H19" s="1881"/>
      <c r="I19" s="1849"/>
      <c r="J19" s="1480"/>
      <c r="K19" s="1480"/>
      <c r="L19" s="1480"/>
      <c r="M19" s="1480"/>
      <c r="N19" s="1480"/>
      <c r="O19" s="1480"/>
      <c r="P19" s="1480"/>
    </row>
    <row r="20" spans="1:59" s="808" customFormat="1">
      <c r="A20" s="1880"/>
      <c r="H20" s="816"/>
      <c r="I20" s="1882"/>
      <c r="J20" s="1882"/>
      <c r="K20" s="1882"/>
      <c r="L20" s="1882"/>
      <c r="M20" s="1882"/>
      <c r="N20" s="1882"/>
      <c r="O20" s="1882"/>
      <c r="P20" s="1882"/>
      <c r="Q20" s="1883"/>
    </row>
    <row r="21" spans="1:59" s="808" customFormat="1">
      <c r="A21" s="1884"/>
      <c r="I21" s="1849"/>
    </row>
    <row r="22" spans="1:59" s="808" customFormat="1">
      <c r="A22" s="1885"/>
    </row>
    <row r="23" spans="1:59" s="808" customFormat="1">
      <c r="A23" s="1885"/>
    </row>
    <row r="24" spans="1:59" s="808" customFormat="1" ht="32.25" customHeight="1">
      <c r="A24" s="1885"/>
    </row>
    <row r="25" spans="1:59" s="808" customFormat="1" ht="15.75">
      <c r="A25" s="1886"/>
    </row>
    <row r="26" spans="1:59" s="808" customFormat="1" ht="15.75">
      <c r="A26" s="1886"/>
    </row>
    <row r="27" spans="1:59" s="808" customFormat="1" ht="15.75">
      <c r="A27" s="1886"/>
    </row>
    <row r="28" spans="1:59" s="808" customFormat="1"/>
    <row r="29" spans="1:59" s="808" customFormat="1"/>
    <row r="30" spans="1:59" s="808" customFormat="1"/>
    <row r="31" spans="1:59" s="808" customFormat="1">
      <c r="B31" s="1849"/>
    </row>
    <row r="32" spans="1:59" s="808" customFormat="1">
      <c r="B32" s="1849"/>
    </row>
    <row r="33" spans="2:2" s="808" customFormat="1">
      <c r="B33" s="1887"/>
    </row>
    <row r="34" spans="2:2" s="808" customFormat="1"/>
    <row r="35" spans="2:2" s="808" customFormat="1"/>
    <row r="36" spans="2:2" s="808" customFormat="1"/>
    <row r="37" spans="2:2" s="808" customFormat="1"/>
    <row r="38" spans="2:2" s="808" customFormat="1"/>
    <row r="39" spans="2:2" s="808" customFormat="1"/>
    <row r="40" spans="2:2" s="808" customFormat="1"/>
    <row r="41" spans="2:2" s="808" customFormat="1"/>
    <row r="42" spans="2:2" s="808" customFormat="1"/>
    <row r="43" spans="2:2" s="808" customFormat="1"/>
    <row r="44" spans="2:2" s="808" customFormat="1"/>
    <row r="45" spans="2:2" s="808" customFormat="1"/>
    <row r="46" spans="2:2" s="808" customFormat="1"/>
    <row r="47" spans="2:2" s="808" customFormat="1"/>
    <row r="48" spans="2:2" s="808" customFormat="1"/>
    <row r="49" s="808" customFormat="1"/>
    <row r="50" s="808" customFormat="1"/>
    <row r="51" s="808" customFormat="1"/>
    <row r="52" s="808" customFormat="1"/>
    <row r="53" s="808" customFormat="1"/>
    <row r="54" s="808" customFormat="1"/>
    <row r="55" s="808" customFormat="1"/>
    <row r="56" s="808" customFormat="1"/>
    <row r="57" s="808" customFormat="1"/>
    <row r="58" s="808" customFormat="1"/>
    <row r="59" s="808" customFormat="1"/>
    <row r="60" s="808" customFormat="1"/>
    <row r="61" s="808" customFormat="1"/>
    <row r="62" s="808" customFormat="1"/>
    <row r="63" s="808" customFormat="1"/>
    <row r="64" s="808" customFormat="1"/>
    <row r="65" s="808" customFormat="1"/>
    <row r="66" s="808" customFormat="1"/>
    <row r="67" s="808" customFormat="1"/>
    <row r="68" s="808" customFormat="1"/>
    <row r="69" s="808" customFormat="1"/>
    <row r="70" s="808" customFormat="1"/>
    <row r="71" s="808" customFormat="1"/>
    <row r="72" s="808" customFormat="1"/>
    <row r="73" s="808" customFormat="1"/>
    <row r="74" s="808" customFormat="1"/>
    <row r="75" s="808" customFormat="1"/>
    <row r="76" s="808" customFormat="1"/>
    <row r="77" s="808" customFormat="1"/>
    <row r="78" s="808" customFormat="1"/>
    <row r="79" s="808" customFormat="1"/>
    <row r="80" s="808" customFormat="1"/>
    <row r="81" s="808" customFormat="1"/>
    <row r="82" s="808" customFormat="1"/>
    <row r="83" s="808" customFormat="1"/>
    <row r="84" s="808" customFormat="1"/>
    <row r="85" s="808" customFormat="1"/>
    <row r="86" s="808" customFormat="1"/>
    <row r="87" s="808" customFormat="1"/>
    <row r="88" s="808" customFormat="1"/>
    <row r="89" s="808" customFormat="1"/>
    <row r="90" s="808" customFormat="1"/>
    <row r="91" s="808" customFormat="1"/>
    <row r="92" s="808" customFormat="1"/>
    <row r="93" s="808" customFormat="1"/>
    <row r="94" s="808" customFormat="1"/>
    <row r="95" s="808" customFormat="1"/>
    <row r="96" s="808" customFormat="1"/>
    <row r="97" s="808" customFormat="1"/>
    <row r="98" s="808" customFormat="1"/>
    <row r="99" s="808" customFormat="1"/>
    <row r="100" s="808" customFormat="1"/>
    <row r="101" s="808" customFormat="1"/>
    <row r="102" s="808" customFormat="1"/>
    <row r="103" s="808" customFormat="1"/>
    <row r="104" s="808" customFormat="1"/>
    <row r="105" s="808" customFormat="1"/>
    <row r="106" s="808" customFormat="1"/>
    <row r="107" s="808" customFormat="1"/>
    <row r="108" s="808" customFormat="1"/>
    <row r="109" s="808" customFormat="1"/>
    <row r="110" s="808" customFormat="1"/>
    <row r="111" s="808" customFormat="1"/>
    <row r="112" s="808" customFormat="1"/>
    <row r="113" s="808" customFormat="1"/>
    <row r="114" s="808" customFormat="1"/>
    <row r="115" s="808" customFormat="1"/>
    <row r="116" s="808" customFormat="1"/>
    <row r="117" s="808" customFormat="1"/>
    <row r="118" s="808" customFormat="1"/>
    <row r="119" s="808" customFormat="1"/>
    <row r="120" s="808" customFormat="1"/>
    <row r="121" s="808" customFormat="1"/>
    <row r="122" s="808" customFormat="1"/>
    <row r="123" s="808" customFormat="1"/>
    <row r="124" s="808" customFormat="1"/>
    <row r="125" s="808" customFormat="1"/>
    <row r="126" s="808" customFormat="1"/>
    <row r="127" s="808" customFormat="1"/>
    <row r="128" s="808" customFormat="1"/>
    <row r="129" s="808" customFormat="1"/>
    <row r="130" s="808" customFormat="1"/>
    <row r="131" s="808" customFormat="1"/>
    <row r="132" s="808" customFormat="1"/>
    <row r="133" s="808" customFormat="1"/>
    <row r="134" s="808" customFormat="1"/>
    <row r="135" s="808" customFormat="1"/>
    <row r="136" s="808" customFormat="1"/>
    <row r="137" s="808" customFormat="1"/>
    <row r="138" s="808" customFormat="1"/>
    <row r="139" s="808" customFormat="1"/>
    <row r="140" s="808" customFormat="1"/>
    <row r="141" s="808" customFormat="1"/>
    <row r="142" s="808" customFormat="1"/>
    <row r="143" s="808" customFormat="1"/>
    <row r="144" s="808" customFormat="1"/>
    <row r="145" s="808" customFormat="1"/>
    <row r="146" s="808" customFormat="1"/>
    <row r="147" s="808" customFormat="1"/>
    <row r="148" s="808" customFormat="1"/>
    <row r="149" s="808" customFormat="1"/>
    <row r="150" s="808" customFormat="1"/>
    <row r="151" s="808" customFormat="1"/>
    <row r="152" s="808" customFormat="1"/>
    <row r="153" s="808" customFormat="1"/>
    <row r="154" s="808" customFormat="1"/>
    <row r="155" s="808" customFormat="1"/>
    <row r="156" s="808" customFormat="1"/>
    <row r="157" s="808" customFormat="1"/>
    <row r="158" s="808" customFormat="1"/>
    <row r="159" s="808" customFormat="1"/>
    <row r="160" s="808" customFormat="1"/>
    <row r="161" s="808" customFormat="1"/>
    <row r="162" s="808" customFormat="1"/>
    <row r="163" s="808" customFormat="1"/>
    <row r="164" s="808" customFormat="1"/>
    <row r="165" s="808" customFormat="1"/>
    <row r="166" s="808" customFormat="1"/>
    <row r="167" s="808" customFormat="1"/>
    <row r="168" s="808" customFormat="1"/>
    <row r="169" s="808" customFormat="1"/>
    <row r="170" s="808" customFormat="1"/>
    <row r="171" s="808" customFormat="1"/>
    <row r="172" s="808" customFormat="1"/>
    <row r="173" s="808" customFormat="1"/>
    <row r="174" s="808" customFormat="1"/>
    <row r="175" s="808" customFormat="1"/>
    <row r="176" s="808" customFormat="1"/>
    <row r="177" s="808" customFormat="1"/>
    <row r="178" s="808" customFormat="1"/>
    <row r="179" s="808" customFormat="1"/>
    <row r="180" s="808" customFormat="1"/>
    <row r="181" s="808" customFormat="1"/>
    <row r="182" s="808" customFormat="1"/>
    <row r="183" s="808" customFormat="1"/>
    <row r="184" s="808" customFormat="1"/>
    <row r="185" s="808" customFormat="1"/>
    <row r="186" s="808" customFormat="1"/>
    <row r="187" s="808" customFormat="1"/>
    <row r="188" s="808" customFormat="1"/>
    <row r="189" s="808" customFormat="1"/>
    <row r="190" s="808" customFormat="1"/>
    <row r="191" s="808" customFormat="1"/>
    <row r="192" s="808" customFormat="1"/>
    <row r="193" s="808" customFormat="1"/>
    <row r="194" s="808" customFormat="1"/>
    <row r="195" s="808" customFormat="1"/>
    <row r="196" s="808" customFormat="1"/>
    <row r="197" s="808" customFormat="1"/>
    <row r="198" s="808" customFormat="1"/>
    <row r="199" s="808" customFormat="1"/>
    <row r="200" s="808" customFormat="1"/>
    <row r="201" s="808" customFormat="1"/>
    <row r="202" s="808" customFormat="1"/>
    <row r="203" s="808" customFormat="1"/>
    <row r="204" s="808" customFormat="1"/>
    <row r="205" s="808" customFormat="1"/>
    <row r="206" s="808" customFormat="1"/>
    <row r="207" s="808" customFormat="1"/>
    <row r="208" s="808" customFormat="1"/>
    <row r="209" s="808" customFormat="1"/>
    <row r="210" s="808" customFormat="1"/>
    <row r="211" s="808" customFormat="1"/>
    <row r="212" s="808" customFormat="1"/>
    <row r="213" s="808" customFormat="1"/>
    <row r="214" s="808" customFormat="1"/>
    <row r="215" s="808" customFormat="1"/>
    <row r="216" s="808" customFormat="1"/>
    <row r="217" s="808" customFormat="1"/>
    <row r="218" s="808" customFormat="1"/>
    <row r="219" s="808" customFormat="1"/>
    <row r="220" s="808" customFormat="1"/>
    <row r="221" s="808" customFormat="1"/>
    <row r="222" s="808" customFormat="1"/>
    <row r="223" s="808" customFormat="1"/>
    <row r="224" s="808" customFormat="1"/>
    <row r="225" s="808" customFormat="1"/>
    <row r="226" s="808" customFormat="1"/>
    <row r="227" s="808" customFormat="1"/>
    <row r="228" s="808" customFormat="1"/>
    <row r="229" s="808" customFormat="1"/>
    <row r="230" s="808" customFormat="1"/>
    <row r="231" s="808" customFormat="1"/>
    <row r="232" s="808" customFormat="1"/>
    <row r="233" s="808" customFormat="1"/>
    <row r="234" s="808" customFormat="1"/>
    <row r="235" s="808" customFormat="1"/>
    <row r="236" s="808" customFormat="1"/>
    <row r="237" s="808" customFormat="1"/>
    <row r="238" s="808" customFormat="1"/>
    <row r="239" s="808" customFormat="1"/>
    <row r="240" s="808" customFormat="1"/>
    <row r="241" s="808" customFormat="1"/>
    <row r="242" s="808" customFormat="1"/>
    <row r="243" s="808" customFormat="1"/>
    <row r="244" s="808" customFormat="1"/>
    <row r="245" s="808" customFormat="1"/>
    <row r="246" s="808" customFormat="1"/>
    <row r="247" s="808" customFormat="1"/>
    <row r="248" s="808" customFormat="1"/>
    <row r="249" s="808" customFormat="1"/>
    <row r="250" s="808" customFormat="1"/>
    <row r="251" s="808" customFormat="1"/>
    <row r="252" s="808" customFormat="1"/>
    <row r="253" s="808" customFormat="1"/>
    <row r="254" s="808" customFormat="1"/>
    <row r="255" s="808" customFormat="1"/>
    <row r="256" s="808" customFormat="1"/>
    <row r="257" s="808" customFormat="1"/>
    <row r="258" s="808" customFormat="1"/>
    <row r="259" s="808" customFormat="1"/>
    <row r="260" s="808" customFormat="1"/>
    <row r="261" s="808" customFormat="1"/>
    <row r="262" s="808" customFormat="1"/>
    <row r="263" s="808" customFormat="1"/>
    <row r="264" s="808" customFormat="1"/>
    <row r="265" s="808" customFormat="1"/>
    <row r="266" s="808" customFormat="1"/>
    <row r="267" s="808" customFormat="1"/>
    <row r="268" s="808" customFormat="1"/>
    <row r="269" s="808" customFormat="1"/>
    <row r="270" s="808" customFormat="1"/>
    <row r="271" s="808" customFormat="1"/>
    <row r="272" s="808" customFormat="1"/>
    <row r="273" s="808" customFormat="1"/>
    <row r="274" s="808" customFormat="1"/>
    <row r="275" s="808" customFormat="1"/>
    <row r="276" s="808" customFormat="1"/>
    <row r="277" s="808" customFormat="1"/>
    <row r="278" s="808" customFormat="1"/>
    <row r="279" s="808" customFormat="1"/>
    <row r="280" s="808" customFormat="1"/>
    <row r="281" s="808" customFormat="1"/>
    <row r="282" s="808" customFormat="1"/>
    <row r="283" s="808" customFormat="1"/>
    <row r="284" s="808" customFormat="1"/>
    <row r="285" s="808" customFormat="1"/>
    <row r="286" s="808" customFormat="1"/>
    <row r="287" s="808" customFormat="1"/>
    <row r="288" s="808" customFormat="1"/>
    <row r="289" s="808" customFormat="1"/>
    <row r="290" s="808" customFormat="1"/>
    <row r="291" s="808" customFormat="1"/>
    <row r="292" s="808" customFormat="1"/>
    <row r="293" s="808" customFormat="1"/>
    <row r="294" s="808" customFormat="1"/>
    <row r="295" s="808" customFormat="1"/>
    <row r="296" s="808" customFormat="1"/>
    <row r="297" s="808" customFormat="1"/>
    <row r="298" s="808" customFormat="1"/>
    <row r="299" s="808" customFormat="1"/>
    <row r="300" s="808" customFormat="1"/>
    <row r="301" s="808" customFormat="1"/>
    <row r="302" s="808" customFormat="1"/>
    <row r="303" s="808" customFormat="1"/>
    <row r="304" s="808" customFormat="1"/>
    <row r="305" s="808" customFormat="1"/>
    <row r="306" s="808" customFormat="1"/>
    <row r="307" s="808" customFormat="1"/>
    <row r="308" s="808" customFormat="1"/>
    <row r="309" s="808" customFormat="1"/>
    <row r="310" s="808" customFormat="1"/>
    <row r="311" s="808" customFormat="1"/>
    <row r="312" s="808" customFormat="1"/>
    <row r="313" s="808" customFormat="1"/>
    <row r="314" s="808" customFormat="1"/>
    <row r="315" s="808" customFormat="1"/>
    <row r="316" s="808" customFormat="1"/>
    <row r="317" s="808" customFormat="1"/>
    <row r="318" s="808" customFormat="1"/>
    <row r="319" s="808" customFormat="1"/>
    <row r="320" s="808" customFormat="1"/>
    <row r="321" s="808" customFormat="1"/>
    <row r="322" s="808" customFormat="1"/>
    <row r="323" s="808" customFormat="1"/>
    <row r="324" s="808" customFormat="1"/>
    <row r="325" s="808" customFormat="1"/>
    <row r="326" s="808" customFormat="1"/>
    <row r="327" s="808" customFormat="1"/>
    <row r="328" s="808" customFormat="1"/>
    <row r="329" s="808" customFormat="1"/>
    <row r="330" s="808" customFormat="1"/>
    <row r="331" s="808" customFormat="1"/>
    <row r="332" s="808" customFormat="1"/>
    <row r="333" s="808" customFormat="1"/>
    <row r="334" s="808" customFormat="1"/>
    <row r="335" s="808" customFormat="1"/>
    <row r="336" s="808" customFormat="1"/>
    <row r="337" s="808" customFormat="1"/>
    <row r="338" s="808" customFormat="1"/>
    <row r="339" s="808" customFormat="1"/>
    <row r="340" s="808" customFormat="1"/>
    <row r="341" s="808" customFormat="1"/>
    <row r="342" s="808" customFormat="1"/>
    <row r="343" s="808" customFormat="1"/>
    <row r="344" s="808" customFormat="1"/>
    <row r="345" s="808" customFormat="1"/>
    <row r="346" s="808" customFormat="1"/>
    <row r="347" s="808" customFormat="1"/>
    <row r="348" s="808" customFormat="1"/>
    <row r="349" s="808" customFormat="1"/>
    <row r="350" s="808" customFormat="1"/>
    <row r="351" s="808" customFormat="1"/>
    <row r="352" s="808" customFormat="1"/>
    <row r="353" s="808" customFormat="1"/>
    <row r="354" s="808" customFormat="1"/>
    <row r="355" s="808" customFormat="1"/>
    <row r="356" s="808" customFormat="1"/>
    <row r="357" s="808" customFormat="1"/>
    <row r="358" s="808" customFormat="1"/>
    <row r="359" s="808" customFormat="1"/>
    <row r="360" s="808" customFormat="1"/>
    <row r="361" s="808" customFormat="1"/>
    <row r="362" s="808" customFormat="1"/>
    <row r="363" s="808" customFormat="1"/>
    <row r="364" s="808" customFormat="1"/>
    <row r="365" s="808" customFormat="1"/>
    <row r="366" s="808" customFormat="1"/>
    <row r="367" s="808" customFormat="1"/>
    <row r="368" s="808" customFormat="1"/>
    <row r="369" s="808" customFormat="1"/>
    <row r="370" s="808" customFormat="1"/>
    <row r="371" s="808" customFormat="1"/>
    <row r="372" s="808" customFormat="1"/>
    <row r="373" s="808" customFormat="1"/>
    <row r="374" s="808" customFormat="1"/>
    <row r="375" s="808" customFormat="1"/>
    <row r="376" s="808" customFormat="1"/>
    <row r="377" s="808" customFormat="1"/>
    <row r="378" s="808" customFormat="1"/>
    <row r="379" s="808" customFormat="1"/>
    <row r="380" s="808" customFormat="1"/>
    <row r="381" s="808" customFormat="1"/>
    <row r="382" s="808" customFormat="1"/>
    <row r="383" s="808" customFormat="1"/>
    <row r="384" s="808" customFormat="1"/>
    <row r="385" s="808" customFormat="1"/>
    <row r="386" s="808" customFormat="1"/>
    <row r="387" s="808" customFormat="1"/>
    <row r="388" s="808" customFormat="1"/>
    <row r="389" s="808" customFormat="1"/>
    <row r="390" s="808" customFormat="1"/>
    <row r="391" s="808" customFormat="1"/>
    <row r="392" s="808" customFormat="1"/>
    <row r="393" s="808" customFormat="1"/>
  </sheetData>
  <sheetProtection algorithmName="SHA-512" hashValue="C3nGXr7wy3/NN+cxDk4hR8KX6gKtvzIKbhh1qdNIVsZLPpuCkICW8BTzCGirgKgV/nEeCbzdVgPpq8BukrQX1Q==" saltValue="XRljQkLkKmGMmf4864/eKQ==" spinCount="100000" sheet="1" objects="1" scenarios="1"/>
  <dataConsolidate/>
  <mergeCells count="11">
    <mergeCell ref="A1:B1"/>
    <mergeCell ref="A2:C2"/>
    <mergeCell ref="A3:A4"/>
    <mergeCell ref="B3:B4"/>
    <mergeCell ref="C3:C4"/>
    <mergeCell ref="D3:E3"/>
    <mergeCell ref="M3:N3"/>
    <mergeCell ref="O3:P3"/>
    <mergeCell ref="F3:G3"/>
    <mergeCell ref="I3:J3"/>
    <mergeCell ref="K3:L3"/>
  </mergeCells>
  <conditionalFormatting sqref="K5 F5 M5 O5 D5:D6 H5:I5 H6:H15">
    <cfRule type="containsText" dxfId="19" priority="4" stopIfTrue="1" operator="containsText" text="PĀRSNIEGTAS IZMAKSAS">
      <formula>NOT(ISERROR(SEARCH("PĀRSNIEGTAS IZMAKSAS",D5)))</formula>
    </cfRule>
  </conditionalFormatting>
  <dataValidations count="1">
    <dataValidation allowBlank="1" showInputMessage="1" showErrorMessage="1" promptTitle="izveelies" sqref="C5:C15"/>
  </dataValidations>
  <pageMargins left="0.7" right="0.7" top="0.75" bottom="0.75" header="0.3" footer="0.3"/>
  <pageSetup paperSize="9" scale="39" orientation="landscape"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dimension ref="A1:CZ55"/>
  <sheetViews>
    <sheetView zoomScaleNormal="100" workbookViewId="0">
      <pane xSplit="4" ySplit="4" topLeftCell="E12" activePane="bottomRight" state="frozen"/>
      <selection activeCell="P7" sqref="P7"/>
      <selection pane="topRight" activeCell="P7" sqref="P7"/>
      <selection pane="bottomLeft" activeCell="P7" sqref="P7"/>
      <selection pane="bottomRight" activeCell="A8" sqref="A8:IV11"/>
    </sheetView>
  </sheetViews>
  <sheetFormatPr defaultColWidth="12.42578125" defaultRowHeight="15" outlineLevelRow="1" outlineLevelCol="1"/>
  <cols>
    <col min="1" max="1" width="7.42578125" style="826" customWidth="1"/>
    <col min="2" max="2" width="41.42578125" style="826" customWidth="1"/>
    <col min="3" max="3" width="14.140625" style="826" customWidth="1"/>
    <col min="4" max="4" width="11.28515625" style="826" bestFit="1" customWidth="1"/>
    <col min="5" max="5" width="9.42578125" style="827" customWidth="1" outlineLevel="1"/>
    <col min="6" max="6" width="8.42578125" style="827" customWidth="1" outlineLevel="1"/>
    <col min="7" max="7" width="19" style="826" customWidth="1"/>
    <col min="8" max="8" width="9.42578125" style="827" customWidth="1" outlineLevel="1"/>
    <col min="9" max="9" width="8.42578125" style="827" customWidth="1" outlineLevel="1"/>
    <col min="10" max="10" width="26.7109375" style="826" customWidth="1"/>
    <col min="11" max="11" width="9.42578125" style="827" customWidth="1" outlineLevel="1"/>
    <col min="12" max="12" width="8.42578125" style="827" customWidth="1" outlineLevel="1"/>
    <col min="13" max="13" width="19" style="826" customWidth="1"/>
    <col min="14" max="14" width="9.42578125" style="827" customWidth="1" outlineLevel="1"/>
    <col min="15" max="15" width="8.42578125" style="827" customWidth="1" outlineLevel="1"/>
    <col min="16" max="16" width="19" style="826" customWidth="1"/>
    <col min="17" max="17" width="9.42578125" style="827" customWidth="1" outlineLevel="1"/>
    <col min="18" max="18" width="8.42578125" style="827" customWidth="1" outlineLevel="1"/>
    <col min="19" max="19" width="19" style="826" customWidth="1"/>
    <col min="20" max="20" width="9.42578125" style="827" customWidth="1" outlineLevel="1"/>
    <col min="21" max="21" width="8.42578125" style="827" customWidth="1" outlineLevel="1"/>
    <col min="22" max="22" width="19.42578125" style="826" customWidth="1"/>
    <col min="23" max="23" width="9.42578125" style="827" customWidth="1" outlineLevel="1"/>
    <col min="24" max="24" width="8.42578125" style="827" customWidth="1" outlineLevel="1"/>
    <col min="25" max="25" width="19" style="826" customWidth="1"/>
    <col min="26" max="26" width="9.42578125" style="827" customWidth="1" outlineLevel="1"/>
    <col min="27" max="27" width="8.42578125" style="827" customWidth="1" outlineLevel="1"/>
    <col min="28" max="28" width="19" style="826" customWidth="1"/>
    <col min="29" max="29" width="11.7109375" style="827" customWidth="1"/>
    <col min="30" max="30" width="9.42578125" style="827" customWidth="1"/>
    <col min="31" max="31" width="19" style="826" customWidth="1"/>
    <col min="32" max="32" width="9.42578125" style="827" customWidth="1" outlineLevel="1"/>
    <col min="33" max="33" width="8.42578125" style="827" customWidth="1" outlineLevel="1"/>
    <col min="34" max="34" width="19" style="826" customWidth="1"/>
    <col min="35" max="35" width="11.28515625" style="826" customWidth="1"/>
    <col min="36" max="36" width="9.85546875" style="826" customWidth="1"/>
    <col min="37" max="37" width="17" style="826" customWidth="1"/>
    <col min="38" max="38" width="15.7109375" style="826" customWidth="1"/>
    <col min="39" max="39" width="8.85546875" style="826" customWidth="1"/>
    <col min="40" max="40" width="17.85546875" style="826" customWidth="1"/>
    <col min="41" max="41" width="13.140625" style="826" customWidth="1"/>
    <col min="42" max="42" width="9.85546875" style="826" customWidth="1"/>
    <col min="43" max="43" width="17" style="826" customWidth="1"/>
    <col min="44" max="44" width="11" style="826" customWidth="1"/>
    <col min="45" max="45" width="10.28515625" style="826" customWidth="1"/>
    <col min="46" max="46" width="18.140625" style="826" customWidth="1"/>
    <col min="47" max="47" width="16.7109375" style="826" customWidth="1"/>
    <col min="48" max="48" width="21.7109375" style="826" customWidth="1"/>
    <col min="49" max="49" width="12.42578125" style="826"/>
    <col min="50" max="50" width="13.28515625" style="826" bestFit="1" customWidth="1"/>
    <col min="51" max="16384" width="12.42578125" style="826"/>
  </cols>
  <sheetData>
    <row r="1" spans="1:50" ht="21" customHeight="1">
      <c r="A1" s="825" t="s">
        <v>847</v>
      </c>
      <c r="B1" s="825"/>
      <c r="C1" s="825"/>
    </row>
    <row r="2" spans="1:50" ht="15.75" thickBot="1"/>
    <row r="3" spans="1:50" ht="15.75">
      <c r="A3" s="2372" t="s">
        <v>255</v>
      </c>
      <c r="B3" s="2374" t="s">
        <v>254</v>
      </c>
      <c r="C3" s="1014"/>
      <c r="D3" s="828"/>
      <c r="E3" s="2370" t="s">
        <v>253</v>
      </c>
      <c r="F3" s="2370"/>
      <c r="G3" s="2371"/>
      <c r="H3" s="2379" t="s">
        <v>252</v>
      </c>
      <c r="I3" s="2377"/>
      <c r="J3" s="2378"/>
      <c r="K3" s="2369" t="s">
        <v>251</v>
      </c>
      <c r="L3" s="2370"/>
      <c r="M3" s="2371"/>
      <c r="N3" s="2380" t="s">
        <v>250</v>
      </c>
      <c r="O3" s="2381"/>
      <c r="P3" s="2376"/>
      <c r="Q3" s="2369" t="s">
        <v>249</v>
      </c>
      <c r="R3" s="2381"/>
      <c r="S3" s="2371"/>
      <c r="T3" s="2379" t="s">
        <v>248</v>
      </c>
      <c r="U3" s="2377"/>
      <c r="V3" s="2378"/>
      <c r="W3" s="2379" t="s">
        <v>247</v>
      </c>
      <c r="X3" s="2377"/>
      <c r="Y3" s="2378"/>
      <c r="Z3" s="2379" t="s">
        <v>245</v>
      </c>
      <c r="AA3" s="2377"/>
      <c r="AB3" s="2378"/>
      <c r="AC3" s="2379" t="s">
        <v>863</v>
      </c>
      <c r="AD3" s="2377"/>
      <c r="AE3" s="2378"/>
      <c r="AF3" s="2379" t="s">
        <v>243</v>
      </c>
      <c r="AG3" s="2377"/>
      <c r="AH3" s="2380"/>
      <c r="AI3" s="2382" t="s">
        <v>864</v>
      </c>
      <c r="AJ3" s="2383"/>
      <c r="AK3" s="2384"/>
      <c r="AL3" s="2385" t="s">
        <v>865</v>
      </c>
      <c r="AM3" s="2383"/>
      <c r="AN3" s="2384"/>
      <c r="AO3" s="2385" t="s">
        <v>246</v>
      </c>
      <c r="AP3" s="2383"/>
      <c r="AQ3" s="2386"/>
      <c r="AR3" s="2382" t="s">
        <v>866</v>
      </c>
      <c r="AS3" s="2383"/>
      <c r="AT3" s="2386"/>
      <c r="AU3" s="2369" t="s">
        <v>160</v>
      </c>
      <c r="AV3" s="2370"/>
      <c r="AW3" s="2371"/>
    </row>
    <row r="4" spans="1:50" s="837" customFormat="1" ht="36.75" customHeight="1" thickBot="1">
      <c r="A4" s="2373"/>
      <c r="B4" s="2375"/>
      <c r="C4" s="1015"/>
      <c r="D4" s="829" t="s">
        <v>237</v>
      </c>
      <c r="E4" s="830" t="s">
        <v>236</v>
      </c>
      <c r="F4" s="831" t="s">
        <v>235</v>
      </c>
      <c r="G4" s="832" t="s">
        <v>0</v>
      </c>
      <c r="H4" s="830" t="s">
        <v>236</v>
      </c>
      <c r="I4" s="831" t="s">
        <v>235</v>
      </c>
      <c r="J4" s="832" t="s">
        <v>0</v>
      </c>
      <c r="K4" s="830" t="s">
        <v>236</v>
      </c>
      <c r="L4" s="831" t="s">
        <v>235</v>
      </c>
      <c r="M4" s="832" t="s">
        <v>0</v>
      </c>
      <c r="N4" s="830" t="s">
        <v>236</v>
      </c>
      <c r="O4" s="831" t="s">
        <v>235</v>
      </c>
      <c r="P4" s="1016" t="s">
        <v>0</v>
      </c>
      <c r="Q4" s="833" t="s">
        <v>236</v>
      </c>
      <c r="R4" s="831" t="s">
        <v>235</v>
      </c>
      <c r="S4" s="832" t="s">
        <v>0</v>
      </c>
      <c r="T4" s="833" t="s">
        <v>236</v>
      </c>
      <c r="U4" s="831" t="s">
        <v>235</v>
      </c>
      <c r="V4" s="832" t="s">
        <v>0</v>
      </c>
      <c r="W4" s="830" t="s">
        <v>236</v>
      </c>
      <c r="X4" s="831" t="s">
        <v>235</v>
      </c>
      <c r="Y4" s="832" t="s">
        <v>0</v>
      </c>
      <c r="Z4" s="1017" t="s">
        <v>236</v>
      </c>
      <c r="AA4" s="1018" t="s">
        <v>235</v>
      </c>
      <c r="AB4" s="1019" t="s">
        <v>0</v>
      </c>
      <c r="AC4" s="830" t="s">
        <v>236</v>
      </c>
      <c r="AD4" s="831" t="s">
        <v>235</v>
      </c>
      <c r="AE4" s="832" t="s">
        <v>0</v>
      </c>
      <c r="AF4" s="830" t="s">
        <v>236</v>
      </c>
      <c r="AG4" s="831" t="s">
        <v>235</v>
      </c>
      <c r="AH4" s="832" t="s">
        <v>0</v>
      </c>
      <c r="AI4" s="1020" t="s">
        <v>236</v>
      </c>
      <c r="AJ4" s="1021" t="s">
        <v>235</v>
      </c>
      <c r="AK4" s="1022" t="s">
        <v>0</v>
      </c>
      <c r="AL4" s="1020" t="s">
        <v>236</v>
      </c>
      <c r="AM4" s="1021" t="s">
        <v>235</v>
      </c>
      <c r="AN4" s="1022" t="s">
        <v>0</v>
      </c>
      <c r="AO4" s="1020" t="s">
        <v>236</v>
      </c>
      <c r="AP4" s="1021" t="s">
        <v>235</v>
      </c>
      <c r="AQ4" s="1020" t="s">
        <v>0</v>
      </c>
      <c r="AR4" s="1023" t="s">
        <v>236</v>
      </c>
      <c r="AS4" s="1021" t="s">
        <v>235</v>
      </c>
      <c r="AT4" s="1022" t="s">
        <v>0</v>
      </c>
      <c r="AU4" s="834" t="s">
        <v>234</v>
      </c>
      <c r="AV4" s="835" t="s">
        <v>0</v>
      </c>
      <c r="AW4" s="836" t="s">
        <v>15</v>
      </c>
    </row>
    <row r="5" spans="1:50" ht="32.25" thickBot="1">
      <c r="A5" s="838" t="s">
        <v>233</v>
      </c>
      <c r="B5" s="839" t="s">
        <v>232</v>
      </c>
      <c r="C5" s="1024"/>
      <c r="D5" s="840" t="s">
        <v>161</v>
      </c>
      <c r="E5" s="859"/>
      <c r="F5" s="842">
        <v>1</v>
      </c>
      <c r="G5" s="843">
        <v>27800</v>
      </c>
      <c r="H5" s="1025"/>
      <c r="I5" s="842">
        <v>1</v>
      </c>
      <c r="J5" s="852">
        <v>27800</v>
      </c>
      <c r="K5" s="841"/>
      <c r="L5" s="842">
        <v>1</v>
      </c>
      <c r="M5" s="843">
        <v>34000</v>
      </c>
      <c r="N5" s="1025"/>
      <c r="O5" s="842">
        <v>1</v>
      </c>
      <c r="P5" s="852">
        <v>25800</v>
      </c>
      <c r="Q5" s="841"/>
      <c r="R5" s="842">
        <v>1</v>
      </c>
      <c r="S5" s="843">
        <v>31800</v>
      </c>
      <c r="T5" s="1026"/>
      <c r="U5" s="1027">
        <v>1</v>
      </c>
      <c r="V5" s="1028">
        <v>35000</v>
      </c>
      <c r="W5" s="1025"/>
      <c r="X5" s="842">
        <v>1</v>
      </c>
      <c r="Y5" s="852">
        <v>34100</v>
      </c>
      <c r="Z5" s="1029">
        <v>44000</v>
      </c>
      <c r="AA5" s="1030">
        <v>1</v>
      </c>
      <c r="AB5" s="1031">
        <v>27800</v>
      </c>
      <c r="AC5" s="841"/>
      <c r="AD5" s="842">
        <v>1</v>
      </c>
      <c r="AE5" s="843">
        <v>39800</v>
      </c>
      <c r="AF5" s="1025"/>
      <c r="AG5" s="842">
        <v>1</v>
      </c>
      <c r="AH5" s="843">
        <v>31800</v>
      </c>
      <c r="AI5" s="1032"/>
      <c r="AJ5" s="1033">
        <v>1</v>
      </c>
      <c r="AK5" s="1034">
        <v>26000</v>
      </c>
      <c r="AL5" s="1035"/>
      <c r="AM5" s="1036">
        <v>1</v>
      </c>
      <c r="AN5" s="1037">
        <v>27800</v>
      </c>
      <c r="AO5" s="1038"/>
      <c r="AP5" s="1036">
        <v>1</v>
      </c>
      <c r="AQ5" s="1039">
        <v>27800</v>
      </c>
      <c r="AR5" s="1035"/>
      <c r="AS5" s="1036">
        <v>1</v>
      </c>
      <c r="AT5" s="1039">
        <v>31800</v>
      </c>
      <c r="AU5" s="847">
        <f>SUM(F5,I5,L5,O5,R5,U5,X5,AA5,AD5,AG5,AJ5,AM5,AP5,AS5)</f>
        <v>14</v>
      </c>
      <c r="AV5" s="848">
        <f>SUM(G5,J5,M5,P5,S5,V5,Y5,AB5,AE5,AH5,AK5,AN5,AQ5,AT5)</f>
        <v>429100</v>
      </c>
      <c r="AW5" s="849">
        <f t="shared" ref="AW5:AW29" si="0">AV5/$AV$51</f>
        <v>4.5037839762272415E-2</v>
      </c>
    </row>
    <row r="6" spans="1:50" ht="32.25" thickBot="1">
      <c r="A6" s="850" t="s">
        <v>231</v>
      </c>
      <c r="B6" s="839" t="s">
        <v>230</v>
      </c>
      <c r="C6" s="1024"/>
      <c r="D6" s="851"/>
      <c r="E6" s="859"/>
      <c r="F6" s="842"/>
      <c r="G6" s="1040">
        <f>SUM(G7,G12,G20,G30,G38,G46,G47)</f>
        <v>531930</v>
      </c>
      <c r="H6" s="1040"/>
      <c r="I6" s="1040"/>
      <c r="J6" s="1040">
        <f>SUM(J7,J12,J20,J30,J38,J46,J47)</f>
        <v>553474</v>
      </c>
      <c r="K6" s="1040"/>
      <c r="L6" s="1040"/>
      <c r="M6" s="1040">
        <f>SUM(M7,M12,M20,M30,M38,M46,M47)</f>
        <v>658938</v>
      </c>
      <c r="N6" s="1040"/>
      <c r="O6" s="1040"/>
      <c r="P6" s="1040">
        <f>SUM(P7,P12,P20,P30,P38,P46,P47)</f>
        <v>511626</v>
      </c>
      <c r="Q6" s="1040"/>
      <c r="R6" s="1040"/>
      <c r="S6" s="1040">
        <f>SUM(S7,S12,S20,S30,S38,S46,S47)</f>
        <v>719714</v>
      </c>
      <c r="T6" s="1040"/>
      <c r="U6" s="1040"/>
      <c r="V6" s="1040">
        <f>SUM(V7,V12,V20,V30,V38,V46,V47)</f>
        <v>655362</v>
      </c>
      <c r="W6" s="1040"/>
      <c r="X6" s="1040"/>
      <c r="Y6" s="1040">
        <f>SUM(Y7,Y12,Y20,Y30,Y38,Y46,Y47)</f>
        <v>632096</v>
      </c>
      <c r="Z6" s="1040"/>
      <c r="AA6" s="1040"/>
      <c r="AB6" s="1040">
        <f>SUM(AB7,AB12,AB20,AB30,AB38,AB46,AB47)</f>
        <v>533474</v>
      </c>
      <c r="AC6" s="1040"/>
      <c r="AD6" s="1040"/>
      <c r="AE6" s="1040">
        <f>SUM(AE7,AE12,AE20,AE30,AE38,AE46,AE47)</f>
        <v>876906</v>
      </c>
      <c r="AF6" s="1040"/>
      <c r="AG6" s="1040"/>
      <c r="AH6" s="1040">
        <f>SUM(AH7,AH12,AH20,AH30,AH38,AH46,AH47)</f>
        <v>757568</v>
      </c>
      <c r="AI6" s="1040"/>
      <c r="AJ6" s="1040"/>
      <c r="AK6" s="1040">
        <f>SUM(AK7,AK12,AK20,AK30,AK38,AK46,AK47)</f>
        <v>619560</v>
      </c>
      <c r="AL6" s="1040">
        <f>SUM(AL7,AL12,AL20,AL30,AL38,AL46,AL47)</f>
        <v>47022</v>
      </c>
      <c r="AM6" s="1040"/>
      <c r="AN6" s="1040">
        <f>SUM(AN7,AN12,AN20,AN30,AN38,AN46,AN47)</f>
        <v>564960</v>
      </c>
      <c r="AO6" s="1040"/>
      <c r="AP6" s="1040"/>
      <c r="AQ6" s="1040">
        <f>SUM(AQ7,AQ12,AQ20,AQ30,AQ38,AQ46,AQ47)</f>
        <v>519012</v>
      </c>
      <c r="AR6" s="1040"/>
      <c r="AS6" s="1040"/>
      <c r="AT6" s="1040">
        <f>SUM(AT7,AT12,AT20,AT30,AT38,AT46,AT47)</f>
        <v>524024</v>
      </c>
      <c r="AU6" s="1041">
        <f t="shared" ref="AU6:AV51" si="1">SUM(F6,I6,L6,O6,R6,U6,X6,AA6,AD6,AG6,AJ6,AM6,AP6,AS6)</f>
        <v>0</v>
      </c>
      <c r="AV6" s="1042">
        <f>SUM(G6,J6,M6,P6,S6,V6,Y6,AB6,AE6,AH6,AK6,AN6,AQ6,AT6)</f>
        <v>8658644</v>
      </c>
      <c r="AW6" s="1043">
        <f t="shared" si="0"/>
        <v>0.90880126084959567</v>
      </c>
      <c r="AX6" s="855" t="b">
        <f>AV7+AV12+AV20+AV30+AV38+AV46+AV47=AV6</f>
        <v>1</v>
      </c>
    </row>
    <row r="7" spans="1:50" ht="16.5" thickBot="1">
      <c r="A7" s="856" t="s">
        <v>14</v>
      </c>
      <c r="B7" s="857" t="s">
        <v>229</v>
      </c>
      <c r="C7" s="1044"/>
      <c r="D7" s="858"/>
      <c r="E7" s="859"/>
      <c r="F7" s="842"/>
      <c r="G7" s="1045">
        <f>SUM(G8:G11)</f>
        <v>28676</v>
      </c>
      <c r="H7" s="1046"/>
      <c r="I7" s="842"/>
      <c r="J7" s="1045">
        <f>SUM(J8:J11)</f>
        <v>23996</v>
      </c>
      <c r="K7" s="1046"/>
      <c r="L7" s="842"/>
      <c r="M7" s="860">
        <f>SUM(M8:M11)</f>
        <v>27612</v>
      </c>
      <c r="N7" s="1046"/>
      <c r="O7" s="842"/>
      <c r="P7" s="864">
        <f>SUM(P8:P11)</f>
        <v>22204</v>
      </c>
      <c r="Q7" s="859"/>
      <c r="R7" s="842"/>
      <c r="S7" s="860">
        <f>SUM(S8:S11)</f>
        <v>21604</v>
      </c>
      <c r="T7" s="1047"/>
      <c r="U7" s="1048"/>
      <c r="V7" s="1049">
        <f>SUM(V8:V11)</f>
        <v>41508</v>
      </c>
      <c r="W7" s="1046"/>
      <c r="X7" s="842"/>
      <c r="Y7" s="864">
        <f>SUM(Y8:Y11)</f>
        <v>24444</v>
      </c>
      <c r="Z7" s="1050"/>
      <c r="AA7" s="1051"/>
      <c r="AB7" s="860">
        <f>SUM(AB8:AB11)</f>
        <v>20356</v>
      </c>
      <c r="AC7" s="859"/>
      <c r="AD7" s="842"/>
      <c r="AE7" s="860">
        <f>SUM(AE8:AE11)</f>
        <v>23652</v>
      </c>
      <c r="AF7" s="1046"/>
      <c r="AG7" s="842"/>
      <c r="AH7" s="860">
        <f>SUM(AH8:AH11)</f>
        <v>23340</v>
      </c>
      <c r="AI7" s="1032"/>
      <c r="AJ7" s="1033"/>
      <c r="AK7" s="1052">
        <f>SUM(AK8:AK11)</f>
        <v>35828</v>
      </c>
      <c r="AL7" s="1053"/>
      <c r="AM7" s="1053"/>
      <c r="AN7" s="1053">
        <f>SUM(AN8:AN11)</f>
        <v>24572</v>
      </c>
      <c r="AO7" s="1053"/>
      <c r="AP7" s="1053"/>
      <c r="AQ7" s="1053">
        <f>SUM(AQ8:AQ11)</f>
        <v>22204</v>
      </c>
      <c r="AR7" s="1054"/>
      <c r="AS7" s="1055"/>
      <c r="AT7" s="1053">
        <f>SUM(AT8:AT11)</f>
        <v>26860</v>
      </c>
      <c r="AU7" s="838">
        <f t="shared" si="1"/>
        <v>0</v>
      </c>
      <c r="AV7" s="1013">
        <f t="shared" si="1"/>
        <v>366856</v>
      </c>
      <c r="AW7" s="1056">
        <f t="shared" si="0"/>
        <v>3.8504781505076233E-2</v>
      </c>
    </row>
    <row r="8" spans="1:50" ht="15.75" hidden="1" outlineLevel="1">
      <c r="A8" s="867" t="s">
        <v>228</v>
      </c>
      <c r="B8" s="868" t="s">
        <v>850</v>
      </c>
      <c r="C8" s="1057"/>
      <c r="D8" s="869" t="s">
        <v>161</v>
      </c>
      <c r="E8" s="870">
        <v>4500</v>
      </c>
      <c r="F8" s="871">
        <v>1</v>
      </c>
      <c r="G8" s="872">
        <f>E8*F8</f>
        <v>4500</v>
      </c>
      <c r="H8" s="870">
        <v>4500</v>
      </c>
      <c r="I8" s="871">
        <v>1</v>
      </c>
      <c r="J8" s="874">
        <f>H8*I8</f>
        <v>4500</v>
      </c>
      <c r="K8" s="870">
        <v>4500</v>
      </c>
      <c r="L8" s="871">
        <v>1</v>
      </c>
      <c r="M8" s="872">
        <f>K8*L8</f>
        <v>4500</v>
      </c>
      <c r="N8" s="870">
        <v>4500</v>
      </c>
      <c r="O8" s="871">
        <v>1</v>
      </c>
      <c r="P8" s="874">
        <f>N8*O8</f>
        <v>4500</v>
      </c>
      <c r="Q8" s="870">
        <v>4500</v>
      </c>
      <c r="R8" s="871">
        <v>1</v>
      </c>
      <c r="S8" s="872">
        <f>Q8*R8</f>
        <v>4500</v>
      </c>
      <c r="T8" s="870">
        <v>4500</v>
      </c>
      <c r="U8" s="871">
        <v>1</v>
      </c>
      <c r="V8" s="1058">
        <f>T8*U8</f>
        <v>4500</v>
      </c>
      <c r="W8" s="870">
        <v>4500</v>
      </c>
      <c r="X8" s="871">
        <v>1</v>
      </c>
      <c r="Y8" s="874">
        <f>W8*X8</f>
        <v>4500</v>
      </c>
      <c r="Z8" s="870">
        <v>4500</v>
      </c>
      <c r="AA8" s="871">
        <v>1</v>
      </c>
      <c r="AB8" s="872">
        <f>Z8*AA8</f>
        <v>4500</v>
      </c>
      <c r="AC8" s="870">
        <v>4500</v>
      </c>
      <c r="AD8" s="871">
        <v>1</v>
      </c>
      <c r="AE8" s="872">
        <f>SUM(AC8*AD8)</f>
        <v>4500</v>
      </c>
      <c r="AF8" s="870">
        <v>4500</v>
      </c>
      <c r="AG8" s="871">
        <v>1</v>
      </c>
      <c r="AH8" s="872">
        <f>AF8*AG8</f>
        <v>4500</v>
      </c>
      <c r="AI8" s="1059">
        <v>4500</v>
      </c>
      <c r="AJ8" s="1060">
        <v>1</v>
      </c>
      <c r="AK8" s="1061">
        <v>4500</v>
      </c>
      <c r="AL8" s="1059">
        <v>4500</v>
      </c>
      <c r="AM8" s="1060">
        <v>1</v>
      </c>
      <c r="AN8" s="1061">
        <v>4500</v>
      </c>
      <c r="AO8" s="1060">
        <v>4500</v>
      </c>
      <c r="AP8" s="1060">
        <v>1</v>
      </c>
      <c r="AQ8" s="1062">
        <v>4500</v>
      </c>
      <c r="AR8" s="1059">
        <v>4500</v>
      </c>
      <c r="AS8" s="1060">
        <v>1</v>
      </c>
      <c r="AT8" s="1062">
        <v>4500</v>
      </c>
      <c r="AU8" s="1063">
        <f t="shared" si="1"/>
        <v>14</v>
      </c>
      <c r="AV8" s="875">
        <f t="shared" si="1"/>
        <v>63000</v>
      </c>
      <c r="AW8" s="1064">
        <f t="shared" si="0"/>
        <v>6.612407142911122E-3</v>
      </c>
    </row>
    <row r="9" spans="1:50" ht="15.75" hidden="1" outlineLevel="1">
      <c r="A9" s="867" t="s">
        <v>226</v>
      </c>
      <c r="B9" s="868" t="s">
        <v>227</v>
      </c>
      <c r="C9" s="1057"/>
      <c r="D9" s="877" t="s">
        <v>165</v>
      </c>
      <c r="E9" s="870">
        <v>8</v>
      </c>
      <c r="F9" s="871">
        <v>1939</v>
      </c>
      <c r="G9" s="872">
        <f>$E$9*F9</f>
        <v>15512</v>
      </c>
      <c r="H9" s="870">
        <v>8</v>
      </c>
      <c r="I9" s="871">
        <v>1318</v>
      </c>
      <c r="J9" s="874">
        <f>H9*I9</f>
        <v>10544</v>
      </c>
      <c r="K9" s="870">
        <v>8</v>
      </c>
      <c r="L9" s="871">
        <v>1950</v>
      </c>
      <c r="M9" s="872">
        <f>K9*L9</f>
        <v>15600</v>
      </c>
      <c r="N9" s="870">
        <v>8</v>
      </c>
      <c r="O9" s="871">
        <v>1497</v>
      </c>
      <c r="P9" s="874">
        <f>N9*O9</f>
        <v>11976</v>
      </c>
      <c r="Q9" s="870">
        <v>8</v>
      </c>
      <c r="R9" s="871">
        <v>1386</v>
      </c>
      <c r="S9" s="872">
        <f>Q9*R9</f>
        <v>11088</v>
      </c>
      <c r="T9" s="870">
        <v>8</v>
      </c>
      <c r="U9" s="1065">
        <v>3480</v>
      </c>
      <c r="V9" s="1058">
        <f>T9*U9</f>
        <v>27840</v>
      </c>
      <c r="W9" s="870">
        <v>8</v>
      </c>
      <c r="X9" s="871">
        <v>1653</v>
      </c>
      <c r="Y9" s="874">
        <f>W9*X9</f>
        <v>13224</v>
      </c>
      <c r="Z9" s="870">
        <v>8</v>
      </c>
      <c r="AA9" s="1066">
        <v>1383</v>
      </c>
      <c r="AB9" s="872">
        <f>Z9*AA9</f>
        <v>11064</v>
      </c>
      <c r="AC9" s="870">
        <v>8</v>
      </c>
      <c r="AD9" s="871">
        <v>1554</v>
      </c>
      <c r="AE9" s="872">
        <f>SUM(AC9*AD9)</f>
        <v>12432</v>
      </c>
      <c r="AF9" s="870">
        <v>8</v>
      </c>
      <c r="AG9" s="871">
        <v>1353</v>
      </c>
      <c r="AH9" s="872">
        <f>AF9*AG9</f>
        <v>10824</v>
      </c>
      <c r="AI9" s="1059">
        <v>8</v>
      </c>
      <c r="AJ9" s="1060">
        <v>2815</v>
      </c>
      <c r="AK9" s="1061">
        <v>22520</v>
      </c>
      <c r="AL9" s="1059">
        <v>8</v>
      </c>
      <c r="AM9" s="1060">
        <v>1480</v>
      </c>
      <c r="AN9" s="1061">
        <v>11840</v>
      </c>
      <c r="AO9" s="1060">
        <v>8</v>
      </c>
      <c r="AP9" s="1060">
        <v>1497</v>
      </c>
      <c r="AQ9" s="1062">
        <v>11976</v>
      </c>
      <c r="AR9" s="1059">
        <v>8</v>
      </c>
      <c r="AS9" s="1060">
        <v>1998</v>
      </c>
      <c r="AT9" s="1062">
        <v>15984</v>
      </c>
      <c r="AU9" s="1067">
        <f t="shared" si="1"/>
        <v>25303</v>
      </c>
      <c r="AV9" s="879">
        <f t="shared" si="1"/>
        <v>202424</v>
      </c>
      <c r="AW9" s="1068">
        <f t="shared" si="0"/>
        <v>2.1246188944391127E-2</v>
      </c>
    </row>
    <row r="10" spans="1:50" ht="15.75" hidden="1" outlineLevel="1">
      <c r="A10" s="881" t="s">
        <v>224</v>
      </c>
      <c r="B10" s="882" t="s">
        <v>225</v>
      </c>
      <c r="C10" s="1069"/>
      <c r="D10" s="883" t="s">
        <v>165</v>
      </c>
      <c r="E10" s="884">
        <v>3.6</v>
      </c>
      <c r="F10" s="885">
        <v>740</v>
      </c>
      <c r="G10" s="886">
        <f t="shared" ref="G10:G47" si="2">E10*F10</f>
        <v>2664</v>
      </c>
      <c r="H10" s="884">
        <v>3.6</v>
      </c>
      <c r="I10" s="885">
        <v>820</v>
      </c>
      <c r="J10" s="889">
        <f>H10*I10</f>
        <v>2952</v>
      </c>
      <c r="K10" s="884">
        <v>3.6</v>
      </c>
      <c r="L10" s="885">
        <v>420</v>
      </c>
      <c r="M10" s="886">
        <f t="shared" ref="M10:M47" si="3">K10*L10</f>
        <v>1512</v>
      </c>
      <c r="N10" s="884">
        <v>3.6</v>
      </c>
      <c r="O10" s="885">
        <v>480</v>
      </c>
      <c r="P10" s="889">
        <f t="shared" ref="P10:P47" si="4">N10*O10</f>
        <v>1728</v>
      </c>
      <c r="Q10" s="884">
        <v>3.6</v>
      </c>
      <c r="R10" s="885">
        <v>560</v>
      </c>
      <c r="S10" s="886">
        <f t="shared" ref="S10:S45" si="5">Q10*R10</f>
        <v>2016</v>
      </c>
      <c r="T10" s="884">
        <v>3.6</v>
      </c>
      <c r="U10" s="1070">
        <v>880</v>
      </c>
      <c r="V10" s="1071">
        <f>T10*U10</f>
        <v>3168</v>
      </c>
      <c r="W10" s="884">
        <v>3.6</v>
      </c>
      <c r="X10" s="885">
        <v>200</v>
      </c>
      <c r="Y10" s="889">
        <f>W10*X10</f>
        <v>720</v>
      </c>
      <c r="Z10" s="884">
        <v>3.6</v>
      </c>
      <c r="AA10" s="1072">
        <v>220</v>
      </c>
      <c r="AB10" s="886">
        <f>Z10*AA10</f>
        <v>792</v>
      </c>
      <c r="AC10" s="884">
        <v>3.6</v>
      </c>
      <c r="AD10" s="885">
        <v>200</v>
      </c>
      <c r="AE10" s="872">
        <f>SUM(AC10*AD10)</f>
        <v>720</v>
      </c>
      <c r="AF10" s="884">
        <v>3.6</v>
      </c>
      <c r="AG10" s="885">
        <v>560</v>
      </c>
      <c r="AH10" s="886">
        <f t="shared" ref="AH10:AH47" si="6">AF10*AG10</f>
        <v>2016</v>
      </c>
      <c r="AI10" s="1073">
        <v>3.6</v>
      </c>
      <c r="AJ10" s="1074">
        <v>780</v>
      </c>
      <c r="AK10" s="1061">
        <v>2808</v>
      </c>
      <c r="AL10" s="1073">
        <v>3.6</v>
      </c>
      <c r="AM10" s="1074">
        <v>620</v>
      </c>
      <c r="AN10" s="1061">
        <v>2232</v>
      </c>
      <c r="AO10" s="1075">
        <v>3.6</v>
      </c>
      <c r="AP10" s="1074">
        <v>480</v>
      </c>
      <c r="AQ10" s="1062">
        <v>1728</v>
      </c>
      <c r="AR10" s="1073">
        <v>3.6</v>
      </c>
      <c r="AS10" s="1074">
        <v>660</v>
      </c>
      <c r="AT10" s="1062">
        <v>2376</v>
      </c>
      <c r="AU10" s="1067">
        <f t="shared" si="1"/>
        <v>7620</v>
      </c>
      <c r="AV10" s="879">
        <f t="shared" si="1"/>
        <v>27432</v>
      </c>
      <c r="AW10" s="1076">
        <f t="shared" si="0"/>
        <v>2.8792309959418711E-3</v>
      </c>
    </row>
    <row r="11" spans="1:50" ht="18.75" hidden="1" customHeight="1" outlineLevel="1" thickBot="1">
      <c r="A11" s="891" t="s">
        <v>851</v>
      </c>
      <c r="B11" s="892" t="s">
        <v>223</v>
      </c>
      <c r="C11" s="1077"/>
      <c r="D11" s="893" t="s">
        <v>161</v>
      </c>
      <c r="E11" s="991">
        <v>6000</v>
      </c>
      <c r="F11" s="895">
        <v>1</v>
      </c>
      <c r="G11" s="896">
        <f t="shared" si="2"/>
        <v>6000</v>
      </c>
      <c r="H11" s="991">
        <v>6000</v>
      </c>
      <c r="I11" s="895">
        <v>1</v>
      </c>
      <c r="J11" s="898">
        <f>H11*I11</f>
        <v>6000</v>
      </c>
      <c r="K11" s="991">
        <v>6000</v>
      </c>
      <c r="L11" s="895">
        <v>1</v>
      </c>
      <c r="M11" s="896">
        <f t="shared" si="3"/>
        <v>6000</v>
      </c>
      <c r="N11" s="991">
        <v>4000</v>
      </c>
      <c r="O11" s="895">
        <v>1</v>
      </c>
      <c r="P11" s="898">
        <f t="shared" si="4"/>
        <v>4000</v>
      </c>
      <c r="Q11" s="991">
        <v>4000</v>
      </c>
      <c r="R11" s="895">
        <v>1</v>
      </c>
      <c r="S11" s="896">
        <f t="shared" si="5"/>
        <v>4000</v>
      </c>
      <c r="T11" s="991">
        <v>6000</v>
      </c>
      <c r="U11" s="1070">
        <v>1</v>
      </c>
      <c r="V11" s="1071">
        <f>T11*U11</f>
        <v>6000</v>
      </c>
      <c r="W11" s="991">
        <v>6000</v>
      </c>
      <c r="X11" s="895">
        <v>1</v>
      </c>
      <c r="Y11" s="898">
        <f>W11*X11</f>
        <v>6000</v>
      </c>
      <c r="Z11" s="991">
        <v>4000</v>
      </c>
      <c r="AA11" s="1078">
        <v>1</v>
      </c>
      <c r="AB11" s="896">
        <f>Z11*AA11</f>
        <v>4000</v>
      </c>
      <c r="AC11" s="991">
        <v>6000</v>
      </c>
      <c r="AD11" s="895">
        <v>1</v>
      </c>
      <c r="AE11" s="872">
        <f>SUM(AC11*AD11)</f>
        <v>6000</v>
      </c>
      <c r="AF11" s="894">
        <v>6000</v>
      </c>
      <c r="AG11" s="895">
        <v>1</v>
      </c>
      <c r="AH11" s="896">
        <f t="shared" si="6"/>
        <v>6000</v>
      </c>
      <c r="AI11" s="1079">
        <v>6000</v>
      </c>
      <c r="AJ11" s="1080">
        <v>1</v>
      </c>
      <c r="AK11" s="1081">
        <v>6000</v>
      </c>
      <c r="AL11" s="1079">
        <v>6000</v>
      </c>
      <c r="AM11" s="1080">
        <v>1</v>
      </c>
      <c r="AN11" s="1081">
        <v>6000</v>
      </c>
      <c r="AO11" s="1080">
        <v>4000</v>
      </c>
      <c r="AP11" s="1080">
        <v>1</v>
      </c>
      <c r="AQ11" s="1082">
        <v>4000</v>
      </c>
      <c r="AR11" s="1079">
        <v>4000</v>
      </c>
      <c r="AS11" s="1080">
        <v>1</v>
      </c>
      <c r="AT11" s="1082">
        <v>4000</v>
      </c>
      <c r="AU11" s="1083">
        <f t="shared" si="1"/>
        <v>14</v>
      </c>
      <c r="AV11" s="899">
        <f t="shared" si="1"/>
        <v>74000</v>
      </c>
      <c r="AW11" s="1084">
        <f t="shared" si="0"/>
        <v>7.7669544218321113E-3</v>
      </c>
    </row>
    <row r="12" spans="1:50" ht="18.75" collapsed="1" thickBot="1">
      <c r="A12" s="856" t="s">
        <v>16</v>
      </c>
      <c r="B12" s="857" t="s">
        <v>222</v>
      </c>
      <c r="C12" s="1044"/>
      <c r="D12" s="851"/>
      <c r="E12" s="859"/>
      <c r="F12" s="842"/>
      <c r="G12" s="860">
        <f>SUM(G13:G19)</f>
        <v>217120</v>
      </c>
      <c r="H12" s="859"/>
      <c r="I12" s="842"/>
      <c r="J12" s="860">
        <f>SUM(J13:J19)</f>
        <v>217120</v>
      </c>
      <c r="K12" s="859"/>
      <c r="L12" s="842"/>
      <c r="M12" s="860">
        <f>SUM(M13:M19)</f>
        <v>294880</v>
      </c>
      <c r="N12" s="1046"/>
      <c r="O12" s="842"/>
      <c r="P12" s="864">
        <f>SUM(P13:P19)</f>
        <v>213120</v>
      </c>
      <c r="Q12" s="859"/>
      <c r="R12" s="842"/>
      <c r="S12" s="860">
        <f>SUM(S13:S19)</f>
        <v>378640</v>
      </c>
      <c r="T12" s="1047"/>
      <c r="U12" s="1048"/>
      <c r="V12" s="1049">
        <f>SUM(V13:V19)</f>
        <v>310720</v>
      </c>
      <c r="W12" s="1046"/>
      <c r="X12" s="842"/>
      <c r="Y12" s="864">
        <f>SUM(Y13:Y19)</f>
        <v>341520</v>
      </c>
      <c r="Z12" s="1050"/>
      <c r="AA12" s="1051"/>
      <c r="AB12" s="860">
        <f>SUM(AB13:AB19)</f>
        <v>246880</v>
      </c>
      <c r="AC12" s="859"/>
      <c r="AD12" s="842"/>
      <c r="AE12" s="860">
        <f>SUM(AE13:AE19)</f>
        <v>246880</v>
      </c>
      <c r="AF12" s="1046"/>
      <c r="AG12" s="842"/>
      <c r="AH12" s="860">
        <f>SUM(AH13:AH19)</f>
        <v>408240</v>
      </c>
      <c r="AI12" s="1032"/>
      <c r="AJ12" s="1033"/>
      <c r="AK12" s="1052">
        <f>SUM(AK13:AK19)</f>
        <v>279328</v>
      </c>
      <c r="AL12" s="1085"/>
      <c r="AM12" s="1086"/>
      <c r="AN12" s="1087">
        <f>SUM(AN13:AN19)</f>
        <v>217120</v>
      </c>
      <c r="AO12" s="1085"/>
      <c r="AP12" s="1086"/>
      <c r="AQ12" s="1087">
        <f>SUM(AQ13:AQ19)</f>
        <v>223120</v>
      </c>
      <c r="AR12" s="1085"/>
      <c r="AS12" s="1086"/>
      <c r="AT12" s="1088">
        <f>SUM(AT13:AT19)</f>
        <v>217120</v>
      </c>
      <c r="AU12" s="847">
        <f t="shared" si="1"/>
        <v>0</v>
      </c>
      <c r="AV12" s="848">
        <f t="shared" si="1"/>
        <v>3811808</v>
      </c>
      <c r="AW12" s="866">
        <f t="shared" si="0"/>
        <v>0.40008295946993266</v>
      </c>
    </row>
    <row r="13" spans="1:50" ht="15.75" hidden="1" outlineLevel="1">
      <c r="A13" s="867" t="s">
        <v>221</v>
      </c>
      <c r="B13" s="868" t="s">
        <v>220</v>
      </c>
      <c r="C13" s="1057"/>
      <c r="D13" s="902" t="s">
        <v>161</v>
      </c>
      <c r="E13" s="870">
        <v>8000</v>
      </c>
      <c r="F13" s="871">
        <v>0</v>
      </c>
      <c r="G13" s="872">
        <f t="shared" si="2"/>
        <v>0</v>
      </c>
      <c r="H13" s="1089">
        <v>8000</v>
      </c>
      <c r="I13" s="871">
        <v>0</v>
      </c>
      <c r="J13" s="874">
        <f>H13*I13</f>
        <v>0</v>
      </c>
      <c r="K13" s="1090">
        <v>8000</v>
      </c>
      <c r="L13" s="1091">
        <v>0</v>
      </c>
      <c r="M13" s="1092">
        <f t="shared" si="3"/>
        <v>0</v>
      </c>
      <c r="N13" s="1089">
        <v>8000</v>
      </c>
      <c r="O13" s="871">
        <v>0</v>
      </c>
      <c r="P13" s="874">
        <f t="shared" si="4"/>
        <v>0</v>
      </c>
      <c r="Q13" s="903">
        <v>8000</v>
      </c>
      <c r="R13" s="871">
        <v>0</v>
      </c>
      <c r="S13" s="872">
        <f t="shared" si="5"/>
        <v>0</v>
      </c>
      <c r="T13" s="1093">
        <v>8000</v>
      </c>
      <c r="U13" s="1070">
        <v>0</v>
      </c>
      <c r="V13" s="1071">
        <f>T13*U13</f>
        <v>0</v>
      </c>
      <c r="W13" s="1094">
        <v>62000</v>
      </c>
      <c r="X13" s="942">
        <v>1</v>
      </c>
      <c r="Y13" s="944">
        <f>W13*X13</f>
        <v>62000</v>
      </c>
      <c r="Z13" s="1095">
        <v>12000</v>
      </c>
      <c r="AA13" s="1096">
        <v>0</v>
      </c>
      <c r="AB13" s="1092">
        <f>Z13*AA13</f>
        <v>0</v>
      </c>
      <c r="AC13" s="903">
        <v>12000</v>
      </c>
      <c r="AD13" s="871">
        <v>0</v>
      </c>
      <c r="AE13" s="886">
        <f t="shared" ref="AE13:AE19" si="7">AC13*AD13</f>
        <v>0</v>
      </c>
      <c r="AF13" s="1089">
        <v>8000</v>
      </c>
      <c r="AG13" s="871">
        <v>0</v>
      </c>
      <c r="AH13" s="872">
        <f t="shared" si="6"/>
        <v>0</v>
      </c>
      <c r="AI13" s="1059">
        <v>8000</v>
      </c>
      <c r="AJ13" s="1060">
        <v>0</v>
      </c>
      <c r="AK13" s="1061">
        <f>AI13*AJ13</f>
        <v>0</v>
      </c>
      <c r="AL13" s="1073">
        <v>8000</v>
      </c>
      <c r="AM13" s="1074">
        <v>0</v>
      </c>
      <c r="AN13" s="1061" t="s">
        <v>867</v>
      </c>
      <c r="AO13" s="1075">
        <v>8000</v>
      </c>
      <c r="AP13" s="1074">
        <v>0</v>
      </c>
      <c r="AQ13" s="1062" t="s">
        <v>867</v>
      </c>
      <c r="AR13" s="1059">
        <v>8000</v>
      </c>
      <c r="AS13" s="1074">
        <v>0</v>
      </c>
      <c r="AT13" s="1097">
        <f t="shared" ref="AT13:AT18" si="8">AR13*AS13</f>
        <v>0</v>
      </c>
      <c r="AU13" s="1063">
        <f t="shared" si="1"/>
        <v>1</v>
      </c>
      <c r="AV13" s="875">
        <f t="shared" si="1"/>
        <v>62000</v>
      </c>
      <c r="AW13" s="1098">
        <f t="shared" si="0"/>
        <v>6.5074482993728502E-3</v>
      </c>
    </row>
    <row r="14" spans="1:50" ht="30.75" hidden="1" outlineLevel="1">
      <c r="A14" s="881" t="s">
        <v>219</v>
      </c>
      <c r="B14" s="882" t="s">
        <v>853</v>
      </c>
      <c r="C14" s="1069"/>
      <c r="D14" s="906" t="s">
        <v>161</v>
      </c>
      <c r="E14" s="923">
        <v>6000</v>
      </c>
      <c r="F14" s="885">
        <v>1</v>
      </c>
      <c r="G14" s="872">
        <f t="shared" si="2"/>
        <v>6000</v>
      </c>
      <c r="H14" s="950">
        <v>6000</v>
      </c>
      <c r="I14" s="885">
        <v>1</v>
      </c>
      <c r="J14" s="889">
        <f>H14*I14</f>
        <v>6000</v>
      </c>
      <c r="K14" s="884">
        <v>6000</v>
      </c>
      <c r="L14" s="885">
        <v>1</v>
      </c>
      <c r="M14" s="886">
        <f t="shared" si="3"/>
        <v>6000</v>
      </c>
      <c r="N14" s="884">
        <v>6000</v>
      </c>
      <c r="O14" s="885">
        <v>1</v>
      </c>
      <c r="P14" s="889">
        <f t="shared" si="4"/>
        <v>6000</v>
      </c>
      <c r="Q14" s="884">
        <v>12000</v>
      </c>
      <c r="R14" s="885">
        <v>1</v>
      </c>
      <c r="S14" s="886">
        <f t="shared" si="5"/>
        <v>12000</v>
      </c>
      <c r="T14" s="884">
        <v>6000</v>
      </c>
      <c r="U14" s="1070">
        <v>1</v>
      </c>
      <c r="V14" s="1071">
        <f>T14*U14</f>
        <v>6000</v>
      </c>
      <c r="W14" s="884">
        <v>6000</v>
      </c>
      <c r="X14" s="885">
        <v>1</v>
      </c>
      <c r="Y14" s="889">
        <f>W14*X14</f>
        <v>6000</v>
      </c>
      <c r="Z14" s="1099">
        <v>12000</v>
      </c>
      <c r="AA14" s="1100">
        <v>1</v>
      </c>
      <c r="AB14" s="1101">
        <f>Z14*AA14</f>
        <v>12000</v>
      </c>
      <c r="AC14" s="884">
        <v>12000</v>
      </c>
      <c r="AD14" s="885">
        <v>1</v>
      </c>
      <c r="AE14" s="886">
        <f t="shared" si="7"/>
        <v>12000</v>
      </c>
      <c r="AF14" s="950">
        <v>12000</v>
      </c>
      <c r="AG14" s="885">
        <v>1</v>
      </c>
      <c r="AH14" s="886">
        <v>14000</v>
      </c>
      <c r="AI14" s="1059">
        <v>6000</v>
      </c>
      <c r="AJ14" s="1060">
        <v>1</v>
      </c>
      <c r="AK14" s="1061">
        <f t="shared" ref="AK14:AK19" si="9">AI14*AJ14</f>
        <v>6000</v>
      </c>
      <c r="AL14" s="1075">
        <v>6000</v>
      </c>
      <c r="AM14" s="1074">
        <v>1</v>
      </c>
      <c r="AN14" s="1061">
        <v>6000</v>
      </c>
      <c r="AO14" s="1075">
        <v>12000</v>
      </c>
      <c r="AP14" s="1074">
        <v>1</v>
      </c>
      <c r="AQ14" s="1062">
        <v>12000</v>
      </c>
      <c r="AR14" s="1102">
        <v>6000</v>
      </c>
      <c r="AS14" s="1103">
        <v>1</v>
      </c>
      <c r="AT14" s="1104">
        <f t="shared" si="8"/>
        <v>6000</v>
      </c>
      <c r="AU14" s="1067">
        <f t="shared" si="1"/>
        <v>14</v>
      </c>
      <c r="AV14" s="879">
        <f t="shared" si="1"/>
        <v>116000</v>
      </c>
      <c r="AW14" s="1068">
        <f t="shared" si="0"/>
        <v>1.2175225850439526E-2</v>
      </c>
    </row>
    <row r="15" spans="1:50" ht="15.75" hidden="1" outlineLevel="1">
      <c r="A15" s="881" t="s">
        <v>217</v>
      </c>
      <c r="B15" s="882" t="s">
        <v>216</v>
      </c>
      <c r="C15" s="1069"/>
      <c r="D15" s="906" t="s">
        <v>165</v>
      </c>
      <c r="E15" s="923"/>
      <c r="F15" s="885"/>
      <c r="G15" s="872">
        <f t="shared" si="2"/>
        <v>0</v>
      </c>
      <c r="H15" s="950"/>
      <c r="I15" s="885"/>
      <c r="J15" s="889"/>
      <c r="K15" s="884">
        <v>320</v>
      </c>
      <c r="L15" s="885">
        <v>486</v>
      </c>
      <c r="M15" s="886">
        <f t="shared" si="3"/>
        <v>155520</v>
      </c>
      <c r="N15" s="950"/>
      <c r="O15" s="885"/>
      <c r="P15" s="889"/>
      <c r="Q15" s="884">
        <v>320</v>
      </c>
      <c r="R15" s="885">
        <v>972</v>
      </c>
      <c r="S15" s="886">
        <f t="shared" si="5"/>
        <v>311040</v>
      </c>
      <c r="T15" s="1093"/>
      <c r="U15" s="1070"/>
      <c r="V15" s="1071"/>
      <c r="W15" s="1105"/>
      <c r="X15" s="885"/>
      <c r="Y15" s="889"/>
      <c r="Z15" s="1099"/>
      <c r="AA15" s="1100"/>
      <c r="AB15" s="1101"/>
      <c r="AC15" s="884"/>
      <c r="AD15" s="885"/>
      <c r="AE15" s="886">
        <f t="shared" si="7"/>
        <v>0</v>
      </c>
      <c r="AF15" s="950">
        <v>320</v>
      </c>
      <c r="AG15" s="885">
        <v>972</v>
      </c>
      <c r="AH15" s="886">
        <f t="shared" si="6"/>
        <v>311040</v>
      </c>
      <c r="AI15" s="1059"/>
      <c r="AJ15" s="1060"/>
      <c r="AK15" s="1061">
        <f t="shared" si="9"/>
        <v>0</v>
      </c>
      <c r="AL15" s="1075">
        <v>320</v>
      </c>
      <c r="AM15" s="1074">
        <v>0</v>
      </c>
      <c r="AN15" s="1061" t="s">
        <v>867</v>
      </c>
      <c r="AO15" s="1075"/>
      <c r="AP15" s="1074"/>
      <c r="AQ15" s="1062"/>
      <c r="AR15" s="1102">
        <v>0</v>
      </c>
      <c r="AS15" s="1103">
        <v>0</v>
      </c>
      <c r="AT15" s="1104">
        <f t="shared" si="8"/>
        <v>0</v>
      </c>
      <c r="AU15" s="1067">
        <f t="shared" si="1"/>
        <v>2430</v>
      </c>
      <c r="AV15" s="879">
        <f t="shared" si="1"/>
        <v>777600</v>
      </c>
      <c r="AW15" s="1068">
        <f t="shared" si="0"/>
        <v>8.161599673536013E-2</v>
      </c>
    </row>
    <row r="16" spans="1:50" ht="15.75" hidden="1" outlineLevel="1">
      <c r="A16" s="881" t="s">
        <v>215</v>
      </c>
      <c r="B16" s="882" t="s">
        <v>214</v>
      </c>
      <c r="C16" s="1069"/>
      <c r="D16" s="906" t="s">
        <v>165</v>
      </c>
      <c r="E16" s="923">
        <v>160</v>
      </c>
      <c r="F16" s="885">
        <v>972</v>
      </c>
      <c r="G16" s="886">
        <f>E16*F16</f>
        <v>155520</v>
      </c>
      <c r="H16" s="950">
        <v>160</v>
      </c>
      <c r="I16" s="885">
        <v>972</v>
      </c>
      <c r="J16" s="889">
        <f>H16*I16</f>
        <v>155520</v>
      </c>
      <c r="K16" s="884">
        <v>160</v>
      </c>
      <c r="L16" s="885">
        <v>486</v>
      </c>
      <c r="M16" s="886">
        <f>K16*L16</f>
        <v>77760</v>
      </c>
      <c r="N16" s="950">
        <v>160</v>
      </c>
      <c r="O16" s="885">
        <v>972</v>
      </c>
      <c r="P16" s="889">
        <f>N16*O16</f>
        <v>155520</v>
      </c>
      <c r="Q16" s="884"/>
      <c r="R16" s="885"/>
      <c r="S16" s="886"/>
      <c r="T16" s="1093">
        <v>160</v>
      </c>
      <c r="U16" s="1070">
        <v>486</v>
      </c>
      <c r="V16" s="1071">
        <f>T16*U16</f>
        <v>77760</v>
      </c>
      <c r="W16" s="1089">
        <v>160</v>
      </c>
      <c r="X16" s="871">
        <v>486</v>
      </c>
      <c r="Y16" s="874">
        <f>W16*X16</f>
        <v>77760</v>
      </c>
      <c r="Z16" s="923">
        <v>160</v>
      </c>
      <c r="AA16" s="1072">
        <v>948</v>
      </c>
      <c r="AB16" s="886">
        <f>Z16*AA16</f>
        <v>151680</v>
      </c>
      <c r="AC16" s="886">
        <v>160</v>
      </c>
      <c r="AD16" s="886">
        <v>948</v>
      </c>
      <c r="AE16" s="886">
        <f>AC16*AD16</f>
        <v>151680</v>
      </c>
      <c r="AF16" s="950"/>
      <c r="AG16" s="885"/>
      <c r="AH16" s="886"/>
      <c r="AI16" s="1059">
        <v>160</v>
      </c>
      <c r="AJ16" s="1060">
        <v>486</v>
      </c>
      <c r="AK16" s="1061">
        <f t="shared" si="9"/>
        <v>77760</v>
      </c>
      <c r="AL16" s="1075">
        <v>160</v>
      </c>
      <c r="AM16" s="1074">
        <v>972</v>
      </c>
      <c r="AN16" s="1061">
        <v>155520</v>
      </c>
      <c r="AO16" s="1075">
        <v>160</v>
      </c>
      <c r="AP16" s="1074">
        <v>972</v>
      </c>
      <c r="AQ16" s="1062">
        <v>155520</v>
      </c>
      <c r="AR16" s="1102">
        <v>160</v>
      </c>
      <c r="AS16" s="1103">
        <v>972</v>
      </c>
      <c r="AT16" s="1104">
        <f t="shared" si="8"/>
        <v>155520</v>
      </c>
      <c r="AU16" s="1067">
        <f t="shared" si="1"/>
        <v>9672</v>
      </c>
      <c r="AV16" s="879">
        <f t="shared" si="1"/>
        <v>1547520</v>
      </c>
      <c r="AW16" s="1068">
        <f t="shared" si="0"/>
        <v>0.16242590955234634</v>
      </c>
    </row>
    <row r="17" spans="1:104" ht="15.75" hidden="1" outlineLevel="1">
      <c r="A17" s="881" t="s">
        <v>213</v>
      </c>
      <c r="B17" s="882" t="s">
        <v>212</v>
      </c>
      <c r="C17" s="1069"/>
      <c r="D17" s="906" t="s">
        <v>165</v>
      </c>
      <c r="E17" s="923">
        <v>0</v>
      </c>
      <c r="F17" s="885"/>
      <c r="G17" s="886"/>
      <c r="H17" s="950"/>
      <c r="I17" s="885"/>
      <c r="J17" s="889"/>
      <c r="K17" s="884"/>
      <c r="L17" s="885"/>
      <c r="M17" s="886"/>
      <c r="N17" s="950"/>
      <c r="O17" s="885"/>
      <c r="P17" s="889"/>
      <c r="Q17" s="884"/>
      <c r="R17" s="885"/>
      <c r="S17" s="886"/>
      <c r="T17" s="1093">
        <v>240</v>
      </c>
      <c r="U17" s="1070">
        <v>714</v>
      </c>
      <c r="V17" s="1071">
        <f>T17*U17</f>
        <v>171360</v>
      </c>
      <c r="W17" s="950">
        <v>240</v>
      </c>
      <c r="X17" s="885">
        <v>584</v>
      </c>
      <c r="Y17" s="889">
        <f>W17*X17</f>
        <v>140160</v>
      </c>
      <c r="Z17" s="1099"/>
      <c r="AA17" s="1100"/>
      <c r="AB17" s="1101"/>
      <c r="AC17" s="884"/>
      <c r="AD17" s="885"/>
      <c r="AE17" s="886">
        <f t="shared" si="7"/>
        <v>0</v>
      </c>
      <c r="AF17" s="950"/>
      <c r="AG17" s="885"/>
      <c r="AH17" s="886"/>
      <c r="AI17" s="1059">
        <v>240</v>
      </c>
      <c r="AJ17" s="1060">
        <v>583.20000000000005</v>
      </c>
      <c r="AK17" s="1061">
        <f t="shared" si="9"/>
        <v>139968</v>
      </c>
      <c r="AL17" s="1075"/>
      <c r="AM17" s="1074"/>
      <c r="AN17" s="1061"/>
      <c r="AO17" s="1075"/>
      <c r="AP17" s="1074"/>
      <c r="AQ17" s="1062"/>
      <c r="AR17" s="1102"/>
      <c r="AS17" s="1103"/>
      <c r="AT17" s="1104">
        <f t="shared" si="8"/>
        <v>0</v>
      </c>
      <c r="AU17" s="1067">
        <f t="shared" si="1"/>
        <v>1881.2</v>
      </c>
      <c r="AV17" s="879">
        <f t="shared" si="1"/>
        <v>451488</v>
      </c>
      <c r="AW17" s="1068">
        <f t="shared" si="0"/>
        <v>4.7387658351407243E-2</v>
      </c>
    </row>
    <row r="18" spans="1:104" ht="15.75" hidden="1" outlineLevel="1">
      <c r="A18" s="881" t="s">
        <v>211</v>
      </c>
      <c r="B18" s="909" t="s">
        <v>854</v>
      </c>
      <c r="C18" s="1106"/>
      <c r="D18" s="906" t="s">
        <v>161</v>
      </c>
      <c r="E18" s="1107">
        <v>13800</v>
      </c>
      <c r="F18" s="885">
        <v>2</v>
      </c>
      <c r="G18" s="886">
        <f>E18*F18</f>
        <v>27600</v>
      </c>
      <c r="H18" s="910">
        <v>13800</v>
      </c>
      <c r="I18" s="1108">
        <v>2</v>
      </c>
      <c r="J18" s="889">
        <f>H18*I18</f>
        <v>27600</v>
      </c>
      <c r="K18" s="910">
        <v>13800</v>
      </c>
      <c r="L18" s="1108">
        <v>2</v>
      </c>
      <c r="M18" s="886">
        <f t="shared" si="3"/>
        <v>27600</v>
      </c>
      <c r="N18" s="910">
        <v>13800</v>
      </c>
      <c r="O18" s="885">
        <v>2</v>
      </c>
      <c r="P18" s="889">
        <f t="shared" si="4"/>
        <v>27600</v>
      </c>
      <c r="Q18" s="910">
        <v>13800</v>
      </c>
      <c r="R18" s="1108">
        <v>2</v>
      </c>
      <c r="S18" s="886">
        <f t="shared" si="5"/>
        <v>27600</v>
      </c>
      <c r="T18" s="911">
        <v>13800</v>
      </c>
      <c r="U18" s="1070">
        <v>2</v>
      </c>
      <c r="V18" s="1071">
        <f>T18*U18</f>
        <v>27600</v>
      </c>
      <c r="W18" s="910">
        <v>13800</v>
      </c>
      <c r="X18" s="1108">
        <v>2</v>
      </c>
      <c r="Y18" s="889">
        <f>W18*X18</f>
        <v>27600</v>
      </c>
      <c r="Z18" s="910">
        <v>13800</v>
      </c>
      <c r="AA18" s="1072">
        <v>4</v>
      </c>
      <c r="AB18" s="886">
        <f>Z18*AA18</f>
        <v>55200</v>
      </c>
      <c r="AC18" s="910">
        <v>13800</v>
      </c>
      <c r="AD18" s="885">
        <v>4</v>
      </c>
      <c r="AE18" s="886">
        <f t="shared" si="7"/>
        <v>55200</v>
      </c>
      <c r="AF18" s="910">
        <v>13800</v>
      </c>
      <c r="AG18" s="1108">
        <v>4</v>
      </c>
      <c r="AH18" s="886">
        <f t="shared" si="6"/>
        <v>55200</v>
      </c>
      <c r="AI18" s="1109">
        <v>13800</v>
      </c>
      <c r="AJ18" s="1060">
        <v>2</v>
      </c>
      <c r="AK18" s="1061">
        <f t="shared" si="9"/>
        <v>27600</v>
      </c>
      <c r="AL18" s="1110">
        <v>13800</v>
      </c>
      <c r="AM18" s="1111">
        <v>2</v>
      </c>
      <c r="AN18" s="1061">
        <v>27600</v>
      </c>
      <c r="AO18" s="1110">
        <v>13800</v>
      </c>
      <c r="AP18" s="1074">
        <v>2</v>
      </c>
      <c r="AQ18" s="1062">
        <v>27600</v>
      </c>
      <c r="AR18" s="1112">
        <v>13800</v>
      </c>
      <c r="AS18" s="1113">
        <v>2</v>
      </c>
      <c r="AT18" s="1104">
        <f t="shared" si="8"/>
        <v>27600</v>
      </c>
      <c r="AU18" s="1067">
        <f t="shared" si="1"/>
        <v>34</v>
      </c>
      <c r="AV18" s="879">
        <f t="shared" si="1"/>
        <v>469200</v>
      </c>
      <c r="AW18" s="1068">
        <f t="shared" si="0"/>
        <v>4.9246689388157114E-2</v>
      </c>
    </row>
    <row r="19" spans="1:104" ht="30.75" hidden="1" outlineLevel="1" thickBot="1">
      <c r="A19" s="912" t="s">
        <v>209</v>
      </c>
      <c r="B19" s="913" t="s">
        <v>208</v>
      </c>
      <c r="C19" s="1114"/>
      <c r="D19" s="914" t="s">
        <v>161</v>
      </c>
      <c r="E19" s="991">
        <v>28000</v>
      </c>
      <c r="F19" s="895">
        <v>1</v>
      </c>
      <c r="G19" s="896">
        <f t="shared" si="2"/>
        <v>28000</v>
      </c>
      <c r="H19" s="894">
        <v>28000</v>
      </c>
      <c r="I19" s="895">
        <v>1</v>
      </c>
      <c r="J19" s="898">
        <f>H19*I19</f>
        <v>28000</v>
      </c>
      <c r="K19" s="915">
        <v>28000</v>
      </c>
      <c r="L19" s="1115">
        <v>1</v>
      </c>
      <c r="M19" s="1116">
        <f t="shared" si="3"/>
        <v>28000</v>
      </c>
      <c r="N19" s="894">
        <v>24000</v>
      </c>
      <c r="O19" s="895">
        <v>1</v>
      </c>
      <c r="P19" s="898">
        <f t="shared" si="4"/>
        <v>24000</v>
      </c>
      <c r="Q19" s="897">
        <v>28000</v>
      </c>
      <c r="R19" s="895">
        <v>1</v>
      </c>
      <c r="S19" s="896">
        <f t="shared" si="5"/>
        <v>28000</v>
      </c>
      <c r="T19" s="915">
        <v>28000</v>
      </c>
      <c r="U19" s="1070">
        <v>1</v>
      </c>
      <c r="V19" s="1071">
        <f>T19*U19</f>
        <v>28000</v>
      </c>
      <c r="W19" s="915">
        <v>28000</v>
      </c>
      <c r="X19" s="895">
        <v>1</v>
      </c>
      <c r="Y19" s="898">
        <f>W19*X19</f>
        <v>28000</v>
      </c>
      <c r="Z19" s="1117">
        <v>28000</v>
      </c>
      <c r="AA19" s="1118">
        <v>1</v>
      </c>
      <c r="AB19" s="1116">
        <f>Z19*AA19</f>
        <v>28000</v>
      </c>
      <c r="AC19" s="915">
        <v>28000</v>
      </c>
      <c r="AD19" s="895">
        <v>1</v>
      </c>
      <c r="AE19" s="886">
        <f t="shared" si="7"/>
        <v>28000</v>
      </c>
      <c r="AF19" s="915">
        <v>28000</v>
      </c>
      <c r="AG19" s="895">
        <v>1</v>
      </c>
      <c r="AH19" s="896">
        <f t="shared" si="6"/>
        <v>28000</v>
      </c>
      <c r="AI19" s="1079">
        <v>28000</v>
      </c>
      <c r="AJ19" s="1080">
        <v>1</v>
      </c>
      <c r="AK19" s="1061">
        <f t="shared" si="9"/>
        <v>28000</v>
      </c>
      <c r="AL19" s="1119">
        <v>28000</v>
      </c>
      <c r="AM19" s="1120">
        <v>1</v>
      </c>
      <c r="AN19" s="1081">
        <v>28000</v>
      </c>
      <c r="AO19" s="1119">
        <v>28000</v>
      </c>
      <c r="AP19" s="1120">
        <v>1</v>
      </c>
      <c r="AQ19" s="1082">
        <v>28000</v>
      </c>
      <c r="AR19" s="1121">
        <v>28000</v>
      </c>
      <c r="AS19" s="1122">
        <v>1</v>
      </c>
      <c r="AT19" s="1123">
        <f>AR19*AS19</f>
        <v>28000</v>
      </c>
      <c r="AU19" s="1083">
        <f t="shared" si="1"/>
        <v>14</v>
      </c>
      <c r="AV19" s="899">
        <f t="shared" si="1"/>
        <v>388000</v>
      </c>
      <c r="AW19" s="1084">
        <f t="shared" si="0"/>
        <v>4.0724031292849447E-2</v>
      </c>
    </row>
    <row r="20" spans="1:104" ht="32.25" collapsed="1" thickBot="1">
      <c r="A20" s="856" t="s">
        <v>19</v>
      </c>
      <c r="B20" s="857" t="s">
        <v>207</v>
      </c>
      <c r="C20" s="1044"/>
      <c r="D20" s="851"/>
      <c r="E20" s="859"/>
      <c r="F20" s="842"/>
      <c r="G20" s="860">
        <f>SUM(G21:G29)</f>
        <v>88824</v>
      </c>
      <c r="H20" s="859"/>
      <c r="I20" s="842"/>
      <c r="J20" s="860">
        <f>SUM(J21:J29)</f>
        <v>111168</v>
      </c>
      <c r="K20" s="859"/>
      <c r="L20" s="842"/>
      <c r="M20" s="860">
        <f>SUM(M21:M29)</f>
        <v>72316</v>
      </c>
      <c r="N20" s="1046"/>
      <c r="O20" s="842"/>
      <c r="P20" s="864">
        <f>SUM(P21:P29)</f>
        <v>73432</v>
      </c>
      <c r="Q20" s="859"/>
      <c r="R20" s="842"/>
      <c r="S20" s="860">
        <f>SUM(S21:S29)</f>
        <v>96880</v>
      </c>
      <c r="T20" s="1047"/>
      <c r="U20" s="1048"/>
      <c r="V20" s="1049">
        <f>SUM(V21:V29)</f>
        <v>97024</v>
      </c>
      <c r="W20" s="1046"/>
      <c r="X20" s="842"/>
      <c r="Y20" s="864">
        <f>SUM(Y21:Y29)</f>
        <v>90412</v>
      </c>
      <c r="Z20" s="1124"/>
      <c r="AA20" s="1030"/>
      <c r="AB20" s="1125">
        <f>SUM(AB21:AB29)</f>
        <v>70728</v>
      </c>
      <c r="AC20" s="859"/>
      <c r="AD20" s="842"/>
      <c r="AE20" s="860">
        <f>SUM(AE21:AE29)</f>
        <v>104624</v>
      </c>
      <c r="AF20" s="1046"/>
      <c r="AG20" s="842"/>
      <c r="AH20" s="860">
        <f>SUM(AH21:AH29)</f>
        <v>118128</v>
      </c>
      <c r="AI20" s="1032"/>
      <c r="AJ20" s="1033"/>
      <c r="AK20" s="1052">
        <f>SUM(AK21:AK29)</f>
        <v>72184</v>
      </c>
      <c r="AL20" s="1085"/>
      <c r="AM20" s="1086"/>
      <c r="AN20" s="1087">
        <f>SUM(AN21:AN29)</f>
        <v>93048</v>
      </c>
      <c r="AO20" s="1085"/>
      <c r="AP20" s="1086"/>
      <c r="AQ20" s="1087">
        <f>SUM(AQ21:AQ29)</f>
        <v>77248</v>
      </c>
      <c r="AR20" s="1126"/>
      <c r="AS20" s="1086"/>
      <c r="AT20" s="1088">
        <f>SUM(AT21:AT29)</f>
        <v>102384</v>
      </c>
      <c r="AU20" s="847">
        <f t="shared" si="1"/>
        <v>0</v>
      </c>
      <c r="AV20" s="848">
        <f>SUM(G20,J20,M20,P20,S20,V20,Y20,AB20,AE20,AH20,AK20,AN20,AQ20,AT20)</f>
        <v>1268400</v>
      </c>
      <c r="AW20" s="866">
        <f t="shared" si="0"/>
        <v>0.13312979714394391</v>
      </c>
    </row>
    <row r="21" spans="1:104" ht="15.75" hidden="1" outlineLevel="1">
      <c r="A21" s="867" t="s">
        <v>206</v>
      </c>
      <c r="B21" s="868" t="s">
        <v>205</v>
      </c>
      <c r="C21" s="1057"/>
      <c r="D21" s="902" t="s">
        <v>161</v>
      </c>
      <c r="E21" s="870">
        <v>5800</v>
      </c>
      <c r="F21" s="871">
        <v>4</v>
      </c>
      <c r="G21" s="872">
        <f t="shared" si="2"/>
        <v>23200</v>
      </c>
      <c r="H21" s="870">
        <v>5800</v>
      </c>
      <c r="I21" s="918">
        <v>4</v>
      </c>
      <c r="J21" s="874">
        <f t="shared" ref="J21:J27" si="10">H21*I21</f>
        <v>23200</v>
      </c>
      <c r="K21" s="870">
        <v>5800</v>
      </c>
      <c r="L21" s="1127">
        <v>4</v>
      </c>
      <c r="M21" s="1092">
        <f t="shared" si="3"/>
        <v>23200</v>
      </c>
      <c r="N21" s="870">
        <v>5800</v>
      </c>
      <c r="O21" s="871">
        <v>4</v>
      </c>
      <c r="P21" s="874">
        <f t="shared" si="4"/>
        <v>23200</v>
      </c>
      <c r="Q21" s="870">
        <v>5800</v>
      </c>
      <c r="R21" s="871">
        <v>4</v>
      </c>
      <c r="S21" s="872">
        <f t="shared" si="5"/>
        <v>23200</v>
      </c>
      <c r="T21" s="870">
        <v>5800</v>
      </c>
      <c r="U21" s="1070">
        <v>4</v>
      </c>
      <c r="V21" s="1071">
        <f t="shared" ref="V21:V27" si="11">T21*U21</f>
        <v>23200</v>
      </c>
      <c r="W21" s="870">
        <v>5800</v>
      </c>
      <c r="X21" s="918">
        <v>6</v>
      </c>
      <c r="Y21" s="874">
        <f t="shared" ref="Y21:Y27" si="12">W21*X21</f>
        <v>34800</v>
      </c>
      <c r="Z21" s="870">
        <v>5800</v>
      </c>
      <c r="AA21" s="1128">
        <v>4</v>
      </c>
      <c r="AB21" s="1092">
        <f t="shared" ref="AB21:AB27" si="13">Z21*AA21</f>
        <v>23200</v>
      </c>
      <c r="AC21" s="870">
        <v>5800</v>
      </c>
      <c r="AD21" s="1129">
        <v>4</v>
      </c>
      <c r="AE21" s="1092">
        <f t="shared" ref="AE21:AE28" si="14">AC21*AD21</f>
        <v>23200</v>
      </c>
      <c r="AF21" s="870">
        <v>5800</v>
      </c>
      <c r="AG21" s="871">
        <v>3</v>
      </c>
      <c r="AH21" s="872">
        <f t="shared" si="6"/>
        <v>17400</v>
      </c>
      <c r="AI21" s="1059">
        <v>5800</v>
      </c>
      <c r="AJ21" s="1060">
        <v>4</v>
      </c>
      <c r="AK21" s="1061">
        <v>23200</v>
      </c>
      <c r="AL21" s="1059">
        <v>5800</v>
      </c>
      <c r="AM21" s="1130">
        <v>4</v>
      </c>
      <c r="AN21" s="1061">
        <v>23200</v>
      </c>
      <c r="AO21" s="1060">
        <v>5800</v>
      </c>
      <c r="AP21" s="1060">
        <v>4</v>
      </c>
      <c r="AQ21" s="1062">
        <v>23200</v>
      </c>
      <c r="AR21" s="1059">
        <v>5800</v>
      </c>
      <c r="AS21" s="1060">
        <v>4</v>
      </c>
      <c r="AT21" s="1062">
        <v>23200</v>
      </c>
      <c r="AU21" s="1063">
        <f t="shared" si="1"/>
        <v>57</v>
      </c>
      <c r="AV21" s="875">
        <f t="shared" si="1"/>
        <v>330600</v>
      </c>
      <c r="AW21" s="1098">
        <f t="shared" si="0"/>
        <v>3.4699393673752646E-2</v>
      </c>
    </row>
    <row r="22" spans="1:104" ht="30.75" hidden="1" outlineLevel="1">
      <c r="A22" s="881" t="s">
        <v>204</v>
      </c>
      <c r="B22" s="882" t="s">
        <v>855</v>
      </c>
      <c r="C22" s="1069"/>
      <c r="D22" s="906" t="s">
        <v>196</v>
      </c>
      <c r="E22" s="923">
        <v>62</v>
      </c>
      <c r="F22" s="885">
        <v>220</v>
      </c>
      <c r="G22" s="886">
        <f t="shared" si="2"/>
        <v>13640</v>
      </c>
      <c r="H22" s="950">
        <v>62</v>
      </c>
      <c r="I22" s="885">
        <v>280</v>
      </c>
      <c r="J22" s="889">
        <f t="shared" si="10"/>
        <v>17360</v>
      </c>
      <c r="K22" s="884">
        <v>62</v>
      </c>
      <c r="L22" s="885">
        <v>186</v>
      </c>
      <c r="M22" s="886">
        <f t="shared" si="3"/>
        <v>11532</v>
      </c>
      <c r="N22" s="950">
        <v>62</v>
      </c>
      <c r="O22" s="885">
        <v>120</v>
      </c>
      <c r="P22" s="889">
        <f t="shared" si="4"/>
        <v>7440</v>
      </c>
      <c r="Q22" s="884">
        <v>62</v>
      </c>
      <c r="R22" s="885">
        <v>480</v>
      </c>
      <c r="S22" s="886">
        <f t="shared" si="5"/>
        <v>29760</v>
      </c>
      <c r="T22" s="1093">
        <v>62</v>
      </c>
      <c r="U22" s="1070">
        <v>120</v>
      </c>
      <c r="V22" s="1071">
        <f t="shared" si="11"/>
        <v>7440</v>
      </c>
      <c r="W22" s="950">
        <v>62</v>
      </c>
      <c r="X22" s="885">
        <v>160</v>
      </c>
      <c r="Y22" s="889">
        <f t="shared" si="12"/>
        <v>9920</v>
      </c>
      <c r="Z22" s="897">
        <v>62</v>
      </c>
      <c r="AA22" s="1078">
        <v>180</v>
      </c>
      <c r="AB22" s="896">
        <f t="shared" si="13"/>
        <v>11160</v>
      </c>
      <c r="AC22" s="884">
        <v>62</v>
      </c>
      <c r="AD22" s="919">
        <v>280</v>
      </c>
      <c r="AE22" s="886">
        <f t="shared" si="14"/>
        <v>17360</v>
      </c>
      <c r="AF22" s="950">
        <v>62</v>
      </c>
      <c r="AG22" s="885">
        <v>540</v>
      </c>
      <c r="AH22" s="886">
        <f t="shared" si="6"/>
        <v>33480</v>
      </c>
      <c r="AI22" s="1059">
        <v>62</v>
      </c>
      <c r="AJ22" s="1060">
        <v>220</v>
      </c>
      <c r="AK22" s="1061">
        <v>13640</v>
      </c>
      <c r="AL22" s="1073">
        <v>62</v>
      </c>
      <c r="AM22" s="1074">
        <v>220</v>
      </c>
      <c r="AN22" s="1061">
        <v>13640</v>
      </c>
      <c r="AO22" s="1075">
        <v>62</v>
      </c>
      <c r="AP22" s="1074">
        <v>120</v>
      </c>
      <c r="AQ22" s="1062">
        <v>7440</v>
      </c>
      <c r="AR22" s="1073">
        <v>62</v>
      </c>
      <c r="AS22" s="1074">
        <v>480</v>
      </c>
      <c r="AT22" s="1062">
        <v>29760</v>
      </c>
      <c r="AU22" s="1067">
        <f t="shared" si="1"/>
        <v>3606</v>
      </c>
      <c r="AV22" s="879">
        <f t="shared" si="1"/>
        <v>223572</v>
      </c>
      <c r="AW22" s="1068">
        <f t="shared" si="0"/>
        <v>2.3465858567538498E-2</v>
      </c>
    </row>
    <row r="23" spans="1:104" ht="15.75" hidden="1" outlineLevel="1">
      <c r="A23" s="881" t="s">
        <v>202</v>
      </c>
      <c r="B23" s="882" t="s">
        <v>201</v>
      </c>
      <c r="C23" s="1069"/>
      <c r="D23" s="906" t="s">
        <v>165</v>
      </c>
      <c r="E23" s="923">
        <v>32</v>
      </c>
      <c r="F23" s="885">
        <v>740</v>
      </c>
      <c r="G23" s="886">
        <f t="shared" si="2"/>
        <v>23680</v>
      </c>
      <c r="H23" s="950">
        <v>32</v>
      </c>
      <c r="I23" s="885">
        <v>820</v>
      </c>
      <c r="J23" s="889">
        <f t="shared" si="10"/>
        <v>26240</v>
      </c>
      <c r="K23" s="884">
        <v>32</v>
      </c>
      <c r="L23" s="885">
        <v>420</v>
      </c>
      <c r="M23" s="886">
        <f t="shared" si="3"/>
        <v>13440</v>
      </c>
      <c r="N23" s="950">
        <v>32</v>
      </c>
      <c r="O23" s="885">
        <v>320</v>
      </c>
      <c r="P23" s="889">
        <f t="shared" si="4"/>
        <v>10240</v>
      </c>
      <c r="Q23" s="884">
        <v>32</v>
      </c>
      <c r="R23" s="885">
        <v>560</v>
      </c>
      <c r="S23" s="886">
        <f t="shared" si="5"/>
        <v>17920</v>
      </c>
      <c r="T23" s="1093">
        <v>32</v>
      </c>
      <c r="U23" s="1070">
        <v>1288</v>
      </c>
      <c r="V23" s="1071">
        <f t="shared" si="11"/>
        <v>41216</v>
      </c>
      <c r="W23" s="950">
        <v>32</v>
      </c>
      <c r="X23" s="885">
        <v>380</v>
      </c>
      <c r="Y23" s="889">
        <f t="shared" si="12"/>
        <v>12160</v>
      </c>
      <c r="Z23" s="923">
        <v>32</v>
      </c>
      <c r="AA23" s="1072">
        <v>220</v>
      </c>
      <c r="AB23" s="886">
        <f t="shared" si="13"/>
        <v>7040</v>
      </c>
      <c r="AC23" s="884">
        <v>32</v>
      </c>
      <c r="AD23" s="919">
        <v>1200</v>
      </c>
      <c r="AE23" s="886">
        <f t="shared" si="14"/>
        <v>38400</v>
      </c>
      <c r="AF23" s="950">
        <v>32</v>
      </c>
      <c r="AG23" s="885">
        <v>560</v>
      </c>
      <c r="AH23" s="886">
        <f t="shared" si="6"/>
        <v>17920</v>
      </c>
      <c r="AI23" s="1059">
        <v>32</v>
      </c>
      <c r="AJ23" s="1060">
        <v>220</v>
      </c>
      <c r="AK23" s="1061">
        <v>7040</v>
      </c>
      <c r="AL23" s="1073">
        <v>32</v>
      </c>
      <c r="AM23" s="1074">
        <v>620</v>
      </c>
      <c r="AN23" s="1061">
        <v>19840</v>
      </c>
      <c r="AO23" s="1075">
        <v>32</v>
      </c>
      <c r="AP23" s="1074">
        <v>320</v>
      </c>
      <c r="AQ23" s="1062">
        <v>10240</v>
      </c>
      <c r="AR23" s="1073">
        <v>32</v>
      </c>
      <c r="AS23" s="1074">
        <v>660</v>
      </c>
      <c r="AT23" s="1062">
        <v>21120</v>
      </c>
      <c r="AU23" s="1067">
        <f t="shared" si="1"/>
        <v>8328</v>
      </c>
      <c r="AV23" s="879">
        <f t="shared" si="1"/>
        <v>266496</v>
      </c>
      <c r="AW23" s="1068">
        <f t="shared" si="0"/>
        <v>2.7971111967575273E-2</v>
      </c>
    </row>
    <row r="24" spans="1:104" ht="15.75" hidden="1" outlineLevel="1">
      <c r="A24" s="881" t="s">
        <v>200</v>
      </c>
      <c r="B24" s="882" t="s">
        <v>199</v>
      </c>
      <c r="C24" s="1069"/>
      <c r="D24" s="906" t="s">
        <v>165</v>
      </c>
      <c r="E24" s="923">
        <v>160</v>
      </c>
      <c r="F24" s="885">
        <v>66</v>
      </c>
      <c r="G24" s="886">
        <f t="shared" si="2"/>
        <v>10560</v>
      </c>
      <c r="H24" s="950">
        <v>160</v>
      </c>
      <c r="I24" s="885">
        <v>66</v>
      </c>
      <c r="J24" s="889">
        <f t="shared" si="10"/>
        <v>10560</v>
      </c>
      <c r="K24" s="884">
        <v>160</v>
      </c>
      <c r="L24" s="885">
        <v>66</v>
      </c>
      <c r="M24" s="886">
        <f t="shared" si="3"/>
        <v>10560</v>
      </c>
      <c r="N24" s="950">
        <v>160</v>
      </c>
      <c r="O24" s="885">
        <v>42</v>
      </c>
      <c r="P24" s="889">
        <f t="shared" si="4"/>
        <v>6720</v>
      </c>
      <c r="Q24" s="884">
        <v>160</v>
      </c>
      <c r="R24" s="885">
        <v>22</v>
      </c>
      <c r="S24" s="886">
        <f t="shared" si="5"/>
        <v>3520</v>
      </c>
      <c r="T24" s="1093">
        <v>160</v>
      </c>
      <c r="U24" s="1070">
        <v>52</v>
      </c>
      <c r="V24" s="1071">
        <f t="shared" si="11"/>
        <v>8320</v>
      </c>
      <c r="W24" s="950">
        <v>160</v>
      </c>
      <c r="X24" s="885">
        <v>88</v>
      </c>
      <c r="Y24" s="889">
        <f t="shared" si="12"/>
        <v>14080</v>
      </c>
      <c r="Z24" s="1131">
        <v>160</v>
      </c>
      <c r="AA24" s="1132">
        <v>58</v>
      </c>
      <c r="AB24" s="872">
        <f t="shared" si="13"/>
        <v>9280</v>
      </c>
      <c r="AC24" s="884">
        <v>160</v>
      </c>
      <c r="AD24" s="919">
        <v>66</v>
      </c>
      <c r="AE24" s="886">
        <f t="shared" si="14"/>
        <v>10560</v>
      </c>
      <c r="AF24" s="950">
        <v>160</v>
      </c>
      <c r="AG24" s="885">
        <v>55</v>
      </c>
      <c r="AH24" s="886">
        <f t="shared" si="6"/>
        <v>8800</v>
      </c>
      <c r="AI24" s="1059">
        <v>160</v>
      </c>
      <c r="AJ24" s="1060">
        <v>66</v>
      </c>
      <c r="AK24" s="1061">
        <v>10560</v>
      </c>
      <c r="AL24" s="1073">
        <v>160</v>
      </c>
      <c r="AM24" s="1074">
        <v>66</v>
      </c>
      <c r="AN24" s="1061">
        <v>10560</v>
      </c>
      <c r="AO24" s="1075">
        <v>160</v>
      </c>
      <c r="AP24" s="1074">
        <v>66</v>
      </c>
      <c r="AQ24" s="1062">
        <v>10560</v>
      </c>
      <c r="AR24" s="1073">
        <v>160</v>
      </c>
      <c r="AS24" s="1074">
        <v>66</v>
      </c>
      <c r="AT24" s="1062">
        <v>10560</v>
      </c>
      <c r="AU24" s="1067">
        <f t="shared" si="1"/>
        <v>845</v>
      </c>
      <c r="AV24" s="879">
        <f t="shared" si="1"/>
        <v>135200</v>
      </c>
      <c r="AW24" s="1076">
        <f t="shared" si="0"/>
        <v>1.4190435646374344E-2</v>
      </c>
    </row>
    <row r="25" spans="1:104" ht="15.75" hidden="1" outlineLevel="1">
      <c r="A25" s="881" t="s">
        <v>198</v>
      </c>
      <c r="B25" s="882" t="s">
        <v>856</v>
      </c>
      <c r="C25" s="1069"/>
      <c r="D25" s="906" t="s">
        <v>196</v>
      </c>
      <c r="E25" s="923">
        <v>42</v>
      </c>
      <c r="F25" s="885">
        <v>192</v>
      </c>
      <c r="G25" s="886">
        <f t="shared" si="2"/>
        <v>8064</v>
      </c>
      <c r="H25" s="950">
        <v>42</v>
      </c>
      <c r="I25" s="885">
        <v>384</v>
      </c>
      <c r="J25" s="889">
        <f t="shared" si="10"/>
        <v>16128</v>
      </c>
      <c r="K25" s="884">
        <v>42</v>
      </c>
      <c r="L25" s="885">
        <v>192</v>
      </c>
      <c r="M25" s="886">
        <f t="shared" si="3"/>
        <v>8064</v>
      </c>
      <c r="N25" s="950">
        <v>42</v>
      </c>
      <c r="O25" s="885">
        <v>476</v>
      </c>
      <c r="P25" s="889">
        <f t="shared" si="4"/>
        <v>19992</v>
      </c>
      <c r="Q25" s="884">
        <v>0</v>
      </c>
      <c r="R25" s="885">
        <v>0</v>
      </c>
      <c r="S25" s="886">
        <f t="shared" si="5"/>
        <v>0</v>
      </c>
      <c r="T25" s="1093">
        <v>42</v>
      </c>
      <c r="U25" s="1070">
        <v>192</v>
      </c>
      <c r="V25" s="1071">
        <f t="shared" si="11"/>
        <v>8064</v>
      </c>
      <c r="W25" s="950">
        <v>42</v>
      </c>
      <c r="X25" s="885">
        <v>286</v>
      </c>
      <c r="Y25" s="889">
        <f t="shared" si="12"/>
        <v>12012</v>
      </c>
      <c r="Z25" s="884">
        <v>42</v>
      </c>
      <c r="AA25" s="1072">
        <v>192</v>
      </c>
      <c r="AB25" s="886">
        <f t="shared" si="13"/>
        <v>8064</v>
      </c>
      <c r="AC25" s="884">
        <v>42</v>
      </c>
      <c r="AD25" s="919">
        <v>192</v>
      </c>
      <c r="AE25" s="886">
        <f t="shared" si="14"/>
        <v>8064</v>
      </c>
      <c r="AF25" s="950">
        <v>42</v>
      </c>
      <c r="AG25" s="885">
        <v>384</v>
      </c>
      <c r="AH25" s="886">
        <f t="shared" si="6"/>
        <v>16128</v>
      </c>
      <c r="AI25" s="1059">
        <v>42</v>
      </c>
      <c r="AJ25" s="1060">
        <v>192</v>
      </c>
      <c r="AK25" s="1061">
        <v>8064</v>
      </c>
      <c r="AL25" s="1073">
        <v>42</v>
      </c>
      <c r="AM25" s="1074">
        <v>384</v>
      </c>
      <c r="AN25" s="1061">
        <v>16128</v>
      </c>
      <c r="AO25" s="1075">
        <v>42</v>
      </c>
      <c r="AP25" s="1074">
        <v>384</v>
      </c>
      <c r="AQ25" s="1062">
        <v>16128</v>
      </c>
      <c r="AR25" s="1073">
        <v>42</v>
      </c>
      <c r="AS25" s="1074">
        <v>192</v>
      </c>
      <c r="AT25" s="1062">
        <v>8064</v>
      </c>
      <c r="AU25" s="1067">
        <f t="shared" si="1"/>
        <v>3642</v>
      </c>
      <c r="AV25" s="879">
        <f t="shared" si="1"/>
        <v>152964</v>
      </c>
      <c r="AW25" s="1076">
        <f t="shared" si="0"/>
        <v>1.6054924542988205E-2</v>
      </c>
    </row>
    <row r="26" spans="1:104" ht="15.75" hidden="1" outlineLevel="1">
      <c r="A26" s="867" t="s">
        <v>195</v>
      </c>
      <c r="B26" s="882" t="s">
        <v>194</v>
      </c>
      <c r="C26" s="1069"/>
      <c r="D26" s="906" t="s">
        <v>161</v>
      </c>
      <c r="E26" s="923">
        <v>8000</v>
      </c>
      <c r="F26" s="885">
        <v>0</v>
      </c>
      <c r="G26" s="886">
        <f t="shared" si="2"/>
        <v>0</v>
      </c>
      <c r="H26" s="950">
        <v>8000</v>
      </c>
      <c r="I26" s="919">
        <v>1</v>
      </c>
      <c r="J26" s="889">
        <f t="shared" si="10"/>
        <v>8000</v>
      </c>
      <c r="K26" s="884">
        <v>8000</v>
      </c>
      <c r="L26" s="919">
        <v>0</v>
      </c>
      <c r="M26" s="886">
        <f t="shared" si="3"/>
        <v>0</v>
      </c>
      <c r="N26" s="950">
        <v>8000</v>
      </c>
      <c r="O26" s="919">
        <v>0</v>
      </c>
      <c r="P26" s="889">
        <f t="shared" si="4"/>
        <v>0</v>
      </c>
      <c r="Q26" s="884">
        <v>8000</v>
      </c>
      <c r="R26" s="885">
        <v>2</v>
      </c>
      <c r="S26" s="886">
        <f>Q26*R26</f>
        <v>16000</v>
      </c>
      <c r="T26" s="1133">
        <v>8000</v>
      </c>
      <c r="U26" s="1070">
        <v>0</v>
      </c>
      <c r="V26" s="1071">
        <f t="shared" si="11"/>
        <v>0</v>
      </c>
      <c r="W26" s="950">
        <v>8000</v>
      </c>
      <c r="X26" s="919">
        <v>0</v>
      </c>
      <c r="Y26" s="889">
        <f t="shared" si="12"/>
        <v>0</v>
      </c>
      <c r="Z26" s="1134">
        <v>8000</v>
      </c>
      <c r="AA26" s="1135">
        <v>0</v>
      </c>
      <c r="AB26" s="1136">
        <f t="shared" si="13"/>
        <v>0</v>
      </c>
      <c r="AC26" s="884">
        <v>8000</v>
      </c>
      <c r="AD26" s="919">
        <v>0</v>
      </c>
      <c r="AE26" s="886">
        <f t="shared" si="14"/>
        <v>0</v>
      </c>
      <c r="AF26" s="950">
        <v>8000</v>
      </c>
      <c r="AG26" s="885">
        <v>2</v>
      </c>
      <c r="AH26" s="886">
        <f>AF26*AG26</f>
        <v>16000</v>
      </c>
      <c r="AI26" s="1059">
        <v>8000</v>
      </c>
      <c r="AJ26" s="1060">
        <v>0</v>
      </c>
      <c r="AK26" s="1061" t="s">
        <v>867</v>
      </c>
      <c r="AL26" s="1073">
        <v>8000</v>
      </c>
      <c r="AM26" s="1137">
        <v>0</v>
      </c>
      <c r="AN26" s="1138" t="s">
        <v>867</v>
      </c>
      <c r="AO26" s="1075">
        <v>8000</v>
      </c>
      <c r="AP26" s="1137">
        <v>0</v>
      </c>
      <c r="AQ26" s="1097" t="s">
        <v>867</v>
      </c>
      <c r="AR26" s="1073">
        <v>8000</v>
      </c>
      <c r="AS26" s="1074">
        <v>0</v>
      </c>
      <c r="AT26" s="1062" t="s">
        <v>867</v>
      </c>
      <c r="AU26" s="1067">
        <f t="shared" si="1"/>
        <v>5</v>
      </c>
      <c r="AV26" s="879">
        <f t="shared" si="1"/>
        <v>40000</v>
      </c>
      <c r="AW26" s="1076">
        <f t="shared" si="0"/>
        <v>4.1983537415308707E-3</v>
      </c>
    </row>
    <row r="27" spans="1:104" ht="15.75" hidden="1" outlineLevel="1">
      <c r="A27" s="921" t="s">
        <v>193</v>
      </c>
      <c r="B27" s="922" t="s">
        <v>857</v>
      </c>
      <c r="C27" s="1077"/>
      <c r="D27" s="914" t="s">
        <v>161</v>
      </c>
      <c r="E27" s="923">
        <v>1000</v>
      </c>
      <c r="F27" s="885">
        <v>2</v>
      </c>
      <c r="G27" s="886">
        <f t="shared" si="2"/>
        <v>2000</v>
      </c>
      <c r="H27" s="923">
        <v>1000</v>
      </c>
      <c r="I27" s="924">
        <v>2</v>
      </c>
      <c r="J27" s="898">
        <f t="shared" si="10"/>
        <v>2000</v>
      </c>
      <c r="K27" s="923">
        <v>1000</v>
      </c>
      <c r="L27" s="924">
        <v>2</v>
      </c>
      <c r="M27" s="896">
        <f t="shared" si="3"/>
        <v>2000</v>
      </c>
      <c r="N27" s="923">
        <v>1000</v>
      </c>
      <c r="O27" s="924">
        <v>2</v>
      </c>
      <c r="P27" s="898">
        <f t="shared" si="4"/>
        <v>2000</v>
      </c>
      <c r="Q27" s="923">
        <v>1000</v>
      </c>
      <c r="R27" s="924">
        <v>2</v>
      </c>
      <c r="S27" s="896">
        <f>Q27*R27</f>
        <v>2000</v>
      </c>
      <c r="T27" s="923">
        <v>1000</v>
      </c>
      <c r="U27" s="1070">
        <v>2</v>
      </c>
      <c r="V27" s="1071">
        <f t="shared" si="11"/>
        <v>2000</v>
      </c>
      <c r="W27" s="923">
        <v>1000</v>
      </c>
      <c r="X27" s="924">
        <v>2</v>
      </c>
      <c r="Y27" s="898">
        <f t="shared" si="12"/>
        <v>2000</v>
      </c>
      <c r="Z27" s="923">
        <v>1000</v>
      </c>
      <c r="AA27" s="1135">
        <v>2</v>
      </c>
      <c r="AB27" s="1136">
        <f t="shared" si="13"/>
        <v>2000</v>
      </c>
      <c r="AC27" s="923">
        <v>1000</v>
      </c>
      <c r="AD27" s="924">
        <v>2</v>
      </c>
      <c r="AE27" s="886">
        <f t="shared" si="14"/>
        <v>2000</v>
      </c>
      <c r="AF27" s="923">
        <v>1000</v>
      </c>
      <c r="AG27" s="924">
        <v>2</v>
      </c>
      <c r="AH27" s="896">
        <f>AF27*AG27</f>
        <v>2000</v>
      </c>
      <c r="AI27" s="1059">
        <v>1000</v>
      </c>
      <c r="AJ27" s="1060">
        <v>2</v>
      </c>
      <c r="AK27" s="1061">
        <v>2000</v>
      </c>
      <c r="AL27" s="1059">
        <v>1000</v>
      </c>
      <c r="AM27" s="1119">
        <v>2</v>
      </c>
      <c r="AN27" s="1139">
        <v>2000</v>
      </c>
      <c r="AO27" s="1060">
        <v>1000</v>
      </c>
      <c r="AP27" s="1119">
        <v>2</v>
      </c>
      <c r="AQ27" s="1140">
        <v>2000</v>
      </c>
      <c r="AR27" s="1059">
        <v>1000</v>
      </c>
      <c r="AS27" s="1119">
        <v>2</v>
      </c>
      <c r="AT27" s="1140">
        <v>2000</v>
      </c>
      <c r="AU27" s="1067">
        <f t="shared" si="1"/>
        <v>28</v>
      </c>
      <c r="AV27" s="879">
        <f t="shared" si="1"/>
        <v>28000</v>
      </c>
      <c r="AW27" s="1076">
        <f t="shared" si="0"/>
        <v>2.9388476190716096E-3</v>
      </c>
    </row>
    <row r="28" spans="1:104" s="937" customFormat="1" ht="15.75" hidden="1" outlineLevel="1">
      <c r="A28" s="927" t="s">
        <v>191</v>
      </c>
      <c r="B28" s="882" t="s">
        <v>858</v>
      </c>
      <c r="C28" s="1069"/>
      <c r="D28" s="928" t="s">
        <v>161</v>
      </c>
      <c r="E28" s="929"/>
      <c r="F28" s="930"/>
      <c r="G28" s="931"/>
      <c r="H28" s="1141"/>
      <c r="I28" s="930"/>
      <c r="J28" s="935"/>
      <c r="K28" s="929"/>
      <c r="L28" s="930"/>
      <c r="M28" s="931"/>
      <c r="N28" s="1141"/>
      <c r="O28" s="930"/>
      <c r="P28" s="935"/>
      <c r="Q28" s="929"/>
      <c r="R28" s="930"/>
      <c r="S28" s="931"/>
      <c r="T28" s="1133"/>
      <c r="U28" s="1070"/>
      <c r="V28" s="1071"/>
      <c r="W28" s="1141"/>
      <c r="X28" s="930"/>
      <c r="Y28" s="935"/>
      <c r="Z28" s="1142"/>
      <c r="AA28" s="1100"/>
      <c r="AB28" s="1101"/>
      <c r="AC28" s="929"/>
      <c r="AD28" s="930"/>
      <c r="AE28" s="872">
        <f t="shared" si="14"/>
        <v>0</v>
      </c>
      <c r="AF28" s="1141"/>
      <c r="AG28" s="930"/>
      <c r="AH28" s="931"/>
      <c r="AI28" s="1143"/>
      <c r="AJ28" s="1144"/>
      <c r="AK28" s="1145"/>
      <c r="AL28" s="1143"/>
      <c r="AM28" s="1146"/>
      <c r="AN28" s="1147"/>
      <c r="AO28" s="1144"/>
      <c r="AP28" s="1146"/>
      <c r="AQ28" s="1148"/>
      <c r="AR28" s="1143"/>
      <c r="AS28" s="1146"/>
      <c r="AT28" s="1148"/>
      <c r="AU28" s="1067">
        <f t="shared" si="1"/>
        <v>0</v>
      </c>
      <c r="AV28" s="879">
        <f t="shared" si="1"/>
        <v>0</v>
      </c>
      <c r="AW28" s="1076">
        <f t="shared" si="0"/>
        <v>0</v>
      </c>
      <c r="AX28" s="936"/>
      <c r="AY28" s="936"/>
      <c r="AZ28" s="936"/>
      <c r="BA28" s="936"/>
      <c r="BB28" s="936"/>
      <c r="BC28" s="936"/>
      <c r="BD28" s="936"/>
      <c r="BE28" s="936"/>
      <c r="BF28" s="936"/>
      <c r="BG28" s="936"/>
      <c r="BH28" s="936"/>
      <c r="BI28" s="936"/>
      <c r="BJ28" s="936"/>
      <c r="BK28" s="936"/>
      <c r="BL28" s="936"/>
      <c r="BM28" s="936"/>
      <c r="BN28" s="936"/>
      <c r="BO28" s="936"/>
      <c r="BP28" s="936"/>
      <c r="BQ28" s="936"/>
      <c r="BR28" s="936"/>
      <c r="BS28" s="936"/>
      <c r="BT28" s="936"/>
      <c r="BU28" s="936"/>
      <c r="BV28" s="936"/>
      <c r="BW28" s="936"/>
      <c r="BX28" s="936"/>
      <c r="BY28" s="936"/>
      <c r="BZ28" s="936"/>
      <c r="CA28" s="936"/>
      <c r="CB28" s="936"/>
      <c r="CC28" s="936"/>
      <c r="CD28" s="936"/>
      <c r="CE28" s="936"/>
      <c r="CF28" s="936"/>
      <c r="CG28" s="936"/>
      <c r="CH28" s="936"/>
      <c r="CI28" s="936"/>
      <c r="CJ28" s="936"/>
      <c r="CK28" s="936"/>
      <c r="CL28" s="936"/>
      <c r="CM28" s="936"/>
      <c r="CN28" s="936"/>
      <c r="CO28" s="936"/>
      <c r="CP28" s="936"/>
      <c r="CQ28" s="936"/>
      <c r="CR28" s="936"/>
      <c r="CS28" s="936"/>
      <c r="CT28" s="936"/>
      <c r="CU28" s="936"/>
      <c r="CV28" s="936"/>
      <c r="CW28" s="936"/>
      <c r="CX28" s="936"/>
      <c r="CY28" s="936"/>
      <c r="CZ28" s="936"/>
    </row>
    <row r="29" spans="1:104" ht="15.75" hidden="1" customHeight="1" outlineLevel="1" thickBot="1">
      <c r="A29" s="938" t="s">
        <v>189</v>
      </c>
      <c r="B29" s="939" t="s">
        <v>188</v>
      </c>
      <c r="C29" s="1149"/>
      <c r="D29" s="940" t="s">
        <v>165</v>
      </c>
      <c r="E29" s="991">
        <v>32</v>
      </c>
      <c r="F29" s="895">
        <v>240</v>
      </c>
      <c r="G29" s="896">
        <f t="shared" si="2"/>
        <v>7680</v>
      </c>
      <c r="H29" s="1094">
        <v>32</v>
      </c>
      <c r="I29" s="942">
        <v>240</v>
      </c>
      <c r="J29" s="944">
        <f>H29*I29</f>
        <v>7680</v>
      </c>
      <c r="K29" s="1150">
        <v>32</v>
      </c>
      <c r="L29" s="1151">
        <v>110</v>
      </c>
      <c r="M29" s="1152">
        <f t="shared" si="3"/>
        <v>3520</v>
      </c>
      <c r="N29" s="1094">
        <v>32</v>
      </c>
      <c r="O29" s="942">
        <v>120</v>
      </c>
      <c r="P29" s="944">
        <f t="shared" si="4"/>
        <v>3840</v>
      </c>
      <c r="Q29" s="941">
        <v>32</v>
      </c>
      <c r="R29" s="942">
        <v>140</v>
      </c>
      <c r="S29" s="943">
        <f t="shared" si="5"/>
        <v>4480</v>
      </c>
      <c r="T29" s="1093">
        <v>32</v>
      </c>
      <c r="U29" s="1070">
        <v>212</v>
      </c>
      <c r="V29" s="1071">
        <f>T29*U29</f>
        <v>6784</v>
      </c>
      <c r="W29" s="1094">
        <v>32</v>
      </c>
      <c r="X29" s="942">
        <v>170</v>
      </c>
      <c r="Y29" s="944">
        <f>W29*X29</f>
        <v>5440</v>
      </c>
      <c r="Z29" s="915">
        <v>32</v>
      </c>
      <c r="AA29" s="1118">
        <v>312</v>
      </c>
      <c r="AB29" s="1116">
        <f>Z29*AA29</f>
        <v>9984</v>
      </c>
      <c r="AC29" s="1150">
        <v>32</v>
      </c>
      <c r="AD29" s="1151">
        <v>180</v>
      </c>
      <c r="AE29" s="1152">
        <v>5040</v>
      </c>
      <c r="AF29" s="1094">
        <v>32</v>
      </c>
      <c r="AG29" s="942">
        <v>200</v>
      </c>
      <c r="AH29" s="943">
        <f t="shared" si="6"/>
        <v>6400</v>
      </c>
      <c r="AI29" s="1079">
        <v>32</v>
      </c>
      <c r="AJ29" s="1080">
        <v>240</v>
      </c>
      <c r="AK29" s="1081">
        <v>7680</v>
      </c>
      <c r="AL29" s="1153">
        <v>32</v>
      </c>
      <c r="AM29" s="1120">
        <v>240</v>
      </c>
      <c r="AN29" s="1081">
        <v>7680</v>
      </c>
      <c r="AO29" s="1119">
        <v>32</v>
      </c>
      <c r="AP29" s="1120">
        <v>240</v>
      </c>
      <c r="AQ29" s="1082">
        <v>7680</v>
      </c>
      <c r="AR29" s="1153">
        <v>32</v>
      </c>
      <c r="AS29" s="1120">
        <v>240</v>
      </c>
      <c r="AT29" s="1082">
        <v>7680</v>
      </c>
      <c r="AU29" s="1083">
        <f t="shared" si="1"/>
        <v>2884</v>
      </c>
      <c r="AV29" s="899">
        <f t="shared" si="1"/>
        <v>91568</v>
      </c>
      <c r="AW29" s="1154">
        <f t="shared" si="0"/>
        <v>9.6108713851124697E-3</v>
      </c>
    </row>
    <row r="30" spans="1:104" ht="17.25" customHeight="1" collapsed="1" thickBot="1">
      <c r="A30" s="856" t="s">
        <v>22</v>
      </c>
      <c r="B30" s="857" t="s">
        <v>187</v>
      </c>
      <c r="C30" s="1044"/>
      <c r="D30" s="851"/>
      <c r="E30" s="859"/>
      <c r="F30" s="842"/>
      <c r="G30" s="860">
        <f>SUM(G31:G37)</f>
        <v>69060</v>
      </c>
      <c r="H30" s="859"/>
      <c r="I30" s="842"/>
      <c r="J30" s="860">
        <f>SUM(J31:J37)</f>
        <v>61080</v>
      </c>
      <c r="K30" s="859"/>
      <c r="L30" s="842"/>
      <c r="M30" s="860">
        <f>SUM(M31:M37)</f>
        <v>85980</v>
      </c>
      <c r="N30" s="1046"/>
      <c r="O30" s="842"/>
      <c r="P30" s="864">
        <f>SUM(P31:P37)</f>
        <v>47520</v>
      </c>
      <c r="Q30" s="859"/>
      <c r="R30" s="842"/>
      <c r="S30" s="860">
        <f>SUM(S31:S37)</f>
        <v>75200</v>
      </c>
      <c r="T30" s="1155"/>
      <c r="U30" s="1156"/>
      <c r="V30" s="1157">
        <f>SUM(V32:V37)</f>
        <v>79140</v>
      </c>
      <c r="W30" s="1046"/>
      <c r="X30" s="842"/>
      <c r="Y30" s="864">
        <f>SUM(Y31:Y37)</f>
        <v>34960</v>
      </c>
      <c r="Z30" s="1158"/>
      <c r="AA30" s="1159"/>
      <c r="AB30" s="1160">
        <f>SUM(AB32:AB37)</f>
        <v>36960</v>
      </c>
      <c r="AC30" s="1161"/>
      <c r="AD30" s="1162"/>
      <c r="AE30" s="1160">
        <f>SUM(AE31:AE36)</f>
        <v>360000</v>
      </c>
      <c r="AF30" s="1046"/>
      <c r="AG30" s="842"/>
      <c r="AH30" s="860">
        <f>SUM(AH31:AH37)</f>
        <v>64300</v>
      </c>
      <c r="AI30" s="1032"/>
      <c r="AJ30" s="1033"/>
      <c r="AK30" s="1052">
        <f>SUM(AK31:AK37)</f>
        <v>66900</v>
      </c>
      <c r="AL30" s="1085"/>
      <c r="AM30" s="1086"/>
      <c r="AN30" s="1087">
        <f>SUM(AN31:AN37)</f>
        <v>50500</v>
      </c>
      <c r="AO30" s="1085"/>
      <c r="AP30" s="1086"/>
      <c r="AQ30" s="1087">
        <f>SUM(AQ31:AQ37)</f>
        <v>47520</v>
      </c>
      <c r="AR30" s="1085"/>
      <c r="AS30" s="1086"/>
      <c r="AT30" s="1088">
        <f>SUM(AT31:AT37)</f>
        <v>57700</v>
      </c>
      <c r="AU30" s="847">
        <f t="shared" si="1"/>
        <v>0</v>
      </c>
      <c r="AV30" s="848">
        <f t="shared" si="1"/>
        <v>1136820</v>
      </c>
      <c r="AW30" s="946">
        <f>AV30/AV51</f>
        <v>0.11931931251117811</v>
      </c>
    </row>
    <row r="31" spans="1:104" ht="15.75" hidden="1" outlineLevel="1">
      <c r="A31" s="947"/>
      <c r="B31" s="868" t="s">
        <v>186</v>
      </c>
      <c r="C31" s="1057"/>
      <c r="D31" s="902" t="s">
        <v>165</v>
      </c>
      <c r="E31" s="870"/>
      <c r="F31" s="871"/>
      <c r="G31" s="872"/>
      <c r="H31" s="1089"/>
      <c r="I31" s="871"/>
      <c r="J31" s="874"/>
      <c r="K31" s="903"/>
      <c r="L31" s="871"/>
      <c r="M31" s="872"/>
      <c r="N31" s="1089"/>
      <c r="O31" s="871"/>
      <c r="P31" s="874"/>
      <c r="Q31" s="903"/>
      <c r="R31" s="871"/>
      <c r="S31" s="872"/>
      <c r="T31" s="1163"/>
      <c r="U31" s="1164"/>
      <c r="V31" s="1165"/>
      <c r="W31" s="1089"/>
      <c r="X31" s="871"/>
      <c r="Y31" s="874"/>
      <c r="Z31" s="1163"/>
      <c r="AA31" s="1166"/>
      <c r="AB31" s="1167"/>
      <c r="AC31" s="1095">
        <v>1600</v>
      </c>
      <c r="AD31" s="1091">
        <v>200</v>
      </c>
      <c r="AE31" s="1092">
        <v>360000</v>
      </c>
      <c r="AF31" s="1089"/>
      <c r="AG31" s="871"/>
      <c r="AH31" s="872"/>
      <c r="AI31" s="1059"/>
      <c r="AJ31" s="1060"/>
      <c r="AK31" s="1061"/>
      <c r="AL31" s="1073"/>
      <c r="AM31" s="1074"/>
      <c r="AN31" s="1061"/>
      <c r="AO31" s="1075"/>
      <c r="AP31" s="1074"/>
      <c r="AQ31" s="1062"/>
      <c r="AR31" s="1073"/>
      <c r="AS31" s="1074"/>
      <c r="AT31" s="1062"/>
      <c r="AU31" s="1063">
        <f t="shared" si="1"/>
        <v>200</v>
      </c>
      <c r="AV31" s="875">
        <f t="shared" si="1"/>
        <v>360000</v>
      </c>
      <c r="AW31" s="1168">
        <f t="shared" ref="AW31:AW36" si="15">AV31/$AV$51</f>
        <v>3.7785183673777839E-2</v>
      </c>
    </row>
    <row r="32" spans="1:104" ht="15.75" hidden="1" outlineLevel="1">
      <c r="A32" s="881" t="s">
        <v>97</v>
      </c>
      <c r="B32" s="882" t="s">
        <v>185</v>
      </c>
      <c r="C32" s="1069"/>
      <c r="D32" s="906" t="s">
        <v>165</v>
      </c>
      <c r="E32" s="923">
        <v>300</v>
      </c>
      <c r="F32" s="885">
        <v>42</v>
      </c>
      <c r="G32" s="886">
        <f t="shared" si="2"/>
        <v>12600</v>
      </c>
      <c r="H32" s="923">
        <v>300</v>
      </c>
      <c r="I32" s="885">
        <v>56</v>
      </c>
      <c r="J32" s="889">
        <f t="shared" ref="J32:J37" si="16">H32*I32</f>
        <v>16800</v>
      </c>
      <c r="K32" s="923">
        <v>300</v>
      </c>
      <c r="L32" s="885">
        <v>140</v>
      </c>
      <c r="M32" s="886">
        <f t="shared" si="3"/>
        <v>42000</v>
      </c>
      <c r="N32" s="923">
        <v>300</v>
      </c>
      <c r="O32" s="885">
        <v>30</v>
      </c>
      <c r="P32" s="889">
        <f t="shared" si="4"/>
        <v>9000</v>
      </c>
      <c r="Q32" s="923">
        <v>300</v>
      </c>
      <c r="R32" s="885">
        <v>80</v>
      </c>
      <c r="S32" s="886">
        <f t="shared" si="5"/>
        <v>24000</v>
      </c>
      <c r="T32" s="1093">
        <v>220</v>
      </c>
      <c r="U32" s="1070">
        <v>220</v>
      </c>
      <c r="V32" s="1169">
        <f t="shared" ref="V32:V37" si="17">T32*U32</f>
        <v>48400</v>
      </c>
      <c r="W32" s="923">
        <v>300</v>
      </c>
      <c r="X32" s="885">
        <v>0</v>
      </c>
      <c r="Y32" s="889"/>
      <c r="Z32" s="923">
        <v>300</v>
      </c>
      <c r="AA32" s="1072">
        <v>0</v>
      </c>
      <c r="AB32" s="889">
        <f t="shared" ref="AB32:AB37" si="18">Z32*AA32</f>
        <v>0</v>
      </c>
      <c r="AC32" s="1170">
        <v>0</v>
      </c>
      <c r="AD32" s="889">
        <f t="shared" ref="AD32:AE36" si="19">AB32*AC32</f>
        <v>0</v>
      </c>
      <c r="AE32" s="886">
        <f t="shared" si="19"/>
        <v>0</v>
      </c>
      <c r="AF32" s="923">
        <v>300</v>
      </c>
      <c r="AG32" s="885">
        <v>80</v>
      </c>
      <c r="AH32" s="886">
        <f t="shared" si="6"/>
        <v>24000</v>
      </c>
      <c r="AI32" s="1059">
        <v>300</v>
      </c>
      <c r="AJ32" s="1060">
        <v>42</v>
      </c>
      <c r="AK32" s="1061">
        <f t="shared" ref="AK32:AK37" si="20">AI32*AJ32</f>
        <v>12600</v>
      </c>
      <c r="AL32" s="1059">
        <v>300</v>
      </c>
      <c r="AM32" s="1060">
        <v>30</v>
      </c>
      <c r="AN32" s="1061">
        <f t="shared" ref="AN32:AN37" si="21">AL32*AM32</f>
        <v>9000</v>
      </c>
      <c r="AO32" s="1060">
        <v>300</v>
      </c>
      <c r="AP32" s="1060">
        <v>30</v>
      </c>
      <c r="AQ32" s="1062">
        <f t="shared" ref="AQ32:AQ37" si="22">AO32*AP32</f>
        <v>9000</v>
      </c>
      <c r="AR32" s="1059">
        <v>300</v>
      </c>
      <c r="AS32" s="1060">
        <v>32</v>
      </c>
      <c r="AT32" s="1062">
        <f t="shared" ref="AT32:AT37" si="23">AR32*AS32</f>
        <v>9600</v>
      </c>
      <c r="AU32" s="1067">
        <f t="shared" si="1"/>
        <v>782</v>
      </c>
      <c r="AV32" s="879">
        <f t="shared" si="1"/>
        <v>217000</v>
      </c>
      <c r="AW32" s="1076">
        <f t="shared" si="15"/>
        <v>2.2776069047804975E-2</v>
      </c>
    </row>
    <row r="33" spans="1:50" ht="15.75" hidden="1" outlineLevel="1">
      <c r="A33" s="881" t="s">
        <v>98</v>
      </c>
      <c r="B33" s="882" t="s">
        <v>184</v>
      </c>
      <c r="C33" s="1069"/>
      <c r="D33" s="906" t="s">
        <v>165</v>
      </c>
      <c r="E33" s="923">
        <v>310</v>
      </c>
      <c r="F33" s="885">
        <v>28</v>
      </c>
      <c r="G33" s="886">
        <f t="shared" si="2"/>
        <v>8680</v>
      </c>
      <c r="H33" s="923">
        <v>310</v>
      </c>
      <c r="I33" s="885">
        <v>28</v>
      </c>
      <c r="J33" s="889">
        <f t="shared" si="16"/>
        <v>8680</v>
      </c>
      <c r="K33" s="923">
        <v>310</v>
      </c>
      <c r="L33" s="885">
        <v>42</v>
      </c>
      <c r="M33" s="886">
        <f t="shared" si="3"/>
        <v>13020</v>
      </c>
      <c r="N33" s="923">
        <v>310</v>
      </c>
      <c r="O33" s="885">
        <v>12</v>
      </c>
      <c r="P33" s="889">
        <f t="shared" si="4"/>
        <v>3720</v>
      </c>
      <c r="Q33" s="923">
        <v>310</v>
      </c>
      <c r="R33" s="885">
        <v>28</v>
      </c>
      <c r="S33" s="886">
        <f t="shared" si="5"/>
        <v>8680</v>
      </c>
      <c r="T33" s="1093">
        <v>310</v>
      </c>
      <c r="U33" s="1070">
        <v>58</v>
      </c>
      <c r="V33" s="1169">
        <f t="shared" si="17"/>
        <v>17980</v>
      </c>
      <c r="W33" s="923">
        <v>310</v>
      </c>
      <c r="X33" s="885">
        <v>0</v>
      </c>
      <c r="Y33" s="889"/>
      <c r="Z33" s="923">
        <v>310</v>
      </c>
      <c r="AA33" s="1072">
        <v>0</v>
      </c>
      <c r="AB33" s="889">
        <f t="shared" si="18"/>
        <v>0</v>
      </c>
      <c r="AC33" s="923"/>
      <c r="AD33" s="885"/>
      <c r="AE33" s="886">
        <f t="shared" si="19"/>
        <v>0</v>
      </c>
      <c r="AF33" s="923">
        <v>310</v>
      </c>
      <c r="AG33" s="885">
        <v>18</v>
      </c>
      <c r="AH33" s="886">
        <f t="shared" si="6"/>
        <v>5580</v>
      </c>
      <c r="AI33" s="1059">
        <v>310</v>
      </c>
      <c r="AJ33" s="1060">
        <v>12</v>
      </c>
      <c r="AK33" s="1061">
        <f t="shared" si="20"/>
        <v>3720</v>
      </c>
      <c r="AL33" s="1059">
        <v>310</v>
      </c>
      <c r="AM33" s="1060">
        <v>16</v>
      </c>
      <c r="AN33" s="1061">
        <f t="shared" si="21"/>
        <v>4960</v>
      </c>
      <c r="AO33" s="1060">
        <v>310</v>
      </c>
      <c r="AP33" s="1060">
        <v>12</v>
      </c>
      <c r="AQ33" s="1062">
        <f t="shared" si="22"/>
        <v>3720</v>
      </c>
      <c r="AR33" s="1059">
        <v>310</v>
      </c>
      <c r="AS33" s="1060">
        <v>18</v>
      </c>
      <c r="AT33" s="1062">
        <f t="shared" si="23"/>
        <v>5580</v>
      </c>
      <c r="AU33" s="1067">
        <f t="shared" si="1"/>
        <v>272</v>
      </c>
      <c r="AV33" s="879">
        <f t="shared" si="1"/>
        <v>84320</v>
      </c>
      <c r="AW33" s="1076">
        <f t="shared" si="15"/>
        <v>8.8501296871470753E-3</v>
      </c>
    </row>
    <row r="34" spans="1:50" ht="15.75" hidden="1" outlineLevel="1">
      <c r="A34" s="881" t="s">
        <v>183</v>
      </c>
      <c r="B34" s="909" t="s">
        <v>182</v>
      </c>
      <c r="C34" s="1106"/>
      <c r="D34" s="906" t="s">
        <v>165</v>
      </c>
      <c r="E34" s="923">
        <v>620</v>
      </c>
      <c r="F34" s="885">
        <v>14</v>
      </c>
      <c r="G34" s="886">
        <f t="shared" si="2"/>
        <v>8680</v>
      </c>
      <c r="H34" s="923">
        <v>620</v>
      </c>
      <c r="I34" s="885">
        <v>0</v>
      </c>
      <c r="J34" s="889">
        <f t="shared" si="16"/>
        <v>0</v>
      </c>
      <c r="K34" s="923">
        <v>620</v>
      </c>
      <c r="L34" s="885">
        <v>28</v>
      </c>
      <c r="M34" s="886">
        <f t="shared" si="3"/>
        <v>17360</v>
      </c>
      <c r="N34" s="923">
        <v>620</v>
      </c>
      <c r="O34" s="885">
        <v>10</v>
      </c>
      <c r="P34" s="889">
        <f t="shared" si="4"/>
        <v>6200</v>
      </c>
      <c r="Q34" s="923">
        <v>620</v>
      </c>
      <c r="R34" s="885">
        <v>16</v>
      </c>
      <c r="S34" s="886">
        <f t="shared" si="5"/>
        <v>9920</v>
      </c>
      <c r="T34" s="923">
        <v>620</v>
      </c>
      <c r="U34" s="1070">
        <v>18</v>
      </c>
      <c r="V34" s="1169">
        <f t="shared" si="17"/>
        <v>11160</v>
      </c>
      <c r="W34" s="923">
        <v>620</v>
      </c>
      <c r="X34" s="885">
        <v>28</v>
      </c>
      <c r="Y34" s="889">
        <f>W34*X34</f>
        <v>17360</v>
      </c>
      <c r="Z34" s="923">
        <v>620</v>
      </c>
      <c r="AA34" s="1072">
        <v>6</v>
      </c>
      <c r="AB34" s="889">
        <f t="shared" si="18"/>
        <v>3720</v>
      </c>
      <c r="AC34" s="923"/>
      <c r="AD34" s="885"/>
      <c r="AE34" s="886">
        <f t="shared" si="19"/>
        <v>0</v>
      </c>
      <c r="AF34" s="923">
        <v>820</v>
      </c>
      <c r="AG34" s="885">
        <v>16</v>
      </c>
      <c r="AH34" s="886">
        <f t="shared" si="6"/>
        <v>13120</v>
      </c>
      <c r="AI34" s="1059">
        <v>620</v>
      </c>
      <c r="AJ34" s="1060">
        <v>14</v>
      </c>
      <c r="AK34" s="1061">
        <f t="shared" si="20"/>
        <v>8680</v>
      </c>
      <c r="AL34" s="1059">
        <v>620</v>
      </c>
      <c r="AM34" s="1060">
        <v>12</v>
      </c>
      <c r="AN34" s="1061">
        <f t="shared" si="21"/>
        <v>7440</v>
      </c>
      <c r="AO34" s="1060">
        <v>620</v>
      </c>
      <c r="AP34" s="1060">
        <v>10</v>
      </c>
      <c r="AQ34" s="1062">
        <f t="shared" si="22"/>
        <v>6200</v>
      </c>
      <c r="AR34" s="1059">
        <v>620</v>
      </c>
      <c r="AS34" s="1060">
        <v>16</v>
      </c>
      <c r="AT34" s="1062">
        <f t="shared" si="23"/>
        <v>9920</v>
      </c>
      <c r="AU34" s="1067">
        <f t="shared" si="1"/>
        <v>188</v>
      </c>
      <c r="AV34" s="879">
        <f t="shared" si="1"/>
        <v>119760</v>
      </c>
      <c r="AW34" s="1076">
        <f t="shared" si="15"/>
        <v>1.2569871102143427E-2</v>
      </c>
    </row>
    <row r="35" spans="1:50" ht="15.75" hidden="1" outlineLevel="1">
      <c r="A35" s="912" t="s">
        <v>181</v>
      </c>
      <c r="B35" s="913" t="s">
        <v>859</v>
      </c>
      <c r="C35" s="1114"/>
      <c r="D35" s="914" t="s">
        <v>165</v>
      </c>
      <c r="E35" s="991">
        <v>200</v>
      </c>
      <c r="F35" s="895">
        <v>8</v>
      </c>
      <c r="G35" s="886">
        <f t="shared" si="2"/>
        <v>1600</v>
      </c>
      <c r="H35" s="894">
        <v>200</v>
      </c>
      <c r="I35" s="895">
        <v>8</v>
      </c>
      <c r="J35" s="889">
        <f t="shared" si="16"/>
        <v>1600</v>
      </c>
      <c r="K35" s="897">
        <v>200</v>
      </c>
      <c r="L35" s="895">
        <v>18</v>
      </c>
      <c r="M35" s="886">
        <f t="shared" si="3"/>
        <v>3600</v>
      </c>
      <c r="N35" s="894">
        <v>200</v>
      </c>
      <c r="O35" s="895">
        <v>8</v>
      </c>
      <c r="P35" s="889">
        <f t="shared" si="4"/>
        <v>1600</v>
      </c>
      <c r="Q35" s="897">
        <v>200</v>
      </c>
      <c r="R35" s="895">
        <v>8</v>
      </c>
      <c r="S35" s="886">
        <f t="shared" si="5"/>
        <v>1600</v>
      </c>
      <c r="T35" s="884">
        <v>200</v>
      </c>
      <c r="U35" s="1070">
        <v>8</v>
      </c>
      <c r="V35" s="1169">
        <f t="shared" si="17"/>
        <v>1600</v>
      </c>
      <c r="W35" s="894">
        <v>200</v>
      </c>
      <c r="X35" s="895">
        <v>8</v>
      </c>
      <c r="Y35" s="889">
        <f>W35*X35</f>
        <v>1600</v>
      </c>
      <c r="Z35" s="923">
        <v>280</v>
      </c>
      <c r="AA35" s="1072">
        <v>8</v>
      </c>
      <c r="AB35" s="889">
        <f t="shared" si="18"/>
        <v>2240</v>
      </c>
      <c r="AC35" s="923"/>
      <c r="AD35" s="885"/>
      <c r="AE35" s="886"/>
      <c r="AF35" s="894">
        <v>200</v>
      </c>
      <c r="AG35" s="895">
        <v>8</v>
      </c>
      <c r="AH35" s="886">
        <f t="shared" si="6"/>
        <v>1600</v>
      </c>
      <c r="AI35" s="1079">
        <v>200</v>
      </c>
      <c r="AJ35" s="1080">
        <v>12</v>
      </c>
      <c r="AK35" s="1061">
        <f t="shared" si="20"/>
        <v>2400</v>
      </c>
      <c r="AL35" s="1153">
        <v>200</v>
      </c>
      <c r="AM35" s="1120">
        <v>8</v>
      </c>
      <c r="AN35" s="1061">
        <f t="shared" si="21"/>
        <v>1600</v>
      </c>
      <c r="AO35" s="1119">
        <v>200</v>
      </c>
      <c r="AP35" s="1120">
        <v>8</v>
      </c>
      <c r="AQ35" s="1062">
        <f t="shared" si="22"/>
        <v>1600</v>
      </c>
      <c r="AR35" s="1153">
        <v>200</v>
      </c>
      <c r="AS35" s="1120">
        <v>8</v>
      </c>
      <c r="AT35" s="1062">
        <f t="shared" si="23"/>
        <v>1600</v>
      </c>
      <c r="AU35" s="1067">
        <f t="shared" si="1"/>
        <v>118</v>
      </c>
      <c r="AV35" s="879">
        <f t="shared" si="1"/>
        <v>24240</v>
      </c>
      <c r="AW35" s="1076">
        <f t="shared" si="15"/>
        <v>2.5442023673677076E-3</v>
      </c>
    </row>
    <row r="36" spans="1:50" ht="15.75" hidden="1" outlineLevel="1">
      <c r="A36" s="912" t="s">
        <v>729</v>
      </c>
      <c r="B36" s="913" t="s">
        <v>180</v>
      </c>
      <c r="C36" s="1114"/>
      <c r="D36" s="914" t="s">
        <v>161</v>
      </c>
      <c r="E36" s="991">
        <v>3500</v>
      </c>
      <c r="F36" s="895">
        <v>1</v>
      </c>
      <c r="G36" s="896">
        <f>E36*F36</f>
        <v>3500</v>
      </c>
      <c r="H36" s="894">
        <v>17500</v>
      </c>
      <c r="I36" s="895">
        <v>0</v>
      </c>
      <c r="J36" s="898">
        <f t="shared" si="16"/>
        <v>0</v>
      </c>
      <c r="K36" s="897">
        <v>17500</v>
      </c>
      <c r="L36" s="895">
        <v>0</v>
      </c>
      <c r="M36" s="896">
        <f>K36*L36</f>
        <v>0</v>
      </c>
      <c r="N36" s="894">
        <v>12000</v>
      </c>
      <c r="O36" s="895">
        <v>1</v>
      </c>
      <c r="P36" s="898">
        <f>N36*O36</f>
        <v>12000</v>
      </c>
      <c r="Q36" s="897">
        <v>3000</v>
      </c>
      <c r="R36" s="895">
        <v>1</v>
      </c>
      <c r="S36" s="896">
        <f>Q36*R36</f>
        <v>3000</v>
      </c>
      <c r="T36" s="1093">
        <v>9500</v>
      </c>
      <c r="U36" s="1070">
        <v>0</v>
      </c>
      <c r="V36" s="1071">
        <f t="shared" si="17"/>
        <v>0</v>
      </c>
      <c r="W36" s="894">
        <v>0</v>
      </c>
      <c r="X36" s="895">
        <v>0</v>
      </c>
      <c r="Y36" s="889">
        <f>W36*X36</f>
        <v>0</v>
      </c>
      <c r="Z36" s="929">
        <v>16000</v>
      </c>
      <c r="AA36" s="1171">
        <v>1</v>
      </c>
      <c r="AB36" s="935">
        <f t="shared" si="18"/>
        <v>16000</v>
      </c>
      <c r="AC36" s="923">
        <v>55000</v>
      </c>
      <c r="AD36" s="885">
        <v>0</v>
      </c>
      <c r="AE36" s="886">
        <f t="shared" si="19"/>
        <v>0</v>
      </c>
      <c r="AF36" s="894">
        <v>8000</v>
      </c>
      <c r="AG36" s="895">
        <v>0</v>
      </c>
      <c r="AH36" s="896">
        <f>AF36*AG36</f>
        <v>0</v>
      </c>
      <c r="AI36" s="1172">
        <v>17500</v>
      </c>
      <c r="AJ36" s="1173">
        <v>1</v>
      </c>
      <c r="AK36" s="1061">
        <f t="shared" si="20"/>
        <v>17500</v>
      </c>
      <c r="AL36" s="1174">
        <v>17500</v>
      </c>
      <c r="AM36" s="1175">
        <v>1</v>
      </c>
      <c r="AN36" s="1061">
        <f t="shared" si="21"/>
        <v>17500</v>
      </c>
      <c r="AO36" s="1176">
        <v>12000</v>
      </c>
      <c r="AP36" s="1175">
        <v>1</v>
      </c>
      <c r="AQ36" s="1062">
        <f t="shared" si="22"/>
        <v>12000</v>
      </c>
      <c r="AR36" s="1174">
        <v>3000</v>
      </c>
      <c r="AS36" s="1175">
        <v>1</v>
      </c>
      <c r="AT36" s="1062">
        <f t="shared" si="23"/>
        <v>3000</v>
      </c>
      <c r="AU36" s="1067">
        <f t="shared" si="1"/>
        <v>8</v>
      </c>
      <c r="AV36" s="879">
        <f t="shared" si="1"/>
        <v>84500</v>
      </c>
      <c r="AW36" s="1076">
        <f t="shared" si="15"/>
        <v>8.8690222789839651E-3</v>
      </c>
    </row>
    <row r="37" spans="1:50" ht="16.5" hidden="1" outlineLevel="1" thickBot="1">
      <c r="A37" s="912" t="s">
        <v>860</v>
      </c>
      <c r="B37" s="913" t="s">
        <v>861</v>
      </c>
      <c r="C37" s="1114"/>
      <c r="D37" s="914" t="s">
        <v>161</v>
      </c>
      <c r="E37" s="991">
        <v>34000</v>
      </c>
      <c r="F37" s="895">
        <v>1</v>
      </c>
      <c r="G37" s="896">
        <f>E37*F37</f>
        <v>34000</v>
      </c>
      <c r="H37" s="894">
        <v>34000</v>
      </c>
      <c r="I37" s="895">
        <v>1</v>
      </c>
      <c r="J37" s="898">
        <f t="shared" si="16"/>
        <v>34000</v>
      </c>
      <c r="K37" s="897">
        <v>10000</v>
      </c>
      <c r="L37" s="895">
        <v>1</v>
      </c>
      <c r="M37" s="896">
        <f>K37*L37</f>
        <v>10000</v>
      </c>
      <c r="N37" s="894">
        <v>15000</v>
      </c>
      <c r="O37" s="895">
        <v>1</v>
      </c>
      <c r="P37" s="898">
        <f>N37*O37</f>
        <v>15000</v>
      </c>
      <c r="Q37" s="897">
        <v>28000</v>
      </c>
      <c r="R37" s="895">
        <v>1</v>
      </c>
      <c r="S37" s="896">
        <f>Q37*R37</f>
        <v>28000</v>
      </c>
      <c r="T37" s="1177">
        <v>30000</v>
      </c>
      <c r="U37" s="1178">
        <v>0</v>
      </c>
      <c r="V37" s="1179">
        <f t="shared" si="17"/>
        <v>0</v>
      </c>
      <c r="W37" s="894">
        <v>16000</v>
      </c>
      <c r="X37" s="895">
        <v>1</v>
      </c>
      <c r="Y37" s="889">
        <f>W37*X37</f>
        <v>16000</v>
      </c>
      <c r="Z37" s="1117">
        <v>15000</v>
      </c>
      <c r="AA37" s="1118">
        <v>1</v>
      </c>
      <c r="AB37" s="1180">
        <f t="shared" si="18"/>
        <v>15000</v>
      </c>
      <c r="AC37" s="1181"/>
      <c r="AD37" s="1182"/>
      <c r="AE37" s="1183"/>
      <c r="AF37" s="894">
        <v>20000</v>
      </c>
      <c r="AG37" s="895">
        <v>1</v>
      </c>
      <c r="AH37" s="896">
        <f>AF37*AG37</f>
        <v>20000</v>
      </c>
      <c r="AI37" s="1172">
        <v>22000</v>
      </c>
      <c r="AJ37" s="1173">
        <v>1</v>
      </c>
      <c r="AK37" s="1061">
        <f t="shared" si="20"/>
        <v>22000</v>
      </c>
      <c r="AL37" s="1174">
        <v>10000</v>
      </c>
      <c r="AM37" s="1175">
        <v>1</v>
      </c>
      <c r="AN37" s="1081">
        <f t="shared" si="21"/>
        <v>10000</v>
      </c>
      <c r="AO37" s="1176">
        <v>15000</v>
      </c>
      <c r="AP37" s="1175">
        <v>1</v>
      </c>
      <c r="AQ37" s="1082">
        <f t="shared" si="22"/>
        <v>15000</v>
      </c>
      <c r="AR37" s="1174">
        <v>28000</v>
      </c>
      <c r="AS37" s="1175">
        <v>1</v>
      </c>
      <c r="AT37" s="1082">
        <f t="shared" si="23"/>
        <v>28000</v>
      </c>
      <c r="AU37" s="1083">
        <f t="shared" si="1"/>
        <v>12</v>
      </c>
      <c r="AV37" s="899">
        <f t="shared" si="1"/>
        <v>247000</v>
      </c>
      <c r="AW37" s="1154"/>
    </row>
    <row r="38" spans="1:50" ht="18.75" collapsed="1" thickBot="1">
      <c r="A38" s="856" t="s">
        <v>23</v>
      </c>
      <c r="B38" s="857" t="s">
        <v>178</v>
      </c>
      <c r="C38" s="1044"/>
      <c r="D38" s="851"/>
      <c r="E38" s="859"/>
      <c r="F38" s="842"/>
      <c r="G38" s="860">
        <f>SUM(G39:G45)</f>
        <v>95250</v>
      </c>
      <c r="H38" s="859"/>
      <c r="I38" s="842"/>
      <c r="J38" s="860">
        <f>SUM(J39:J45)</f>
        <v>94110</v>
      </c>
      <c r="K38" s="859"/>
      <c r="L38" s="842"/>
      <c r="M38" s="860">
        <f>SUM(M39:M45)</f>
        <v>95950</v>
      </c>
      <c r="N38" s="1046"/>
      <c r="O38" s="842"/>
      <c r="P38" s="864">
        <f>SUM(P39:P45)</f>
        <v>100850</v>
      </c>
      <c r="Q38" s="859"/>
      <c r="R38" s="842"/>
      <c r="S38" s="860">
        <f>SUM(S39:S45)</f>
        <v>82990</v>
      </c>
      <c r="T38" s="1047"/>
      <c r="U38" s="1048"/>
      <c r="V38" s="1049">
        <f>SUM(V39:V45)</f>
        <v>38470</v>
      </c>
      <c r="W38" s="1046"/>
      <c r="X38" s="842"/>
      <c r="Y38" s="864">
        <f>SUM(Y39:Y45)</f>
        <v>77760</v>
      </c>
      <c r="Z38" s="1184"/>
      <c r="AA38" s="1185"/>
      <c r="AB38" s="1186">
        <f>SUM(AB39:AB45)</f>
        <v>104050</v>
      </c>
      <c r="AC38" s="1187"/>
      <c r="AD38" s="942"/>
      <c r="AE38" s="1186">
        <f>SUM(AE39:AE45)</f>
        <v>76960</v>
      </c>
      <c r="AF38" s="1046"/>
      <c r="AG38" s="842"/>
      <c r="AH38" s="860">
        <f>SUM(AH39:AH45)</f>
        <v>76960</v>
      </c>
      <c r="AI38" s="1188"/>
      <c r="AJ38" s="1189"/>
      <c r="AK38" s="1190">
        <f>SUM(AK39:AK45)</f>
        <v>93820</v>
      </c>
      <c r="AL38" s="1085"/>
      <c r="AM38" s="1086"/>
      <c r="AN38" s="1087">
        <f>SUM(AN39:AN45)</f>
        <v>97520</v>
      </c>
      <c r="AO38" s="1085"/>
      <c r="AP38" s="1086"/>
      <c r="AQ38" s="1087">
        <f>SUM(AQ39:AQ45)</f>
        <v>94420</v>
      </c>
      <c r="AR38" s="1085"/>
      <c r="AS38" s="1086"/>
      <c r="AT38" s="1088">
        <f>SUM(AT39:AT45)</f>
        <v>76560</v>
      </c>
      <c r="AU38" s="847">
        <f t="shared" si="1"/>
        <v>0</v>
      </c>
      <c r="AV38" s="848">
        <f t="shared" si="1"/>
        <v>1205670</v>
      </c>
      <c r="AW38" s="946">
        <f t="shared" ref="AW38:AW51" si="24">AV38/$AV$51</f>
        <v>0.12654572888878812</v>
      </c>
      <c r="AX38" s="855"/>
    </row>
    <row r="39" spans="1:50" ht="15.75" hidden="1" outlineLevel="1">
      <c r="A39" s="867" t="s">
        <v>99</v>
      </c>
      <c r="B39" s="868" t="s">
        <v>177</v>
      </c>
      <c r="C39" s="1191"/>
      <c r="D39" s="951" t="s">
        <v>161</v>
      </c>
      <c r="E39" s="952">
        <v>6430</v>
      </c>
      <c r="F39" s="1192">
        <v>6</v>
      </c>
      <c r="G39" s="1193">
        <f t="shared" si="2"/>
        <v>38580</v>
      </c>
      <c r="H39" s="1194">
        <v>6430</v>
      </c>
      <c r="I39" s="1192">
        <v>8</v>
      </c>
      <c r="J39" s="1193">
        <f>H39*I39</f>
        <v>51440</v>
      </c>
      <c r="K39" s="952">
        <v>6430</v>
      </c>
      <c r="L39" s="953">
        <v>6</v>
      </c>
      <c r="M39" s="954">
        <f t="shared" si="3"/>
        <v>38580</v>
      </c>
      <c r="N39" s="952">
        <v>6430</v>
      </c>
      <c r="O39" s="1192">
        <v>6</v>
      </c>
      <c r="P39" s="1193">
        <f t="shared" si="4"/>
        <v>38580</v>
      </c>
      <c r="Q39" s="1194">
        <v>6430</v>
      </c>
      <c r="R39" s="953">
        <v>4</v>
      </c>
      <c r="S39" s="954">
        <f t="shared" si="5"/>
        <v>25720</v>
      </c>
      <c r="T39" s="952">
        <v>6430</v>
      </c>
      <c r="U39" s="1195">
        <v>0</v>
      </c>
      <c r="V39" s="1196">
        <f t="shared" ref="V39:V45" si="25">T39*U39</f>
        <v>0</v>
      </c>
      <c r="W39" s="952">
        <v>6430</v>
      </c>
      <c r="X39" s="953">
        <v>3</v>
      </c>
      <c r="Y39" s="957">
        <f t="shared" ref="Y39:Y45" si="26">W39*X39</f>
        <v>19290</v>
      </c>
      <c r="Z39" s="952">
        <v>6430</v>
      </c>
      <c r="AA39" s="1197">
        <v>6</v>
      </c>
      <c r="AB39" s="1198">
        <f t="shared" ref="AB39:AB45" si="27">Z39*AA39</f>
        <v>38580</v>
      </c>
      <c r="AC39" s="952">
        <v>6430</v>
      </c>
      <c r="AD39" s="1199">
        <v>3</v>
      </c>
      <c r="AE39" s="1193">
        <f t="shared" ref="AE39:AE45" si="28">AC39*AD39</f>
        <v>19290</v>
      </c>
      <c r="AF39" s="952">
        <v>6430</v>
      </c>
      <c r="AG39" s="953">
        <v>3</v>
      </c>
      <c r="AH39" s="954">
        <f t="shared" si="6"/>
        <v>19290</v>
      </c>
      <c r="AI39" s="952">
        <v>6430</v>
      </c>
      <c r="AJ39" s="1200">
        <v>5</v>
      </c>
      <c r="AK39" s="1201">
        <f t="shared" ref="AK39:AK45" si="29">AI39*AJ39</f>
        <v>32150</v>
      </c>
      <c r="AL39" s="1202">
        <v>6430</v>
      </c>
      <c r="AM39" s="1203">
        <v>5</v>
      </c>
      <c r="AN39" s="1201">
        <f>AL39*AM39</f>
        <v>32150</v>
      </c>
      <c r="AO39" s="1202">
        <v>6430</v>
      </c>
      <c r="AP39" s="1203">
        <v>5</v>
      </c>
      <c r="AQ39" s="1201">
        <f>AO39*AP39</f>
        <v>32150</v>
      </c>
      <c r="AR39" s="1202">
        <v>6430</v>
      </c>
      <c r="AS39" s="1203">
        <v>3</v>
      </c>
      <c r="AT39" s="1204">
        <f t="shared" ref="AT39:AT44" si="30">AR39*AS39</f>
        <v>19290</v>
      </c>
      <c r="AU39" s="1063">
        <f t="shared" si="1"/>
        <v>63</v>
      </c>
      <c r="AV39" s="875">
        <f t="shared" si="1"/>
        <v>405090</v>
      </c>
      <c r="AW39" s="1168">
        <f t="shared" si="24"/>
        <v>4.2517777928918511E-2</v>
      </c>
    </row>
    <row r="40" spans="1:50" ht="15.75" hidden="1" outlineLevel="1">
      <c r="A40" s="881" t="s">
        <v>100</v>
      </c>
      <c r="B40" s="882" t="s">
        <v>176</v>
      </c>
      <c r="C40" s="1205"/>
      <c r="D40" s="958" t="s">
        <v>161</v>
      </c>
      <c r="E40" s="964">
        <v>20000</v>
      </c>
      <c r="F40" s="960">
        <v>1</v>
      </c>
      <c r="G40" s="961">
        <f t="shared" si="2"/>
        <v>20000</v>
      </c>
      <c r="H40" s="1206">
        <v>21000</v>
      </c>
      <c r="I40" s="960">
        <v>1</v>
      </c>
      <c r="J40" s="961">
        <f>H40*I40</f>
        <v>21000</v>
      </c>
      <c r="K40" s="1206">
        <v>20700</v>
      </c>
      <c r="L40" s="960">
        <v>1</v>
      </c>
      <c r="M40" s="961">
        <f t="shared" si="3"/>
        <v>20700</v>
      </c>
      <c r="N40" s="959">
        <v>20600</v>
      </c>
      <c r="O40" s="960">
        <v>1</v>
      </c>
      <c r="P40" s="961">
        <f t="shared" si="4"/>
        <v>20600</v>
      </c>
      <c r="Q40" s="1206">
        <v>20600</v>
      </c>
      <c r="R40" s="960">
        <v>1</v>
      </c>
      <c r="S40" s="961">
        <f t="shared" si="5"/>
        <v>20600</v>
      </c>
      <c r="T40" s="1207">
        <v>16800</v>
      </c>
      <c r="U40" s="1195">
        <v>1</v>
      </c>
      <c r="V40" s="1196">
        <f t="shared" si="25"/>
        <v>16800</v>
      </c>
      <c r="W40" s="1206">
        <v>16800</v>
      </c>
      <c r="X40" s="960">
        <v>1</v>
      </c>
      <c r="Y40" s="963">
        <f t="shared" si="26"/>
        <v>16800</v>
      </c>
      <c r="Z40" s="965">
        <v>20800</v>
      </c>
      <c r="AA40" s="1208">
        <v>1</v>
      </c>
      <c r="AB40" s="963">
        <f t="shared" si="27"/>
        <v>20800</v>
      </c>
      <c r="AC40" s="965">
        <v>21000</v>
      </c>
      <c r="AD40" s="960">
        <v>1</v>
      </c>
      <c r="AE40" s="961">
        <f t="shared" si="28"/>
        <v>21000</v>
      </c>
      <c r="AF40" s="1206">
        <v>21000</v>
      </c>
      <c r="AG40" s="960">
        <v>1</v>
      </c>
      <c r="AH40" s="954">
        <f t="shared" si="6"/>
        <v>21000</v>
      </c>
      <c r="AI40" s="966">
        <v>20000</v>
      </c>
      <c r="AJ40" s="1209">
        <v>1</v>
      </c>
      <c r="AK40" s="1210">
        <f t="shared" si="29"/>
        <v>20000</v>
      </c>
      <c r="AL40" s="1211">
        <v>20700</v>
      </c>
      <c r="AM40" s="1212">
        <v>1</v>
      </c>
      <c r="AN40" s="1210">
        <f t="shared" ref="AN40:AN45" si="31">AL40*AM40</f>
        <v>20700</v>
      </c>
      <c r="AO40" s="1211">
        <v>20600</v>
      </c>
      <c r="AP40" s="1212">
        <v>1</v>
      </c>
      <c r="AQ40" s="1210">
        <f t="shared" ref="AQ40:AQ45" si="32">AO40*AP40</f>
        <v>20600</v>
      </c>
      <c r="AR40" s="1211">
        <v>20600</v>
      </c>
      <c r="AS40" s="1212">
        <v>1</v>
      </c>
      <c r="AT40" s="1213">
        <f t="shared" si="30"/>
        <v>20600</v>
      </c>
      <c r="AU40" s="1067">
        <f t="shared" si="1"/>
        <v>14</v>
      </c>
      <c r="AV40" s="879">
        <f t="shared" si="1"/>
        <v>281200</v>
      </c>
      <c r="AW40" s="1076">
        <f t="shared" si="24"/>
        <v>2.9514426802962023E-2</v>
      </c>
    </row>
    <row r="41" spans="1:50" ht="15.75" hidden="1" outlineLevel="1">
      <c r="A41" s="881" t="s">
        <v>175</v>
      </c>
      <c r="B41" s="882" t="s">
        <v>174</v>
      </c>
      <c r="C41" s="1205"/>
      <c r="D41" s="958" t="s">
        <v>161</v>
      </c>
      <c r="E41" s="964">
        <v>16670</v>
      </c>
      <c r="F41" s="960">
        <v>1</v>
      </c>
      <c r="G41" s="961">
        <f t="shared" si="2"/>
        <v>16670</v>
      </c>
      <c r="H41" s="964">
        <v>16670</v>
      </c>
      <c r="I41" s="960">
        <v>1</v>
      </c>
      <c r="J41" s="961">
        <f>H41*I41</f>
        <v>16670</v>
      </c>
      <c r="K41" s="964">
        <v>16670</v>
      </c>
      <c r="L41" s="960">
        <v>1</v>
      </c>
      <c r="M41" s="961">
        <f t="shared" si="3"/>
        <v>16670</v>
      </c>
      <c r="N41" s="965">
        <v>16670</v>
      </c>
      <c r="O41" s="960">
        <v>1</v>
      </c>
      <c r="P41" s="961">
        <f t="shared" si="4"/>
        <v>16670</v>
      </c>
      <c r="Q41" s="964">
        <v>16670</v>
      </c>
      <c r="R41" s="960">
        <v>1</v>
      </c>
      <c r="S41" s="961">
        <f t="shared" si="5"/>
        <v>16670</v>
      </c>
      <c r="T41" s="965">
        <v>16670</v>
      </c>
      <c r="U41" s="1195">
        <v>1</v>
      </c>
      <c r="V41" s="1196">
        <f t="shared" si="25"/>
        <v>16670</v>
      </c>
      <c r="W41" s="964">
        <v>16670</v>
      </c>
      <c r="X41" s="960">
        <v>1</v>
      </c>
      <c r="Y41" s="963">
        <f t="shared" si="26"/>
        <v>16670</v>
      </c>
      <c r="Z41" s="964">
        <v>16670</v>
      </c>
      <c r="AA41" s="1208">
        <v>1</v>
      </c>
      <c r="AB41" s="963">
        <f t="shared" si="27"/>
        <v>16670</v>
      </c>
      <c r="AC41" s="964">
        <v>16670</v>
      </c>
      <c r="AD41" s="960">
        <v>1</v>
      </c>
      <c r="AE41" s="961">
        <f t="shared" si="28"/>
        <v>16670</v>
      </c>
      <c r="AF41" s="964">
        <v>16670</v>
      </c>
      <c r="AG41" s="960">
        <v>1</v>
      </c>
      <c r="AH41" s="954">
        <f t="shared" si="6"/>
        <v>16670</v>
      </c>
      <c r="AI41" s="965">
        <v>16670</v>
      </c>
      <c r="AJ41" s="1209">
        <v>1</v>
      </c>
      <c r="AK41" s="1210">
        <f t="shared" si="29"/>
        <v>16670</v>
      </c>
      <c r="AL41" s="965">
        <v>16670</v>
      </c>
      <c r="AM41" s="1212">
        <v>1</v>
      </c>
      <c r="AN41" s="1210">
        <f t="shared" si="31"/>
        <v>16670</v>
      </c>
      <c r="AO41" s="965">
        <v>16670</v>
      </c>
      <c r="AP41" s="1212">
        <v>1</v>
      </c>
      <c r="AQ41" s="1210">
        <f t="shared" si="32"/>
        <v>16670</v>
      </c>
      <c r="AR41" s="965">
        <v>16670</v>
      </c>
      <c r="AS41" s="1212">
        <v>1</v>
      </c>
      <c r="AT41" s="1213">
        <f t="shared" si="30"/>
        <v>16670</v>
      </c>
      <c r="AU41" s="1067">
        <f t="shared" si="1"/>
        <v>14</v>
      </c>
      <c r="AV41" s="879">
        <f t="shared" si="1"/>
        <v>233380</v>
      </c>
      <c r="AW41" s="1076">
        <f t="shared" si="24"/>
        <v>2.4495294904961867E-2</v>
      </c>
    </row>
    <row r="42" spans="1:50" ht="15.75" hidden="1" outlineLevel="1">
      <c r="A42" s="881" t="s">
        <v>173</v>
      </c>
      <c r="B42" s="882" t="s">
        <v>730</v>
      </c>
      <c r="C42" s="1205"/>
      <c r="D42" s="958" t="s">
        <v>161</v>
      </c>
      <c r="E42" s="966">
        <v>5000</v>
      </c>
      <c r="F42" s="960">
        <v>1</v>
      </c>
      <c r="G42" s="961">
        <f>F42*E42</f>
        <v>5000</v>
      </c>
      <c r="H42" s="1209">
        <v>5000</v>
      </c>
      <c r="I42" s="960">
        <v>1</v>
      </c>
      <c r="J42" s="961">
        <f>H42*I42</f>
        <v>5000</v>
      </c>
      <c r="K42" s="966">
        <v>5000</v>
      </c>
      <c r="L42" s="960">
        <v>1</v>
      </c>
      <c r="M42" s="961">
        <f t="shared" si="3"/>
        <v>5000</v>
      </c>
      <c r="N42" s="966">
        <v>5000</v>
      </c>
      <c r="O42" s="960">
        <v>1</v>
      </c>
      <c r="P42" s="961">
        <f t="shared" si="4"/>
        <v>5000</v>
      </c>
      <c r="Q42" s="1209">
        <v>5000</v>
      </c>
      <c r="R42" s="960">
        <v>1</v>
      </c>
      <c r="S42" s="961">
        <f t="shared" si="5"/>
        <v>5000</v>
      </c>
      <c r="T42" s="1214">
        <v>5000</v>
      </c>
      <c r="U42" s="1195">
        <v>1</v>
      </c>
      <c r="V42" s="1215">
        <f t="shared" si="25"/>
        <v>5000</v>
      </c>
      <c r="W42" s="960">
        <v>5000</v>
      </c>
      <c r="X42" s="960">
        <v>1</v>
      </c>
      <c r="Y42" s="1216">
        <f t="shared" si="26"/>
        <v>5000</v>
      </c>
      <c r="Z42" s="960">
        <v>5000</v>
      </c>
      <c r="AA42" s="1208">
        <v>1</v>
      </c>
      <c r="AB42" s="963">
        <f t="shared" si="27"/>
        <v>5000</v>
      </c>
      <c r="AC42" s="965">
        <v>5000</v>
      </c>
      <c r="AD42" s="960">
        <v>1</v>
      </c>
      <c r="AE42" s="961">
        <f t="shared" si="28"/>
        <v>5000</v>
      </c>
      <c r="AF42" s="964">
        <v>5000</v>
      </c>
      <c r="AG42" s="960">
        <v>1</v>
      </c>
      <c r="AH42" s="954">
        <f t="shared" si="6"/>
        <v>5000</v>
      </c>
      <c r="AI42" s="966">
        <v>5000</v>
      </c>
      <c r="AJ42" s="1209">
        <v>1</v>
      </c>
      <c r="AK42" s="1210">
        <f t="shared" si="29"/>
        <v>5000</v>
      </c>
      <c r="AL42" s="1211">
        <v>5000</v>
      </c>
      <c r="AM42" s="1212">
        <v>1</v>
      </c>
      <c r="AN42" s="1210">
        <f t="shared" si="31"/>
        <v>5000</v>
      </c>
      <c r="AO42" s="1211">
        <v>5000</v>
      </c>
      <c r="AP42" s="1212">
        <v>1</v>
      </c>
      <c r="AQ42" s="1210">
        <f t="shared" si="32"/>
        <v>5000</v>
      </c>
      <c r="AR42" s="1211">
        <v>5000</v>
      </c>
      <c r="AS42" s="1212">
        <v>1</v>
      </c>
      <c r="AT42" s="1213">
        <f t="shared" si="30"/>
        <v>5000</v>
      </c>
      <c r="AU42" s="1067">
        <f t="shared" si="1"/>
        <v>14</v>
      </c>
      <c r="AV42" s="879">
        <f t="shared" si="1"/>
        <v>70000</v>
      </c>
      <c r="AW42" s="1076">
        <f t="shared" si="24"/>
        <v>7.347119047679024E-3</v>
      </c>
    </row>
    <row r="43" spans="1:50" ht="15.75" hidden="1" outlineLevel="1">
      <c r="A43" s="881" t="s">
        <v>731</v>
      </c>
      <c r="B43" s="967" t="s">
        <v>732</v>
      </c>
      <c r="C43" s="1217"/>
      <c r="D43" s="958" t="s">
        <v>161</v>
      </c>
      <c r="E43" s="964">
        <v>15000</v>
      </c>
      <c r="F43" s="960">
        <v>1</v>
      </c>
      <c r="G43" s="961">
        <f>F43*E43</f>
        <v>15000</v>
      </c>
      <c r="H43" s="964"/>
      <c r="I43" s="960" t="s">
        <v>733</v>
      </c>
      <c r="J43" s="961"/>
      <c r="K43" s="964">
        <v>15000</v>
      </c>
      <c r="L43" s="960">
        <v>1</v>
      </c>
      <c r="M43" s="961">
        <f t="shared" si="3"/>
        <v>15000</v>
      </c>
      <c r="N43" s="965">
        <v>15000</v>
      </c>
      <c r="O43" s="960">
        <v>1</v>
      </c>
      <c r="P43" s="961">
        <f t="shared" si="4"/>
        <v>15000</v>
      </c>
      <c r="Q43" s="964">
        <v>15000</v>
      </c>
      <c r="R43" s="960">
        <v>1</v>
      </c>
      <c r="S43" s="961">
        <f t="shared" si="5"/>
        <v>15000</v>
      </c>
      <c r="T43" s="1214">
        <v>0</v>
      </c>
      <c r="U43" s="1195"/>
      <c r="V43" s="1215">
        <f t="shared" si="25"/>
        <v>0</v>
      </c>
      <c r="W43" s="964">
        <v>15000</v>
      </c>
      <c r="X43" s="960">
        <v>1</v>
      </c>
      <c r="Y43" s="1216">
        <f t="shared" si="26"/>
        <v>15000</v>
      </c>
      <c r="Z43" s="964">
        <v>15000</v>
      </c>
      <c r="AA43" s="1208">
        <v>1</v>
      </c>
      <c r="AB43" s="963">
        <f t="shared" si="27"/>
        <v>15000</v>
      </c>
      <c r="AC43" s="964">
        <v>15000</v>
      </c>
      <c r="AD43" s="960">
        <v>1</v>
      </c>
      <c r="AE43" s="961">
        <f t="shared" si="28"/>
        <v>15000</v>
      </c>
      <c r="AF43" s="964">
        <v>15000</v>
      </c>
      <c r="AG43" s="960">
        <v>1</v>
      </c>
      <c r="AH43" s="954">
        <f t="shared" si="6"/>
        <v>15000</v>
      </c>
      <c r="AI43" s="964">
        <v>15000</v>
      </c>
      <c r="AJ43" s="1209">
        <v>1</v>
      </c>
      <c r="AK43" s="1210">
        <f t="shared" si="29"/>
        <v>15000</v>
      </c>
      <c r="AL43" s="964">
        <v>15000</v>
      </c>
      <c r="AM43" s="1212">
        <v>1</v>
      </c>
      <c r="AN43" s="1210">
        <f t="shared" si="31"/>
        <v>15000</v>
      </c>
      <c r="AO43" s="964">
        <v>15000</v>
      </c>
      <c r="AP43" s="1212">
        <v>1</v>
      </c>
      <c r="AQ43" s="1210">
        <f t="shared" si="32"/>
        <v>15000</v>
      </c>
      <c r="AR43" s="964">
        <v>15000</v>
      </c>
      <c r="AS43" s="1212">
        <v>1</v>
      </c>
      <c r="AT43" s="1213">
        <f t="shared" si="30"/>
        <v>15000</v>
      </c>
      <c r="AU43" s="1067">
        <f t="shared" si="1"/>
        <v>12</v>
      </c>
      <c r="AV43" s="879">
        <f t="shared" si="1"/>
        <v>180000</v>
      </c>
      <c r="AW43" s="1076">
        <f t="shared" si="24"/>
        <v>1.889259183688892E-2</v>
      </c>
    </row>
    <row r="44" spans="1:50" ht="15.75" hidden="1" outlineLevel="1">
      <c r="A44" s="881" t="s">
        <v>734</v>
      </c>
      <c r="B44" s="967" t="s">
        <v>735</v>
      </c>
      <c r="C44" s="1217"/>
      <c r="D44" s="958" t="s">
        <v>161</v>
      </c>
      <c r="E44" s="964"/>
      <c r="F44" s="960">
        <v>0</v>
      </c>
      <c r="G44" s="961">
        <f t="shared" si="2"/>
        <v>0</v>
      </c>
      <c r="H44" s="964"/>
      <c r="I44" s="960" t="s">
        <v>733</v>
      </c>
      <c r="J44" s="961"/>
      <c r="K44" s="964"/>
      <c r="L44" s="960"/>
      <c r="M44" s="961">
        <f t="shared" si="3"/>
        <v>0</v>
      </c>
      <c r="N44" s="965">
        <v>35000</v>
      </c>
      <c r="O44" s="960">
        <v>0</v>
      </c>
      <c r="P44" s="961">
        <f t="shared" si="4"/>
        <v>0</v>
      </c>
      <c r="Q44" s="964"/>
      <c r="R44" s="960"/>
      <c r="S44" s="961">
        <f t="shared" si="5"/>
        <v>0</v>
      </c>
      <c r="T44" s="1214"/>
      <c r="U44" s="1195"/>
      <c r="V44" s="1215">
        <f t="shared" si="25"/>
        <v>0</v>
      </c>
      <c r="W44" s="960"/>
      <c r="X44" s="960"/>
      <c r="Y44" s="1216">
        <f t="shared" si="26"/>
        <v>0</v>
      </c>
      <c r="Z44" s="960"/>
      <c r="AA44" s="1208"/>
      <c r="AB44" s="963">
        <f t="shared" si="27"/>
        <v>0</v>
      </c>
      <c r="AC44" s="965"/>
      <c r="AD44" s="960"/>
      <c r="AE44" s="961">
        <f t="shared" si="28"/>
        <v>0</v>
      </c>
      <c r="AF44" s="964"/>
      <c r="AG44" s="960"/>
      <c r="AH44" s="954">
        <f t="shared" si="6"/>
        <v>0</v>
      </c>
      <c r="AI44" s="966"/>
      <c r="AJ44" s="1209">
        <v>0</v>
      </c>
      <c r="AK44" s="1210">
        <f t="shared" si="29"/>
        <v>0</v>
      </c>
      <c r="AL44" s="966"/>
      <c r="AM44" s="1209"/>
      <c r="AN44" s="1218">
        <f t="shared" si="31"/>
        <v>0</v>
      </c>
      <c r="AO44" s="966">
        <v>35000</v>
      </c>
      <c r="AP44" s="1209">
        <v>0</v>
      </c>
      <c r="AQ44" s="1218">
        <f t="shared" si="32"/>
        <v>0</v>
      </c>
      <c r="AR44" s="966"/>
      <c r="AS44" s="1209"/>
      <c r="AT44" s="1219">
        <f t="shared" si="30"/>
        <v>0</v>
      </c>
      <c r="AU44" s="1067">
        <f t="shared" si="1"/>
        <v>0</v>
      </c>
      <c r="AV44" s="879">
        <f t="shared" si="1"/>
        <v>0</v>
      </c>
      <c r="AW44" s="1076">
        <f t="shared" si="24"/>
        <v>0</v>
      </c>
    </row>
    <row r="45" spans="1:50" ht="16.5" hidden="1" outlineLevel="1" thickBot="1">
      <c r="A45" s="938" t="s">
        <v>736</v>
      </c>
      <c r="B45" s="939" t="s">
        <v>172</v>
      </c>
      <c r="C45" s="1220"/>
      <c r="D45" s="969" t="s">
        <v>161</v>
      </c>
      <c r="E45" s="1221">
        <v>5000</v>
      </c>
      <c r="F45" s="1222">
        <v>0</v>
      </c>
      <c r="G45" s="1223">
        <f t="shared" si="2"/>
        <v>0</v>
      </c>
      <c r="H45" s="1224">
        <v>8000</v>
      </c>
      <c r="I45" s="1222">
        <v>0</v>
      </c>
      <c r="J45" s="1223">
        <f>H45*I45</f>
        <v>0</v>
      </c>
      <c r="K45" s="1225">
        <v>8000</v>
      </c>
      <c r="L45" s="971">
        <v>0</v>
      </c>
      <c r="M45" s="972">
        <f t="shared" si="3"/>
        <v>0</v>
      </c>
      <c r="N45" s="1226">
        <v>5000</v>
      </c>
      <c r="O45" s="1222">
        <v>1</v>
      </c>
      <c r="P45" s="1223">
        <f t="shared" si="4"/>
        <v>5000</v>
      </c>
      <c r="Q45" s="1225">
        <v>5000</v>
      </c>
      <c r="R45" s="971">
        <v>0</v>
      </c>
      <c r="S45" s="972">
        <f t="shared" si="5"/>
        <v>0</v>
      </c>
      <c r="T45" s="1227">
        <v>8000</v>
      </c>
      <c r="U45" s="1228">
        <v>0</v>
      </c>
      <c r="V45" s="1229">
        <f t="shared" si="25"/>
        <v>0</v>
      </c>
      <c r="W45" s="1225">
        <v>5000</v>
      </c>
      <c r="X45" s="971">
        <v>1</v>
      </c>
      <c r="Y45" s="976">
        <f t="shared" si="26"/>
        <v>5000</v>
      </c>
      <c r="Z45" s="1230">
        <v>8000</v>
      </c>
      <c r="AA45" s="1231">
        <v>1</v>
      </c>
      <c r="AB45" s="1232">
        <f t="shared" si="27"/>
        <v>8000</v>
      </c>
      <c r="AC45" s="1230">
        <v>8000</v>
      </c>
      <c r="AD45" s="1222">
        <v>0</v>
      </c>
      <c r="AE45" s="1223">
        <f t="shared" si="28"/>
        <v>0</v>
      </c>
      <c r="AF45" s="1225">
        <v>5000</v>
      </c>
      <c r="AG45" s="971">
        <v>0</v>
      </c>
      <c r="AH45" s="954">
        <f t="shared" si="6"/>
        <v>0</v>
      </c>
      <c r="AI45" s="1233">
        <v>5000</v>
      </c>
      <c r="AJ45" s="1234">
        <v>1</v>
      </c>
      <c r="AK45" s="1235">
        <f t="shared" si="29"/>
        <v>5000</v>
      </c>
      <c r="AL45" s="1236">
        <v>8000</v>
      </c>
      <c r="AM45" s="1237">
        <v>1</v>
      </c>
      <c r="AN45" s="1235">
        <f t="shared" si="31"/>
        <v>8000</v>
      </c>
      <c r="AO45" s="1236">
        <v>5000</v>
      </c>
      <c r="AP45" s="1237">
        <v>1</v>
      </c>
      <c r="AQ45" s="1235">
        <f t="shared" si="32"/>
        <v>5000</v>
      </c>
      <c r="AR45" s="1236">
        <v>5000</v>
      </c>
      <c r="AS45" s="1237">
        <v>0</v>
      </c>
      <c r="AT45" s="1238">
        <f>AR45*AS45</f>
        <v>0</v>
      </c>
      <c r="AU45" s="1083">
        <f t="shared" si="1"/>
        <v>6</v>
      </c>
      <c r="AV45" s="899">
        <f t="shared" si="1"/>
        <v>36000</v>
      </c>
      <c r="AW45" s="1154">
        <f t="shared" si="24"/>
        <v>3.7785183673777838E-3</v>
      </c>
    </row>
    <row r="46" spans="1:50" ht="24" customHeight="1" collapsed="1" thickBot="1">
      <c r="A46" s="977" t="s">
        <v>28</v>
      </c>
      <c r="B46" s="857" t="s">
        <v>167</v>
      </c>
      <c r="C46" s="1044"/>
      <c r="D46" s="851" t="s">
        <v>161</v>
      </c>
      <c r="E46" s="859">
        <v>21000</v>
      </c>
      <c r="F46" s="842">
        <v>1</v>
      </c>
      <c r="G46" s="860">
        <f>E46*F46</f>
        <v>21000</v>
      </c>
      <c r="H46" s="1025">
        <v>34000</v>
      </c>
      <c r="I46" s="842">
        <v>1</v>
      </c>
      <c r="J46" s="864">
        <f>H46*I46</f>
        <v>34000</v>
      </c>
      <c r="K46" s="841">
        <v>47000</v>
      </c>
      <c r="L46" s="842">
        <v>1</v>
      </c>
      <c r="M46" s="860">
        <f t="shared" si="3"/>
        <v>47000</v>
      </c>
      <c r="N46" s="1025">
        <v>42500</v>
      </c>
      <c r="O46" s="842">
        <v>1</v>
      </c>
      <c r="P46" s="864">
        <f t="shared" si="4"/>
        <v>42500</v>
      </c>
      <c r="Q46" s="841">
        <v>38000</v>
      </c>
      <c r="R46" s="842">
        <v>1</v>
      </c>
      <c r="S46" s="860">
        <f>Q46*R46</f>
        <v>38000</v>
      </c>
      <c r="T46" s="1239">
        <v>76500</v>
      </c>
      <c r="U46" s="1048">
        <v>1</v>
      </c>
      <c r="V46" s="1240">
        <f>T46*U46</f>
        <v>76500</v>
      </c>
      <c r="W46" s="841">
        <v>51000</v>
      </c>
      <c r="X46" s="842">
        <v>1</v>
      </c>
      <c r="Y46" s="1241">
        <f>W46*X46</f>
        <v>51000</v>
      </c>
      <c r="Z46" s="841">
        <v>42500</v>
      </c>
      <c r="AA46" s="1051">
        <v>1</v>
      </c>
      <c r="AB46" s="1242">
        <f>Z46*AA46</f>
        <v>42500</v>
      </c>
      <c r="AC46" s="841">
        <v>44000</v>
      </c>
      <c r="AD46" s="842">
        <v>1</v>
      </c>
      <c r="AE46" s="1241">
        <f>AC46*AD46</f>
        <v>44000</v>
      </c>
      <c r="AF46" s="1025">
        <v>38000</v>
      </c>
      <c r="AG46" s="842">
        <v>1</v>
      </c>
      <c r="AH46" s="860">
        <f t="shared" si="6"/>
        <v>38000</v>
      </c>
      <c r="AI46" s="1032">
        <v>59500</v>
      </c>
      <c r="AJ46" s="1033">
        <v>1</v>
      </c>
      <c r="AK46" s="1243">
        <f>AI46*AJ46</f>
        <v>59500</v>
      </c>
      <c r="AL46" s="1244">
        <v>47000</v>
      </c>
      <c r="AM46" s="1245">
        <v>1</v>
      </c>
      <c r="AN46" s="1243">
        <f>AL46*AM46</f>
        <v>47000</v>
      </c>
      <c r="AO46" s="1244">
        <v>42500</v>
      </c>
      <c r="AP46" s="1245">
        <v>1</v>
      </c>
      <c r="AQ46" s="1243">
        <f>AO46*AP46</f>
        <v>42500</v>
      </c>
      <c r="AR46" s="1244">
        <v>17000</v>
      </c>
      <c r="AS46" s="1245">
        <v>1</v>
      </c>
      <c r="AT46" s="1246">
        <f>AR46*AS46</f>
        <v>17000</v>
      </c>
      <c r="AU46" s="847">
        <f t="shared" si="1"/>
        <v>14</v>
      </c>
      <c r="AV46" s="848">
        <f t="shared" si="1"/>
        <v>600500</v>
      </c>
      <c r="AW46" s="946">
        <f t="shared" si="24"/>
        <v>6.3027785544732193E-2</v>
      </c>
    </row>
    <row r="47" spans="1:50" ht="18.75" thickBot="1">
      <c r="A47" s="856" t="s">
        <v>79</v>
      </c>
      <c r="B47" s="857" t="s">
        <v>166</v>
      </c>
      <c r="C47" s="1247"/>
      <c r="D47" s="984" t="s">
        <v>165</v>
      </c>
      <c r="E47" s="894">
        <v>12</v>
      </c>
      <c r="F47" s="842">
        <v>1000</v>
      </c>
      <c r="G47" s="860">
        <f t="shared" si="2"/>
        <v>12000</v>
      </c>
      <c r="H47" s="894">
        <v>12</v>
      </c>
      <c r="I47" s="842">
        <v>1000</v>
      </c>
      <c r="J47" s="864">
        <f>H47*I47</f>
        <v>12000</v>
      </c>
      <c r="K47" s="894">
        <v>22</v>
      </c>
      <c r="L47" s="842">
        <v>1600</v>
      </c>
      <c r="M47" s="860">
        <f t="shared" si="3"/>
        <v>35200</v>
      </c>
      <c r="N47" s="841">
        <v>12</v>
      </c>
      <c r="O47" s="842">
        <v>1000</v>
      </c>
      <c r="P47" s="860">
        <f t="shared" si="4"/>
        <v>12000</v>
      </c>
      <c r="Q47" s="894">
        <v>22</v>
      </c>
      <c r="R47" s="842">
        <v>1200</v>
      </c>
      <c r="S47" s="860">
        <f>Q47*R47</f>
        <v>26400</v>
      </c>
      <c r="T47" s="941">
        <v>12</v>
      </c>
      <c r="U47" s="1065">
        <v>1000</v>
      </c>
      <c r="V47" s="1058">
        <f>T47*U47</f>
        <v>12000</v>
      </c>
      <c r="W47" s="897">
        <v>12</v>
      </c>
      <c r="X47" s="842">
        <v>1000</v>
      </c>
      <c r="Y47" s="860">
        <f>W47*X47</f>
        <v>12000</v>
      </c>
      <c r="Z47" s="1094">
        <v>12</v>
      </c>
      <c r="AA47" s="1185">
        <v>1000</v>
      </c>
      <c r="AB47" s="943">
        <f>Z47*AA47</f>
        <v>12000</v>
      </c>
      <c r="AC47" s="1150">
        <v>14</v>
      </c>
      <c r="AD47" s="1151">
        <v>1485</v>
      </c>
      <c r="AE47" s="954">
        <f>AC47*AD47</f>
        <v>20790</v>
      </c>
      <c r="AF47" s="1025">
        <v>22</v>
      </c>
      <c r="AG47" s="842">
        <v>1300</v>
      </c>
      <c r="AH47" s="860">
        <f t="shared" si="6"/>
        <v>28600</v>
      </c>
      <c r="AI47" s="1244">
        <v>12</v>
      </c>
      <c r="AJ47" s="1245">
        <v>1000</v>
      </c>
      <c r="AK47" s="1243">
        <f>AI47*AJ47</f>
        <v>12000</v>
      </c>
      <c r="AL47" s="1032">
        <v>22</v>
      </c>
      <c r="AM47" s="1245">
        <v>1600</v>
      </c>
      <c r="AN47" s="1243">
        <f>AL47*AM47</f>
        <v>35200</v>
      </c>
      <c r="AO47" s="1245">
        <v>12</v>
      </c>
      <c r="AP47" s="1245">
        <v>1000</v>
      </c>
      <c r="AQ47" s="1243">
        <f>AO47*AP47</f>
        <v>12000</v>
      </c>
      <c r="AR47" s="1032">
        <v>22</v>
      </c>
      <c r="AS47" s="1245">
        <v>1200</v>
      </c>
      <c r="AT47" s="1246">
        <f>AR47*AS47</f>
        <v>26400</v>
      </c>
      <c r="AU47" s="1248">
        <f t="shared" si="1"/>
        <v>16385</v>
      </c>
      <c r="AV47" s="853">
        <f t="shared" si="1"/>
        <v>268590</v>
      </c>
      <c r="AW47" s="1249">
        <f t="shared" si="24"/>
        <v>2.8190895785944414E-2</v>
      </c>
    </row>
    <row r="48" spans="1:50" ht="21" customHeight="1" thickBot="1">
      <c r="A48" s="850" t="s">
        <v>159</v>
      </c>
      <c r="B48" s="839" t="s">
        <v>164</v>
      </c>
      <c r="C48" s="1024"/>
      <c r="D48" s="851"/>
      <c r="E48" s="859"/>
      <c r="F48" s="842"/>
      <c r="G48" s="843">
        <f>SUM(G50)</f>
        <v>23800</v>
      </c>
      <c r="H48" s="843">
        <f t="shared" ref="H48:AV48" si="33">SUM(H50)</f>
        <v>0</v>
      </c>
      <c r="I48" s="843">
        <f t="shared" si="33"/>
        <v>0</v>
      </c>
      <c r="J48" s="843">
        <f t="shared" si="33"/>
        <v>23800</v>
      </c>
      <c r="K48" s="843">
        <f t="shared" si="33"/>
        <v>0</v>
      </c>
      <c r="L48" s="843">
        <f t="shared" si="33"/>
        <v>0</v>
      </c>
      <c r="M48" s="843">
        <f t="shared" si="33"/>
        <v>34000</v>
      </c>
      <c r="N48" s="843">
        <f t="shared" si="33"/>
        <v>0</v>
      </c>
      <c r="O48" s="843">
        <f t="shared" si="33"/>
        <v>0</v>
      </c>
      <c r="P48" s="843">
        <f t="shared" si="33"/>
        <v>23800</v>
      </c>
      <c r="Q48" s="843">
        <f t="shared" si="33"/>
        <v>0</v>
      </c>
      <c r="R48" s="843">
        <f t="shared" si="33"/>
        <v>0</v>
      </c>
      <c r="S48" s="843">
        <f t="shared" si="33"/>
        <v>35800</v>
      </c>
      <c r="T48" s="843">
        <f t="shared" si="33"/>
        <v>0</v>
      </c>
      <c r="U48" s="843">
        <f t="shared" si="33"/>
        <v>0</v>
      </c>
      <c r="V48" s="843">
        <f t="shared" si="33"/>
        <v>38000</v>
      </c>
      <c r="W48" s="843">
        <f t="shared" si="33"/>
        <v>0</v>
      </c>
      <c r="X48" s="843">
        <f t="shared" si="33"/>
        <v>0</v>
      </c>
      <c r="Y48" s="843">
        <f t="shared" si="33"/>
        <v>35000</v>
      </c>
      <c r="Z48" s="843">
        <f t="shared" si="33"/>
        <v>0</v>
      </c>
      <c r="AA48" s="843">
        <f t="shared" si="33"/>
        <v>0</v>
      </c>
      <c r="AB48" s="843">
        <f t="shared" si="33"/>
        <v>23800</v>
      </c>
      <c r="AC48" s="843">
        <f t="shared" si="33"/>
        <v>0</v>
      </c>
      <c r="AD48" s="843">
        <f t="shared" si="33"/>
        <v>0</v>
      </c>
      <c r="AE48" s="843">
        <f t="shared" si="33"/>
        <v>44800</v>
      </c>
      <c r="AF48" s="843">
        <f t="shared" si="33"/>
        <v>0</v>
      </c>
      <c r="AG48" s="843">
        <f t="shared" si="33"/>
        <v>0</v>
      </c>
      <c r="AH48" s="843">
        <f t="shared" si="33"/>
        <v>39800</v>
      </c>
      <c r="AI48" s="843">
        <f t="shared" si="33"/>
        <v>0</v>
      </c>
      <c r="AJ48" s="843">
        <f t="shared" si="33"/>
        <v>0</v>
      </c>
      <c r="AK48" s="843">
        <f t="shared" si="33"/>
        <v>32000</v>
      </c>
      <c r="AL48" s="843">
        <f t="shared" si="33"/>
        <v>0</v>
      </c>
      <c r="AM48" s="843">
        <f t="shared" si="33"/>
        <v>0</v>
      </c>
      <c r="AN48" s="843">
        <f t="shared" si="33"/>
        <v>29600</v>
      </c>
      <c r="AO48" s="843">
        <f t="shared" si="33"/>
        <v>0</v>
      </c>
      <c r="AP48" s="843">
        <f t="shared" si="33"/>
        <v>0</v>
      </c>
      <c r="AQ48" s="843">
        <f t="shared" si="33"/>
        <v>27800</v>
      </c>
      <c r="AR48" s="843">
        <f t="shared" si="33"/>
        <v>0</v>
      </c>
      <c r="AS48" s="843">
        <f t="shared" si="33"/>
        <v>0</v>
      </c>
      <c r="AT48" s="843">
        <f t="shared" si="33"/>
        <v>27800</v>
      </c>
      <c r="AU48" s="843">
        <f t="shared" si="33"/>
        <v>0</v>
      </c>
      <c r="AV48" s="843">
        <f t="shared" si="33"/>
        <v>439800</v>
      </c>
      <c r="AW48" s="988">
        <f t="shared" si="24"/>
        <v>4.6160899388131928E-2</v>
      </c>
    </row>
    <row r="49" spans="1:50" ht="20.25" customHeight="1">
      <c r="A49" s="947" t="s">
        <v>33</v>
      </c>
    </row>
    <row r="50" spans="1:50" ht="18.75" thickBot="1">
      <c r="A50" s="989" t="s">
        <v>34</v>
      </c>
      <c r="B50" s="990" t="s">
        <v>862</v>
      </c>
      <c r="C50" s="1250"/>
      <c r="D50" s="914" t="s">
        <v>161</v>
      </c>
      <c r="E50" s="991"/>
      <c r="F50" s="895"/>
      <c r="G50" s="1251">
        <v>23800</v>
      </c>
      <c r="H50" s="1252"/>
      <c r="I50" s="942"/>
      <c r="J50" s="1253">
        <v>23800</v>
      </c>
      <c r="K50" s="1187"/>
      <c r="L50" s="942"/>
      <c r="M50" s="1186">
        <v>34000</v>
      </c>
      <c r="N50" s="1252"/>
      <c r="O50" s="942"/>
      <c r="P50" s="1253">
        <v>23800</v>
      </c>
      <c r="Q50" s="1254"/>
      <c r="R50" s="1151"/>
      <c r="S50" s="1125">
        <v>35800</v>
      </c>
      <c r="T50" s="1255"/>
      <c r="U50" s="1256"/>
      <c r="V50" s="1257">
        <v>38000</v>
      </c>
      <c r="W50" s="1252"/>
      <c r="X50" s="942"/>
      <c r="Y50" s="1253">
        <v>35000</v>
      </c>
      <c r="Z50" s="915"/>
      <c r="AA50" s="1118"/>
      <c r="AB50" s="1258">
        <v>23800</v>
      </c>
      <c r="AC50" s="1187"/>
      <c r="AD50" s="942"/>
      <c r="AE50" s="1186">
        <v>44800</v>
      </c>
      <c r="AF50" s="1252"/>
      <c r="AG50" s="942"/>
      <c r="AH50" s="1186">
        <v>39800</v>
      </c>
      <c r="AI50" s="1079"/>
      <c r="AJ50" s="1080"/>
      <c r="AK50" s="1259">
        <v>32000</v>
      </c>
      <c r="AL50" s="1079"/>
      <c r="AM50" s="1080"/>
      <c r="AN50" s="1259">
        <v>29600</v>
      </c>
      <c r="AO50" s="1080"/>
      <c r="AP50" s="1080"/>
      <c r="AQ50" s="1260">
        <v>27800</v>
      </c>
      <c r="AR50" s="1079"/>
      <c r="AS50" s="1080"/>
      <c r="AT50" s="1260">
        <v>27800</v>
      </c>
      <c r="AU50" s="1261">
        <f t="shared" si="1"/>
        <v>0</v>
      </c>
      <c r="AV50" s="1262">
        <f>SUM(G50,J50,M50,P50,S50,V50,Y50,AB50,AE50,AH50,AK50,AN50,AQ50,AT50)</f>
        <v>439800</v>
      </c>
      <c r="AW50" s="1263">
        <f t="shared" si="24"/>
        <v>4.6160899388131928E-2</v>
      </c>
    </row>
    <row r="51" spans="1:50" ht="18.75" thickBot="1">
      <c r="A51" s="1000"/>
      <c r="B51" s="1001" t="s">
        <v>160</v>
      </c>
      <c r="C51" s="1264"/>
      <c r="D51" s="1002"/>
      <c r="E51" s="859"/>
      <c r="F51" s="842"/>
      <c r="G51" s="852">
        <f>SUM(G48,G6,G5,)</f>
        <v>583530</v>
      </c>
      <c r="H51" s="1003"/>
      <c r="I51" s="1004"/>
      <c r="J51" s="843">
        <f>SUM(J48,J6,J5,)</f>
        <v>605074</v>
      </c>
      <c r="K51" s="1265"/>
      <c r="L51" s="1004"/>
      <c r="M51" s="843">
        <f>SUM(M48,M6,M5,)</f>
        <v>726938</v>
      </c>
      <c r="N51" s="1265"/>
      <c r="O51" s="1004"/>
      <c r="P51" s="843">
        <f>SUM(P48,P6,P5,)</f>
        <v>561226</v>
      </c>
      <c r="Q51" s="1265"/>
      <c r="R51" s="1004"/>
      <c r="S51" s="843">
        <f>SUM(S48,S6,S5,)</f>
        <v>787314</v>
      </c>
      <c r="T51" s="1003"/>
      <c r="U51" s="1004"/>
      <c r="V51" s="843">
        <f>SUM(V48,V6,V5,)</f>
        <v>728362</v>
      </c>
      <c r="W51" s="1003"/>
      <c r="X51" s="1004"/>
      <c r="Y51" s="843">
        <f>SUM(Y48,Y6,Y5,)</f>
        <v>701196</v>
      </c>
      <c r="Z51" s="1265"/>
      <c r="AA51" s="1004"/>
      <c r="AB51" s="843">
        <f>SUM(AB48,AB6,AB5,)</f>
        <v>585074</v>
      </c>
      <c r="AC51" s="1265"/>
      <c r="AD51" s="1004"/>
      <c r="AE51" s="843">
        <f>SUM(AE48,AE6,AE5,)</f>
        <v>961506</v>
      </c>
      <c r="AF51" s="1265"/>
      <c r="AG51" s="1004"/>
      <c r="AH51" s="852">
        <f>SUM(AH48,AH6,AH5,)</f>
        <v>829168</v>
      </c>
      <c r="AI51" s="1033"/>
      <c r="AJ51" s="1033"/>
      <c r="AK51" s="1266">
        <f>SUM(AK48,AK6,AK5)</f>
        <v>677560</v>
      </c>
      <c r="AL51" s="1267"/>
      <c r="AM51" s="1268"/>
      <c r="AN51" s="1040">
        <f>SUM(AN48,AN6,AN5)</f>
        <v>622360</v>
      </c>
      <c r="AO51" s="1267"/>
      <c r="AP51" s="1268"/>
      <c r="AQ51" s="1040">
        <f>SUM(AQ48,AQ6,AQ5)</f>
        <v>574612</v>
      </c>
      <c r="AR51" s="1267"/>
      <c r="AS51" s="1268"/>
      <c r="AT51" s="1040">
        <f>SUM(AT48,AT6,AT5)</f>
        <v>583624</v>
      </c>
      <c r="AU51" s="847">
        <f t="shared" si="1"/>
        <v>0</v>
      </c>
      <c r="AV51" s="848">
        <f>SUM(G51,J51,M51,P51,S51,V51,Y51,AB51,AE51,AH51,AK51,AN51,AQ51,AT51)</f>
        <v>9527544</v>
      </c>
      <c r="AW51" s="1005">
        <f t="shared" si="24"/>
        <v>1</v>
      </c>
      <c r="AX51" s="855" t="b">
        <f>AV5+AV6+AV48=AV51</f>
        <v>1</v>
      </c>
    </row>
    <row r="52" spans="1:50">
      <c r="A52" s="1006"/>
      <c r="B52" s="1006"/>
      <c r="C52" s="1006"/>
      <c r="D52" s="1006"/>
      <c r="E52" s="1007" t="s">
        <v>868</v>
      </c>
      <c r="F52" s="1007"/>
      <c r="G52" s="1006"/>
      <c r="H52" s="1007"/>
      <c r="I52" s="1007" t="s">
        <v>868</v>
      </c>
      <c r="J52" s="1006"/>
      <c r="K52" s="1007"/>
      <c r="L52" s="1007" t="s">
        <v>868</v>
      </c>
      <c r="M52" s="1006"/>
      <c r="N52" s="1007"/>
      <c r="O52" s="1007" t="s">
        <v>868</v>
      </c>
      <c r="P52" s="1006"/>
      <c r="Q52" s="1007"/>
      <c r="R52" s="1007" t="s">
        <v>868</v>
      </c>
      <c r="S52" s="1006"/>
      <c r="T52" s="1007"/>
      <c r="U52" s="1007" t="s">
        <v>868</v>
      </c>
      <c r="V52" s="1006"/>
      <c r="W52" s="1007"/>
      <c r="X52" s="1007" t="s">
        <v>868</v>
      </c>
      <c r="Y52" s="1006"/>
      <c r="Z52" s="1007"/>
      <c r="AA52" s="1007" t="s">
        <v>868</v>
      </c>
      <c r="AB52" s="1006"/>
      <c r="AC52" s="1007"/>
      <c r="AD52" s="1007"/>
      <c r="AE52" s="1006"/>
      <c r="AF52" s="1007"/>
      <c r="AG52" s="1007"/>
      <c r="AH52" s="1006"/>
      <c r="AI52" s="1006"/>
      <c r="AJ52" s="1006"/>
      <c r="AK52" s="1006"/>
      <c r="AL52" s="1006"/>
      <c r="AM52" s="1006"/>
      <c r="AN52" s="1006"/>
      <c r="AO52" s="1006"/>
      <c r="AP52" s="1006"/>
      <c r="AQ52" s="1006"/>
      <c r="AR52" s="1006"/>
      <c r="AS52" s="1006"/>
      <c r="AT52" s="1006"/>
      <c r="AV52" s="855"/>
      <c r="AW52" s="1008"/>
      <c r="AX52" s="1009"/>
    </row>
    <row r="53" spans="1:50" ht="15.75" thickBot="1">
      <c r="Z53" s="1269"/>
      <c r="AV53" s="855"/>
    </row>
    <row r="54" spans="1:50" s="1278" customFormat="1" ht="32.25" thickBot="1">
      <c r="A54" s="1270"/>
      <c r="B54" s="839" t="s">
        <v>163</v>
      </c>
      <c r="C54" s="1024"/>
      <c r="D54" s="851" t="s">
        <v>161</v>
      </c>
      <c r="E54" s="859"/>
      <c r="F54" s="842"/>
      <c r="G54" s="860">
        <v>15600</v>
      </c>
      <c r="H54" s="1025"/>
      <c r="I54" s="842"/>
      <c r="J54" s="864">
        <v>15600</v>
      </c>
      <c r="K54" s="841"/>
      <c r="L54" s="842"/>
      <c r="M54" s="860">
        <v>20800</v>
      </c>
      <c r="N54" s="1025"/>
      <c r="O54" s="842"/>
      <c r="P54" s="864">
        <v>13600</v>
      </c>
      <c r="Q54" s="841"/>
      <c r="R54" s="842"/>
      <c r="S54" s="860">
        <v>23600</v>
      </c>
      <c r="T54" s="1271"/>
      <c r="U54" s="1272"/>
      <c r="V54" s="1273">
        <v>22800</v>
      </c>
      <c r="W54" s="1025"/>
      <c r="X54" s="842"/>
      <c r="Y54" s="864">
        <v>20800</v>
      </c>
      <c r="Z54" s="841"/>
      <c r="AA54" s="1051"/>
      <c r="AB54" s="860">
        <v>15600</v>
      </c>
      <c r="AC54" s="841"/>
      <c r="AD54" s="842"/>
      <c r="AE54" s="860">
        <v>26800</v>
      </c>
      <c r="AF54" s="1274"/>
      <c r="AG54" s="982"/>
      <c r="AH54" s="860">
        <v>23600</v>
      </c>
      <c r="AI54" s="1032"/>
      <c r="AJ54" s="1033"/>
      <c r="AK54" s="1275">
        <v>18800</v>
      </c>
      <c r="AL54" s="1244"/>
      <c r="AM54" s="1245"/>
      <c r="AN54" s="1275">
        <v>18600</v>
      </c>
      <c r="AO54" s="1276"/>
      <c r="AP54" s="1245"/>
      <c r="AQ54" s="1052">
        <v>17600</v>
      </c>
      <c r="AR54" s="1244"/>
      <c r="AS54" s="1245"/>
      <c r="AT54" s="1052">
        <v>17600</v>
      </c>
      <c r="AU54" s="1277">
        <f>SUM(F54,I54,L54,O54,R54,U54,X54,AA54,AD54,AG54,AJ54,AM54,AP54,AS54)</f>
        <v>0</v>
      </c>
      <c r="AV54" s="848">
        <f>SUM(G54,J54,M54,P54,S54,V54,Y54,AB54,AE54,AH54,AK54,AN54,AQ54,AT54)</f>
        <v>271400</v>
      </c>
      <c r="AW54" s="946">
        <f>AV54/$AV$51</f>
        <v>2.8485830136286958E-2</v>
      </c>
    </row>
    <row r="55" spans="1:50">
      <c r="G55" s="1279"/>
    </row>
  </sheetData>
  <mergeCells count="17">
    <mergeCell ref="AI3:AK3"/>
    <mergeCell ref="AL3:AN3"/>
    <mergeCell ref="AO3:AQ3"/>
    <mergeCell ref="AR3:AT3"/>
    <mergeCell ref="AU3:AW3"/>
    <mergeCell ref="AF3:AH3"/>
    <mergeCell ref="A3:A4"/>
    <mergeCell ref="B3:B4"/>
    <mergeCell ref="E3:G3"/>
    <mergeCell ref="H3:J3"/>
    <mergeCell ref="K3:M3"/>
    <mergeCell ref="N3:P3"/>
    <mergeCell ref="Q3:S3"/>
    <mergeCell ref="T3:V3"/>
    <mergeCell ref="W3:Y3"/>
    <mergeCell ref="Z3:AB3"/>
    <mergeCell ref="AC3:AE3"/>
  </mergeCells>
  <pageMargins left="0.88" right="0.11811023622047245" top="0.19685039370078741" bottom="0.15748031496062992" header="0.31496062992125984" footer="0.31496062992125984"/>
  <pageSetup paperSize="9" scale="45" fitToWidth="3" pageOrder="overThenDown" orientation="landscape" r:id="rId1"/>
  <colBreaks count="2" manualBreakCount="2">
    <brk id="19" max="58" man="1"/>
    <brk id="40" max="52" man="1"/>
  </colBreak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dimension ref="A1:BG27"/>
  <sheetViews>
    <sheetView zoomScaleNormal="100" workbookViewId="0">
      <pane xSplit="3" ySplit="4" topLeftCell="BB5" activePane="bottomRight" state="frozen"/>
      <selection activeCell="P7" sqref="P7"/>
      <selection pane="topRight" activeCell="P7" sqref="P7"/>
      <selection pane="bottomLeft" activeCell="P7" sqref="P7"/>
      <selection pane="bottomRight" activeCell="B10" sqref="B10"/>
    </sheetView>
  </sheetViews>
  <sheetFormatPr defaultColWidth="12.42578125" defaultRowHeight="15" outlineLevelRow="1" outlineLevelCol="1"/>
  <cols>
    <col min="1" max="1" width="7.42578125" style="826" customWidth="1"/>
    <col min="2" max="2" width="41.42578125" style="826" customWidth="1"/>
    <col min="3" max="3" width="11.28515625" style="826" bestFit="1" customWidth="1"/>
    <col min="4" max="4" width="9.42578125" style="827" customWidth="1" outlineLevel="1"/>
    <col min="5" max="5" width="8.42578125" style="827" customWidth="1" outlineLevel="1"/>
    <col min="6" max="6" width="19" style="826" customWidth="1"/>
    <col min="7" max="7" width="9.42578125" style="827" customWidth="1" outlineLevel="1"/>
    <col min="8" max="8" width="8.42578125" style="827" customWidth="1" outlineLevel="1"/>
    <col min="9" max="9" width="26.7109375" style="826" customWidth="1"/>
    <col min="10" max="10" width="9.42578125" style="827" customWidth="1" outlineLevel="1"/>
    <col min="11" max="11" width="8.42578125" style="827" customWidth="1" outlineLevel="1"/>
    <col min="12" max="12" width="19" style="826" customWidth="1"/>
    <col min="13" max="13" width="9.42578125" style="827" customWidth="1" outlineLevel="1"/>
    <col min="14" max="14" width="8.42578125" style="827" customWidth="1" outlineLevel="1"/>
    <col min="15" max="15" width="19" style="826" customWidth="1"/>
    <col min="16" max="16" width="9.42578125" style="827" customWidth="1" outlineLevel="1"/>
    <col min="17" max="17" width="8.42578125" style="827" customWidth="1" outlineLevel="1"/>
    <col min="18" max="18" width="19" style="826" customWidth="1"/>
    <col min="19" max="19" width="9.42578125" style="827" customWidth="1" outlineLevel="1"/>
    <col min="20" max="20" width="8.42578125" style="827" customWidth="1" outlineLevel="1"/>
    <col min="21" max="21" width="19.42578125" style="826" customWidth="1"/>
    <col min="22" max="22" width="9.42578125" style="827" customWidth="1" outlineLevel="1"/>
    <col min="23" max="23" width="8.42578125" style="827" customWidth="1" outlineLevel="1"/>
    <col min="24" max="24" width="19" style="826" customWidth="1"/>
    <col min="25" max="25" width="9.42578125" style="827" customWidth="1" outlineLevel="1"/>
    <col min="26" max="26" width="8.42578125" style="827" customWidth="1" outlineLevel="1"/>
    <col min="27" max="27" width="19" style="826" customWidth="1"/>
    <col min="28" max="28" width="11.7109375" style="827" customWidth="1"/>
    <col min="29" max="29" width="9.42578125" style="827" customWidth="1"/>
    <col min="30" max="30" width="19" style="826" customWidth="1"/>
    <col min="31" max="31" width="9.42578125" style="827" customWidth="1" outlineLevel="1"/>
    <col min="32" max="32" width="8.42578125" style="827" customWidth="1" outlineLevel="1"/>
    <col min="33" max="33" width="19" style="826" customWidth="1"/>
    <col min="34" max="34" width="9.42578125" style="827" customWidth="1" outlineLevel="1"/>
    <col min="35" max="35" width="8.42578125" style="827" customWidth="1" outlineLevel="1"/>
    <col min="36" max="36" width="19" style="826" customWidth="1"/>
    <col min="37" max="37" width="9.42578125" style="827" customWidth="1" outlineLevel="1"/>
    <col min="38" max="38" width="8.42578125" style="827" customWidth="1" outlineLevel="1"/>
    <col min="39" max="39" width="21.85546875" style="826" customWidth="1"/>
    <col min="40" max="40" width="9.42578125" style="827" customWidth="1" outlineLevel="1"/>
    <col min="41" max="41" width="8.42578125" style="827" customWidth="1" outlineLevel="1"/>
    <col min="42" max="42" width="19" style="826" customWidth="1"/>
    <col min="43" max="43" width="11.28515625" style="826" customWidth="1"/>
    <col min="44" max="44" width="9.85546875" style="826" customWidth="1"/>
    <col min="45" max="45" width="17" style="826" customWidth="1"/>
    <col min="46" max="46" width="15.7109375" style="826" customWidth="1"/>
    <col min="47" max="47" width="8.85546875" style="826" customWidth="1"/>
    <col min="48" max="48" width="17.85546875" style="826" customWidth="1"/>
    <col min="49" max="49" width="13.140625" style="826" customWidth="1"/>
    <col min="50" max="50" width="9.85546875" style="826" customWidth="1"/>
    <col min="51" max="51" width="17" style="826" customWidth="1"/>
    <col min="52" max="52" width="11" style="826" customWidth="1"/>
    <col min="53" max="53" width="10.28515625" style="826" customWidth="1"/>
    <col min="54" max="54" width="18.140625" style="826" customWidth="1"/>
    <col min="55" max="55" width="16.7109375" style="826" customWidth="1"/>
    <col min="56" max="56" width="21.7109375" style="826" customWidth="1"/>
    <col min="57" max="57" width="12.42578125" style="826"/>
    <col min="58" max="58" width="13.28515625" style="826" bestFit="1" customWidth="1"/>
    <col min="59" max="59" width="14.28515625" style="1280" bestFit="1" customWidth="1"/>
    <col min="60" max="16384" width="12.42578125" style="826"/>
  </cols>
  <sheetData>
    <row r="1" spans="1:59" ht="21" customHeight="1">
      <c r="A1" s="825" t="s">
        <v>847</v>
      </c>
      <c r="B1" s="825"/>
    </row>
    <row r="2" spans="1:59" ht="15.75" thickBot="1"/>
    <row r="3" spans="1:59" ht="15.75">
      <c r="A3" s="2372" t="s">
        <v>255</v>
      </c>
      <c r="B3" s="2374" t="s">
        <v>254</v>
      </c>
      <c r="C3" s="828"/>
      <c r="D3" s="2370" t="s">
        <v>253</v>
      </c>
      <c r="E3" s="2370"/>
      <c r="F3" s="2371"/>
      <c r="G3" s="2379" t="s">
        <v>252</v>
      </c>
      <c r="H3" s="2377"/>
      <c r="I3" s="2378"/>
      <c r="J3" s="2369" t="s">
        <v>251</v>
      </c>
      <c r="K3" s="2370"/>
      <c r="L3" s="2371"/>
      <c r="M3" s="2380" t="s">
        <v>250</v>
      </c>
      <c r="N3" s="2381"/>
      <c r="O3" s="2376"/>
      <c r="P3" s="2369" t="s">
        <v>249</v>
      </c>
      <c r="Q3" s="2381"/>
      <c r="R3" s="2371"/>
      <c r="S3" s="2379" t="s">
        <v>248</v>
      </c>
      <c r="T3" s="2377"/>
      <c r="U3" s="2378"/>
      <c r="V3" s="2379" t="s">
        <v>247</v>
      </c>
      <c r="W3" s="2377"/>
      <c r="X3" s="2378"/>
      <c r="Y3" s="2379" t="s">
        <v>245</v>
      </c>
      <c r="Z3" s="2377"/>
      <c r="AA3" s="2378"/>
      <c r="AB3" s="2379" t="s">
        <v>863</v>
      </c>
      <c r="AC3" s="2377"/>
      <c r="AD3" s="2378"/>
      <c r="AE3" s="2379" t="s">
        <v>243</v>
      </c>
      <c r="AF3" s="2377"/>
      <c r="AG3" s="2380"/>
      <c r="AH3" s="2376" t="s">
        <v>242</v>
      </c>
      <c r="AI3" s="2377"/>
      <c r="AJ3" s="2378"/>
      <c r="AK3" s="2379" t="s">
        <v>241</v>
      </c>
      <c r="AL3" s="2377"/>
      <c r="AM3" s="2378"/>
      <c r="AN3" s="2379" t="s">
        <v>848</v>
      </c>
      <c r="AO3" s="2377"/>
      <c r="AP3" s="2378"/>
      <c r="AQ3" s="2382" t="s">
        <v>864</v>
      </c>
      <c r="AR3" s="2383"/>
      <c r="AS3" s="2384"/>
      <c r="AT3" s="2385" t="s">
        <v>865</v>
      </c>
      <c r="AU3" s="2383"/>
      <c r="AV3" s="2384"/>
      <c r="AW3" s="2385" t="s">
        <v>246</v>
      </c>
      <c r="AX3" s="2383"/>
      <c r="AY3" s="2386"/>
      <c r="AZ3" s="2382" t="s">
        <v>866</v>
      </c>
      <c r="BA3" s="2383"/>
      <c r="BB3" s="2386"/>
      <c r="BC3" s="2369" t="s">
        <v>160</v>
      </c>
      <c r="BD3" s="2370"/>
      <c r="BE3" s="2371"/>
      <c r="BG3" s="1281" t="s">
        <v>869</v>
      </c>
    </row>
    <row r="4" spans="1:59" s="837" customFormat="1" ht="36.75" customHeight="1" thickBot="1">
      <c r="A4" s="2373"/>
      <c r="B4" s="2375"/>
      <c r="C4" s="829" t="s">
        <v>237</v>
      </c>
      <c r="D4" s="830" t="s">
        <v>236</v>
      </c>
      <c r="E4" s="831" t="s">
        <v>235</v>
      </c>
      <c r="F4" s="832" t="s">
        <v>0</v>
      </c>
      <c r="G4" s="830" t="s">
        <v>236</v>
      </c>
      <c r="H4" s="831" t="s">
        <v>235</v>
      </c>
      <c r="I4" s="832" t="s">
        <v>0</v>
      </c>
      <c r="J4" s="830" t="s">
        <v>236</v>
      </c>
      <c r="K4" s="831" t="s">
        <v>235</v>
      </c>
      <c r="L4" s="832" t="s">
        <v>0</v>
      </c>
      <c r="M4" s="830" t="s">
        <v>236</v>
      </c>
      <c r="N4" s="831" t="s">
        <v>235</v>
      </c>
      <c r="O4" s="1016" t="s">
        <v>0</v>
      </c>
      <c r="P4" s="833" t="s">
        <v>236</v>
      </c>
      <c r="Q4" s="831" t="s">
        <v>235</v>
      </c>
      <c r="R4" s="832" t="s">
        <v>0</v>
      </c>
      <c r="S4" s="833" t="s">
        <v>236</v>
      </c>
      <c r="T4" s="831" t="s">
        <v>235</v>
      </c>
      <c r="U4" s="832" t="s">
        <v>0</v>
      </c>
      <c r="V4" s="830" t="s">
        <v>236</v>
      </c>
      <c r="W4" s="831" t="s">
        <v>235</v>
      </c>
      <c r="X4" s="832" t="s">
        <v>0</v>
      </c>
      <c r="Y4" s="830" t="s">
        <v>236</v>
      </c>
      <c r="Z4" s="831" t="s">
        <v>235</v>
      </c>
      <c r="AA4" s="832" t="s">
        <v>0</v>
      </c>
      <c r="AB4" s="830" t="s">
        <v>236</v>
      </c>
      <c r="AC4" s="831" t="s">
        <v>235</v>
      </c>
      <c r="AD4" s="832" t="s">
        <v>0</v>
      </c>
      <c r="AE4" s="830" t="s">
        <v>236</v>
      </c>
      <c r="AF4" s="831" t="s">
        <v>235</v>
      </c>
      <c r="AG4" s="832" t="s">
        <v>0</v>
      </c>
      <c r="AH4" s="830" t="s">
        <v>236</v>
      </c>
      <c r="AI4" s="831" t="s">
        <v>235</v>
      </c>
      <c r="AJ4" s="832" t="s">
        <v>0</v>
      </c>
      <c r="AK4" s="830" t="s">
        <v>236</v>
      </c>
      <c r="AL4" s="831" t="s">
        <v>235</v>
      </c>
      <c r="AM4" s="832" t="s">
        <v>0</v>
      </c>
      <c r="AN4" s="833" t="s">
        <v>236</v>
      </c>
      <c r="AO4" s="831" t="s">
        <v>235</v>
      </c>
      <c r="AP4" s="832" t="s">
        <v>0</v>
      </c>
      <c r="AQ4" s="1020" t="s">
        <v>236</v>
      </c>
      <c r="AR4" s="1021" t="s">
        <v>235</v>
      </c>
      <c r="AS4" s="1022" t="s">
        <v>0</v>
      </c>
      <c r="AT4" s="1020" t="s">
        <v>236</v>
      </c>
      <c r="AU4" s="1021" t="s">
        <v>235</v>
      </c>
      <c r="AV4" s="1022" t="s">
        <v>0</v>
      </c>
      <c r="AW4" s="1020" t="s">
        <v>236</v>
      </c>
      <c r="AX4" s="1021" t="s">
        <v>235</v>
      </c>
      <c r="AY4" s="1020" t="s">
        <v>0</v>
      </c>
      <c r="AZ4" s="1023" t="s">
        <v>236</v>
      </c>
      <c r="BA4" s="1021" t="s">
        <v>235</v>
      </c>
      <c r="BB4" s="1022" t="s">
        <v>0</v>
      </c>
      <c r="BC4" s="834" t="s">
        <v>234</v>
      </c>
      <c r="BD4" s="835" t="s">
        <v>0</v>
      </c>
      <c r="BE4" s="836" t="s">
        <v>15</v>
      </c>
      <c r="BG4" s="1282"/>
    </row>
    <row r="5" spans="1:59" ht="32.25" thickBot="1">
      <c r="A5" s="838" t="s">
        <v>233</v>
      </c>
      <c r="B5" s="839" t="s">
        <v>232</v>
      </c>
      <c r="C5" s="840" t="s">
        <v>161</v>
      </c>
      <c r="D5" s="859"/>
      <c r="E5" s="842"/>
      <c r="F5" s="843">
        <v>4200</v>
      </c>
      <c r="G5" s="1025"/>
      <c r="H5" s="842"/>
      <c r="I5" s="852">
        <v>4200</v>
      </c>
      <c r="J5" s="841"/>
      <c r="K5" s="842"/>
      <c r="L5" s="843">
        <v>4000</v>
      </c>
      <c r="M5" s="1025"/>
      <c r="N5" s="842"/>
      <c r="O5" s="852">
        <v>4200</v>
      </c>
      <c r="P5" s="841"/>
      <c r="Q5" s="842"/>
      <c r="R5" s="843">
        <v>4200</v>
      </c>
      <c r="S5" s="1026"/>
      <c r="T5" s="1027"/>
      <c r="U5" s="1028">
        <v>4000</v>
      </c>
      <c r="V5" s="1025"/>
      <c r="W5" s="842"/>
      <c r="X5" s="852">
        <v>4000</v>
      </c>
      <c r="Y5" s="1029"/>
      <c r="Z5" s="1030"/>
      <c r="AA5" s="1031">
        <v>4200</v>
      </c>
      <c r="AB5" s="841"/>
      <c r="AC5" s="842"/>
      <c r="AD5" s="843">
        <v>4200</v>
      </c>
      <c r="AE5" s="1025"/>
      <c r="AF5" s="842"/>
      <c r="AG5" s="843">
        <v>4200</v>
      </c>
      <c r="AH5" s="841"/>
      <c r="AI5" s="842"/>
      <c r="AJ5" s="843">
        <v>4200</v>
      </c>
      <c r="AK5" s="844"/>
      <c r="AL5" s="845"/>
      <c r="AM5" s="846">
        <v>4000</v>
      </c>
      <c r="AN5" s="841"/>
      <c r="AO5" s="842"/>
      <c r="AP5" s="843">
        <v>4000</v>
      </c>
      <c r="AQ5" s="1032"/>
      <c r="AR5" s="1033"/>
      <c r="AS5" s="1034">
        <v>4000</v>
      </c>
      <c r="AT5" s="1035"/>
      <c r="AU5" s="1036"/>
      <c r="AV5" s="1037">
        <v>4200</v>
      </c>
      <c r="AW5" s="1038"/>
      <c r="AX5" s="1036"/>
      <c r="AY5" s="1039">
        <v>4200</v>
      </c>
      <c r="AZ5" s="1035"/>
      <c r="BA5" s="1036"/>
      <c r="BB5" s="1039">
        <v>4200</v>
      </c>
      <c r="BC5" s="847">
        <f>SUM(E5,H5,K5,N5,Q5,T5,W5,Z5,AC5,AF5,AI5,AL5,AO5,AR5,AU5,AX5,BA5)</f>
        <v>0</v>
      </c>
      <c r="BD5" s="848">
        <f>SUM(F5,I5,L5,O5,R5,U5,X5,AA5,AD5,AG5,AJ5,AM5,AP5,AS5,AV5,AY5,BB5)</f>
        <v>70200</v>
      </c>
      <c r="BE5" s="849">
        <f t="shared" ref="BE5:BE16" si="0">BD5/$BD$16</f>
        <v>4.5372402720792973E-2</v>
      </c>
      <c r="BG5" s="1283">
        <f>'INVEST 1'!N5+'INVEST 2'!AV5+'INVEST 3'!BD5</f>
        <v>590100</v>
      </c>
    </row>
    <row r="6" spans="1:59" ht="32.25" thickBot="1">
      <c r="A6" s="850" t="s">
        <v>231</v>
      </c>
      <c r="B6" s="839" t="s">
        <v>230</v>
      </c>
      <c r="C6" s="851"/>
      <c r="D6" s="859"/>
      <c r="E6" s="842"/>
      <c r="F6" s="843">
        <f t="shared" ref="F6:BB6" si="1">SUM(,F7,F10,)</f>
        <v>84540</v>
      </c>
      <c r="G6" s="843">
        <f t="shared" si="1"/>
        <v>0</v>
      </c>
      <c r="H6" s="843">
        <f t="shared" si="1"/>
        <v>0</v>
      </c>
      <c r="I6" s="843">
        <f t="shared" si="1"/>
        <v>84540</v>
      </c>
      <c r="J6" s="843">
        <f t="shared" si="1"/>
        <v>0</v>
      </c>
      <c r="K6" s="843">
        <f t="shared" si="1"/>
        <v>0</v>
      </c>
      <c r="L6" s="843">
        <f t="shared" si="1"/>
        <v>79476</v>
      </c>
      <c r="M6" s="843">
        <f t="shared" si="1"/>
        <v>0</v>
      </c>
      <c r="N6" s="843">
        <f t="shared" si="1"/>
        <v>0</v>
      </c>
      <c r="O6" s="843">
        <f t="shared" si="1"/>
        <v>84540</v>
      </c>
      <c r="P6" s="843">
        <f t="shared" si="1"/>
        <v>0</v>
      </c>
      <c r="Q6" s="843">
        <f t="shared" si="1"/>
        <v>0</v>
      </c>
      <c r="R6" s="843">
        <f t="shared" si="1"/>
        <v>84540</v>
      </c>
      <c r="S6" s="843">
        <f t="shared" si="1"/>
        <v>0</v>
      </c>
      <c r="T6" s="843">
        <f t="shared" si="1"/>
        <v>0</v>
      </c>
      <c r="U6" s="843">
        <f t="shared" si="1"/>
        <v>79476</v>
      </c>
      <c r="V6" s="843">
        <f t="shared" si="1"/>
        <v>0</v>
      </c>
      <c r="W6" s="843">
        <f t="shared" si="1"/>
        <v>0</v>
      </c>
      <c r="X6" s="843">
        <f t="shared" si="1"/>
        <v>79476</v>
      </c>
      <c r="Y6" s="843">
        <f t="shared" si="1"/>
        <v>0</v>
      </c>
      <c r="Z6" s="843">
        <f t="shared" si="1"/>
        <v>0</v>
      </c>
      <c r="AA6" s="843">
        <f t="shared" si="1"/>
        <v>84540</v>
      </c>
      <c r="AB6" s="843">
        <f t="shared" si="1"/>
        <v>0</v>
      </c>
      <c r="AC6" s="843">
        <f t="shared" si="1"/>
        <v>0</v>
      </c>
      <c r="AD6" s="843">
        <f t="shared" si="1"/>
        <v>84540</v>
      </c>
      <c r="AE6" s="843">
        <f t="shared" si="1"/>
        <v>0</v>
      </c>
      <c r="AF6" s="843">
        <f t="shared" si="1"/>
        <v>0</v>
      </c>
      <c r="AG6" s="843">
        <f t="shared" si="1"/>
        <v>84540</v>
      </c>
      <c r="AH6" s="843">
        <f t="shared" si="1"/>
        <v>0</v>
      </c>
      <c r="AI6" s="843">
        <f t="shared" si="1"/>
        <v>0</v>
      </c>
      <c r="AJ6" s="843">
        <f t="shared" si="1"/>
        <v>84540</v>
      </c>
      <c r="AK6" s="843">
        <f t="shared" si="1"/>
        <v>0</v>
      </c>
      <c r="AL6" s="843">
        <f t="shared" si="1"/>
        <v>0</v>
      </c>
      <c r="AM6" s="843">
        <f t="shared" si="1"/>
        <v>79476</v>
      </c>
      <c r="AN6" s="843">
        <f t="shared" si="1"/>
        <v>0</v>
      </c>
      <c r="AO6" s="843">
        <f t="shared" si="1"/>
        <v>0</v>
      </c>
      <c r="AP6" s="843">
        <f t="shared" si="1"/>
        <v>79476</v>
      </c>
      <c r="AQ6" s="843">
        <f t="shared" si="1"/>
        <v>0</v>
      </c>
      <c r="AR6" s="843">
        <f t="shared" si="1"/>
        <v>0</v>
      </c>
      <c r="AS6" s="843">
        <f t="shared" si="1"/>
        <v>79476</v>
      </c>
      <c r="AT6" s="843">
        <f t="shared" si="1"/>
        <v>0</v>
      </c>
      <c r="AU6" s="843">
        <f t="shared" si="1"/>
        <v>0</v>
      </c>
      <c r="AV6" s="843">
        <f t="shared" si="1"/>
        <v>84540</v>
      </c>
      <c r="AW6" s="843">
        <f t="shared" si="1"/>
        <v>0</v>
      </c>
      <c r="AX6" s="843">
        <f t="shared" si="1"/>
        <v>0</v>
      </c>
      <c r="AY6" s="843">
        <f t="shared" si="1"/>
        <v>84540</v>
      </c>
      <c r="AZ6" s="843">
        <f t="shared" si="1"/>
        <v>0</v>
      </c>
      <c r="BA6" s="843">
        <f t="shared" si="1"/>
        <v>0</v>
      </c>
      <c r="BB6" s="843">
        <f t="shared" si="1"/>
        <v>84540</v>
      </c>
      <c r="BC6" s="865">
        <f>SUM(E6,H6,K6,N6,Q6,T6,W6,Z6,AC6,AF6,AI6,AL6,AO6,AR6,AU6,AX6,BA6)</f>
        <v>0</v>
      </c>
      <c r="BD6" s="848">
        <f t="shared" ref="BD6:BD16" si="2">SUM(F6,I6,L6,O6,R6,U6,X6,AA6,AD6,AG6,AJ6,AM6,AP6,AS6,AV6,AY6,BB6)</f>
        <v>1406796</v>
      </c>
      <c r="BE6" s="1284">
        <f t="shared" si="0"/>
        <v>0.90925519455841408</v>
      </c>
      <c r="BF6" s="826" t="b">
        <f>BD7+BD10=BD6</f>
        <v>1</v>
      </c>
      <c r="BG6" s="1283">
        <f>'INVEST 1'!N6+'INVEST 2'!AV6+'INVEST 3'!BD6</f>
        <v>11681507.6832</v>
      </c>
    </row>
    <row r="7" spans="1:59" ht="18.75" thickBot="1">
      <c r="A7" s="856" t="s">
        <v>24</v>
      </c>
      <c r="B7" s="857" t="s">
        <v>870</v>
      </c>
      <c r="C7" s="1285"/>
      <c r="D7" s="1286"/>
      <c r="E7" s="1287"/>
      <c r="F7" s="1288">
        <f>SUM(F8:F9)</f>
        <v>66000</v>
      </c>
      <c r="G7" s="1286"/>
      <c r="H7" s="1287"/>
      <c r="I7" s="1288">
        <f>SUM(I8:I9)</f>
        <v>66000</v>
      </c>
      <c r="J7" s="1286"/>
      <c r="K7" s="1287"/>
      <c r="L7" s="1288">
        <f>SUM(L8:L9)</f>
        <v>66000</v>
      </c>
      <c r="M7" s="1289"/>
      <c r="N7" s="1287"/>
      <c r="O7" s="1290">
        <f>SUM(O8:O9)</f>
        <v>66000</v>
      </c>
      <c r="P7" s="1286"/>
      <c r="Q7" s="1287"/>
      <c r="R7" s="1288">
        <f>SUM(R8:R9)</f>
        <v>66000</v>
      </c>
      <c r="S7" s="1291"/>
      <c r="T7" s="1292"/>
      <c r="U7" s="1293">
        <f>SUM(U8:U9)</f>
        <v>66000</v>
      </c>
      <c r="V7" s="1289"/>
      <c r="W7" s="1287"/>
      <c r="X7" s="1290">
        <f>SUM(X8:X9)</f>
        <v>66000</v>
      </c>
      <c r="Y7" s="1294"/>
      <c r="Z7" s="1231"/>
      <c r="AA7" s="1295">
        <f>SUM(AA8:AA9)</f>
        <v>66000</v>
      </c>
      <c r="AB7" s="1230"/>
      <c r="AC7" s="1222"/>
      <c r="AD7" s="1295">
        <f>SUM(AD8:AD9)</f>
        <v>66000</v>
      </c>
      <c r="AE7" s="1289"/>
      <c r="AF7" s="1287"/>
      <c r="AG7" s="1288">
        <f>SUM(AG8:AG9)</f>
        <v>66000</v>
      </c>
      <c r="AH7" s="1286"/>
      <c r="AI7" s="1287"/>
      <c r="AJ7" s="1288">
        <f>SUM(AJ8:AJ9)</f>
        <v>66000</v>
      </c>
      <c r="AK7" s="1296"/>
      <c r="AL7" s="1297"/>
      <c r="AM7" s="1298">
        <f>SUM(AM8:AM9)</f>
        <v>66000</v>
      </c>
      <c r="AN7" s="1286"/>
      <c r="AO7" s="1287"/>
      <c r="AP7" s="1290">
        <f>SUM(AP8:AP9)</f>
        <v>66000</v>
      </c>
      <c r="AQ7" s="1299"/>
      <c r="AR7" s="1300"/>
      <c r="AS7" s="1301">
        <f>SUM(AS8:AS9)</f>
        <v>66000</v>
      </c>
      <c r="AT7" s="1300"/>
      <c r="AU7" s="1300"/>
      <c r="AV7" s="1301">
        <f>SUM(AV8:AV9)</f>
        <v>66000</v>
      </c>
      <c r="AW7" s="1300"/>
      <c r="AX7" s="1300"/>
      <c r="AY7" s="1302">
        <f>SUM(AY8:AY9)</f>
        <v>66000</v>
      </c>
      <c r="AZ7" s="1299"/>
      <c r="BA7" s="1300"/>
      <c r="BB7" s="1302">
        <f>SUM(BB8:BB9)</f>
        <v>66000</v>
      </c>
      <c r="BC7" s="865">
        <f t="shared" ref="BC7:BC15" si="3">SUM(E7,H7,K7,N7,Q7,T7,W7,Z7,AC7,AF7,AI7,AL7,AO7,AR7,AU7,AX7,BA7)</f>
        <v>0</v>
      </c>
      <c r="BD7" s="848">
        <f t="shared" si="2"/>
        <v>1122000</v>
      </c>
      <c r="BE7" s="946">
        <f t="shared" si="0"/>
        <v>0.72518284690498169</v>
      </c>
    </row>
    <row r="8" spans="1:59" ht="18" hidden="1" outlineLevel="1">
      <c r="A8" s="867" t="s">
        <v>101</v>
      </c>
      <c r="B8" s="868" t="s">
        <v>169</v>
      </c>
      <c r="C8" s="1303" t="s">
        <v>161</v>
      </c>
      <c r="D8" s="1304">
        <v>8000</v>
      </c>
      <c r="E8" s="953">
        <v>1</v>
      </c>
      <c r="F8" s="954">
        <f>SUM(D8*E8)</f>
        <v>8000</v>
      </c>
      <c r="G8" s="1304">
        <v>8000</v>
      </c>
      <c r="H8" s="953">
        <v>1</v>
      </c>
      <c r="I8" s="957">
        <f>SUM(G8*H8)</f>
        <v>8000</v>
      </c>
      <c r="J8" s="1304">
        <v>8000</v>
      </c>
      <c r="K8" s="953">
        <v>1</v>
      </c>
      <c r="L8" s="954">
        <f>K8*J8</f>
        <v>8000</v>
      </c>
      <c r="M8" s="1305">
        <v>8000</v>
      </c>
      <c r="N8" s="953">
        <v>1</v>
      </c>
      <c r="O8" s="957">
        <f>SUM(M8*N8)</f>
        <v>8000</v>
      </c>
      <c r="P8" s="1306">
        <v>8000</v>
      </c>
      <c r="Q8" s="953">
        <v>1</v>
      </c>
      <c r="R8" s="954">
        <f>SUM(P8*Q8)</f>
        <v>8000</v>
      </c>
      <c r="S8" s="1207">
        <v>8000</v>
      </c>
      <c r="T8" s="1195">
        <v>1</v>
      </c>
      <c r="U8" s="954">
        <f>S8*T8</f>
        <v>8000</v>
      </c>
      <c r="V8" s="1305">
        <v>8000</v>
      </c>
      <c r="W8" s="953">
        <v>1</v>
      </c>
      <c r="X8" s="954">
        <f>V8*W8</f>
        <v>8000</v>
      </c>
      <c r="Y8" s="1307">
        <v>8000</v>
      </c>
      <c r="Z8" s="1308">
        <v>1</v>
      </c>
      <c r="AA8" s="1309">
        <f>SUM(Y8*Z8)</f>
        <v>8000</v>
      </c>
      <c r="AB8" s="1306">
        <v>8000</v>
      </c>
      <c r="AC8" s="953">
        <v>1</v>
      </c>
      <c r="AD8" s="954">
        <f>SUM(AB8*AC8)</f>
        <v>8000</v>
      </c>
      <c r="AE8" s="1305">
        <v>8000</v>
      </c>
      <c r="AF8" s="953">
        <v>1</v>
      </c>
      <c r="AG8" s="954">
        <f>SUM(AE8*AF8)</f>
        <v>8000</v>
      </c>
      <c r="AH8" s="1306">
        <v>8000</v>
      </c>
      <c r="AI8" s="953">
        <v>1</v>
      </c>
      <c r="AJ8" s="954">
        <f>SUM(AH8*AI8)</f>
        <v>8000</v>
      </c>
      <c r="AK8" s="962">
        <v>8000</v>
      </c>
      <c r="AL8" s="955">
        <v>1</v>
      </c>
      <c r="AM8" s="954">
        <f>AK8*AL8</f>
        <v>8000</v>
      </c>
      <c r="AN8" s="1306">
        <v>8000</v>
      </c>
      <c r="AO8" s="953">
        <v>1</v>
      </c>
      <c r="AP8" s="957">
        <f>AN8*AO8</f>
        <v>8000</v>
      </c>
      <c r="AQ8" s="1306">
        <v>8000</v>
      </c>
      <c r="AR8" s="1209">
        <v>1</v>
      </c>
      <c r="AS8" s="1218">
        <f>AQ8*AR8</f>
        <v>8000</v>
      </c>
      <c r="AT8" s="1306">
        <v>8000</v>
      </c>
      <c r="AU8" s="1310">
        <v>1</v>
      </c>
      <c r="AV8" s="1218">
        <f>AT8*AU8</f>
        <v>8000</v>
      </c>
      <c r="AW8" s="1306">
        <v>8000</v>
      </c>
      <c r="AX8" s="1310">
        <v>1</v>
      </c>
      <c r="AY8" s="1219">
        <f>AW8*AX8</f>
        <v>8000</v>
      </c>
      <c r="AZ8" s="1306">
        <v>8000</v>
      </c>
      <c r="BA8" s="1310">
        <v>1</v>
      </c>
      <c r="BB8" s="1219">
        <f>AZ8*BA8</f>
        <v>8000</v>
      </c>
      <c r="BC8" s="1311">
        <f t="shared" si="3"/>
        <v>17</v>
      </c>
      <c r="BD8" s="1312">
        <f t="shared" si="2"/>
        <v>136000</v>
      </c>
      <c r="BE8" s="1313">
        <f t="shared" si="0"/>
        <v>8.7900951139997782E-2</v>
      </c>
    </row>
    <row r="9" spans="1:59" ht="18.75" hidden="1" outlineLevel="1" thickBot="1">
      <c r="A9" s="912" t="s">
        <v>102</v>
      </c>
      <c r="B9" s="922" t="s">
        <v>168</v>
      </c>
      <c r="C9" s="1314" t="s">
        <v>161</v>
      </c>
      <c r="D9" s="1315">
        <v>58000</v>
      </c>
      <c r="E9" s="1316">
        <v>1</v>
      </c>
      <c r="F9" s="954">
        <f>SUM(D9*E9)</f>
        <v>58000</v>
      </c>
      <c r="G9" s="1315">
        <v>58000</v>
      </c>
      <c r="H9" s="1316">
        <v>1</v>
      </c>
      <c r="I9" s="957">
        <f>SUM(G9*H9)</f>
        <v>58000</v>
      </c>
      <c r="J9" s="1315">
        <v>58000</v>
      </c>
      <c r="K9" s="1316">
        <v>1</v>
      </c>
      <c r="L9" s="954">
        <f>K9*J9</f>
        <v>58000</v>
      </c>
      <c r="M9" s="1315">
        <v>58000</v>
      </c>
      <c r="N9" s="1316">
        <v>1</v>
      </c>
      <c r="O9" s="957">
        <f>SUM(M9*N9)</f>
        <v>58000</v>
      </c>
      <c r="P9" s="1315">
        <v>58000</v>
      </c>
      <c r="Q9" s="1316">
        <v>1</v>
      </c>
      <c r="R9" s="954">
        <f>SUM(P9*Q9)</f>
        <v>58000</v>
      </c>
      <c r="S9" s="1315">
        <v>58000</v>
      </c>
      <c r="T9" s="1195">
        <v>1</v>
      </c>
      <c r="U9" s="954">
        <f>S9*T9</f>
        <v>58000</v>
      </c>
      <c r="V9" s="1315">
        <v>58000</v>
      </c>
      <c r="W9" s="1316">
        <v>1</v>
      </c>
      <c r="X9" s="954">
        <f>V9*W9</f>
        <v>58000</v>
      </c>
      <c r="Y9" s="1315">
        <v>58000</v>
      </c>
      <c r="Z9" s="1308">
        <v>1</v>
      </c>
      <c r="AA9" s="1309">
        <f>SUM(Y9*Z9)</f>
        <v>58000</v>
      </c>
      <c r="AB9" s="1315">
        <v>58000</v>
      </c>
      <c r="AC9" s="1316">
        <v>1</v>
      </c>
      <c r="AD9" s="954">
        <f>SUM(AB9*AC9)</f>
        <v>58000</v>
      </c>
      <c r="AE9" s="1315">
        <v>58000</v>
      </c>
      <c r="AF9" s="1316">
        <v>1</v>
      </c>
      <c r="AG9" s="954">
        <f>SUM(AE9*AF9)</f>
        <v>58000</v>
      </c>
      <c r="AH9" s="1315">
        <v>58000</v>
      </c>
      <c r="AI9" s="1316">
        <v>1</v>
      </c>
      <c r="AJ9" s="954">
        <f>SUM(AH9*AI9)</f>
        <v>58000</v>
      </c>
      <c r="AK9" s="1315">
        <v>58000</v>
      </c>
      <c r="AL9" s="955">
        <v>1</v>
      </c>
      <c r="AM9" s="954">
        <f>AK9*AL9</f>
        <v>58000</v>
      </c>
      <c r="AN9" s="1315">
        <v>58000</v>
      </c>
      <c r="AO9" s="1316">
        <v>1</v>
      </c>
      <c r="AP9" s="957">
        <f>AN9*AO9</f>
        <v>58000</v>
      </c>
      <c r="AQ9" s="1315">
        <v>58000</v>
      </c>
      <c r="AR9" s="1317">
        <v>1</v>
      </c>
      <c r="AS9" s="1218">
        <f>AQ9*AR9</f>
        <v>58000</v>
      </c>
      <c r="AT9" s="1315">
        <v>58000</v>
      </c>
      <c r="AU9" s="1317">
        <v>1</v>
      </c>
      <c r="AV9" s="1218">
        <f>AT9*AU9</f>
        <v>58000</v>
      </c>
      <c r="AW9" s="1315">
        <v>58000</v>
      </c>
      <c r="AX9" s="1317">
        <v>1</v>
      </c>
      <c r="AY9" s="1219">
        <f>AW9*AX9</f>
        <v>58000</v>
      </c>
      <c r="AZ9" s="1315">
        <v>58000</v>
      </c>
      <c r="BA9" s="1317">
        <v>1</v>
      </c>
      <c r="BB9" s="1219">
        <f>AZ9*BA9</f>
        <v>58000</v>
      </c>
      <c r="BC9" s="1318">
        <f t="shared" si="3"/>
        <v>17</v>
      </c>
      <c r="BD9" s="1319">
        <f t="shared" si="2"/>
        <v>986000</v>
      </c>
      <c r="BE9" s="1320">
        <f t="shared" si="0"/>
        <v>0.63728189576498384</v>
      </c>
    </row>
    <row r="10" spans="1:59" ht="18.75" collapsed="1" thickBot="1">
      <c r="A10" s="856" t="s">
        <v>26</v>
      </c>
      <c r="B10" s="857" t="s">
        <v>170</v>
      </c>
      <c r="C10" s="1285"/>
      <c r="D10" s="1286"/>
      <c r="E10" s="1287"/>
      <c r="F10" s="1288">
        <f>SUM(F11:F12)</f>
        <v>18540</v>
      </c>
      <c r="G10" s="1286"/>
      <c r="H10" s="1287"/>
      <c r="I10" s="1288">
        <f>SUM(I11:I12)</f>
        <v>18540</v>
      </c>
      <c r="J10" s="1286"/>
      <c r="K10" s="1287"/>
      <c r="L10" s="1288">
        <f>SUM(L11:L12)</f>
        <v>13476</v>
      </c>
      <c r="M10" s="1289"/>
      <c r="N10" s="1287"/>
      <c r="O10" s="1290">
        <f>SUM(O11:O12)</f>
        <v>18540</v>
      </c>
      <c r="P10" s="1286"/>
      <c r="Q10" s="1287"/>
      <c r="R10" s="1288">
        <f>SUM(R11:R12)</f>
        <v>18540</v>
      </c>
      <c r="S10" s="1291"/>
      <c r="T10" s="1292"/>
      <c r="U10" s="1293">
        <f>SUM(U11:U12)</f>
        <v>13476</v>
      </c>
      <c r="V10" s="1286"/>
      <c r="W10" s="1287"/>
      <c r="X10" s="1288">
        <f>SUM(X11:X12)</f>
        <v>13476</v>
      </c>
      <c r="Y10" s="1321"/>
      <c r="Z10" s="1322"/>
      <c r="AA10" s="1288">
        <f>SUM(AA11:AA12)</f>
        <v>18540</v>
      </c>
      <c r="AB10" s="1286"/>
      <c r="AC10" s="1287"/>
      <c r="AD10" s="1288">
        <f>SUM(AD11:AD12)</f>
        <v>18540</v>
      </c>
      <c r="AE10" s="1289"/>
      <c r="AF10" s="1287"/>
      <c r="AG10" s="1288">
        <f>SUM(AG11:AG12)</f>
        <v>18540</v>
      </c>
      <c r="AH10" s="1286"/>
      <c r="AI10" s="1287"/>
      <c r="AJ10" s="1288">
        <f>SUM(AJ11:AJ12)</f>
        <v>18540</v>
      </c>
      <c r="AK10" s="1296"/>
      <c r="AL10" s="1297"/>
      <c r="AM10" s="1298">
        <f>SUM(AM11:AM12)</f>
        <v>13476</v>
      </c>
      <c r="AN10" s="1286"/>
      <c r="AO10" s="1287"/>
      <c r="AP10" s="1290">
        <f>SUM(AP11:AP12)</f>
        <v>13476</v>
      </c>
      <c r="AQ10" s="1299"/>
      <c r="AR10" s="1300"/>
      <c r="AS10" s="1301">
        <f>SUM(AS11:AS12)</f>
        <v>13476</v>
      </c>
      <c r="AT10" s="1300"/>
      <c r="AU10" s="1300"/>
      <c r="AV10" s="1301">
        <f>SUM(AV11:AV12)</f>
        <v>18540</v>
      </c>
      <c r="AW10" s="1300"/>
      <c r="AX10" s="1300"/>
      <c r="AY10" s="1302">
        <f>SUM(AY11:AY12)</f>
        <v>18540</v>
      </c>
      <c r="AZ10" s="1299"/>
      <c r="BA10" s="1300"/>
      <c r="BB10" s="1302">
        <f>SUM(BB11:BB12)</f>
        <v>18540</v>
      </c>
      <c r="BC10" s="865">
        <f t="shared" si="3"/>
        <v>0</v>
      </c>
      <c r="BD10" s="848">
        <f t="shared" si="2"/>
        <v>284796</v>
      </c>
      <c r="BE10" s="946">
        <f t="shared" si="0"/>
        <v>0.18407234765343242</v>
      </c>
    </row>
    <row r="11" spans="1:59" ht="18" hidden="1" outlineLevel="1">
      <c r="A11" s="867" t="s">
        <v>94</v>
      </c>
      <c r="B11" s="868" t="s">
        <v>169</v>
      </c>
      <c r="C11" s="951" t="s">
        <v>161</v>
      </c>
      <c r="D11" s="1323">
        <v>5780</v>
      </c>
      <c r="E11" s="953">
        <v>1</v>
      </c>
      <c r="F11" s="954">
        <f>D11*E11</f>
        <v>5780</v>
      </c>
      <c r="G11" s="1323">
        <v>5780</v>
      </c>
      <c r="H11" s="953">
        <v>1</v>
      </c>
      <c r="I11" s="954">
        <f>G11*H11</f>
        <v>5780</v>
      </c>
      <c r="J11" s="1324">
        <v>2906</v>
      </c>
      <c r="K11" s="953">
        <v>1</v>
      </c>
      <c r="L11" s="954">
        <f>J11*K11</f>
        <v>2906</v>
      </c>
      <c r="M11" s="1323">
        <v>5780</v>
      </c>
      <c r="N11" s="953">
        <v>1</v>
      </c>
      <c r="O11" s="954">
        <f>M11*N11</f>
        <v>5780</v>
      </c>
      <c r="P11" s="1323">
        <v>5780</v>
      </c>
      <c r="Q11" s="953">
        <v>1</v>
      </c>
      <c r="R11" s="954">
        <f>P11*Q11</f>
        <v>5780</v>
      </c>
      <c r="S11" s="1324">
        <v>2906</v>
      </c>
      <c r="T11" s="1195">
        <v>1</v>
      </c>
      <c r="U11" s="954">
        <f>S11*T11</f>
        <v>2906</v>
      </c>
      <c r="V11" s="1324">
        <v>2906</v>
      </c>
      <c r="W11" s="953">
        <v>1</v>
      </c>
      <c r="X11" s="954">
        <f>V11*W11</f>
        <v>2906</v>
      </c>
      <c r="Y11" s="1323">
        <v>5780</v>
      </c>
      <c r="Z11" s="1325">
        <v>1</v>
      </c>
      <c r="AA11" s="954">
        <f>Y11*Z11</f>
        <v>5780</v>
      </c>
      <c r="AB11" s="1323">
        <v>5780</v>
      </c>
      <c r="AC11" s="1192">
        <v>1</v>
      </c>
      <c r="AD11" s="1193">
        <f>AB11*AC11</f>
        <v>5780</v>
      </c>
      <c r="AE11" s="1323">
        <v>5780</v>
      </c>
      <c r="AF11" s="953">
        <v>1</v>
      </c>
      <c r="AG11" s="954">
        <f>AE11*AF11</f>
        <v>5780</v>
      </c>
      <c r="AH11" s="1323">
        <v>5780</v>
      </c>
      <c r="AI11" s="953">
        <v>1</v>
      </c>
      <c r="AJ11" s="954">
        <f>AH11*AI11</f>
        <v>5780</v>
      </c>
      <c r="AK11" s="1324">
        <v>2906</v>
      </c>
      <c r="AL11" s="955">
        <v>1</v>
      </c>
      <c r="AM11" s="954">
        <f>AK11*AL11</f>
        <v>2906</v>
      </c>
      <c r="AN11" s="1324">
        <v>2906</v>
      </c>
      <c r="AO11" s="953">
        <v>1</v>
      </c>
      <c r="AP11" s="957">
        <f>AN11*AO11</f>
        <v>2906</v>
      </c>
      <c r="AQ11" s="1324">
        <v>2906</v>
      </c>
      <c r="AR11" s="1200">
        <v>1</v>
      </c>
      <c r="AS11" s="1326">
        <f>AQ11*AR11</f>
        <v>2906</v>
      </c>
      <c r="AT11" s="1323">
        <v>5780</v>
      </c>
      <c r="AU11" s="1209">
        <v>1</v>
      </c>
      <c r="AV11" s="1218">
        <f>AT11*AU11</f>
        <v>5780</v>
      </c>
      <c r="AW11" s="1323">
        <v>5780</v>
      </c>
      <c r="AX11" s="1209">
        <v>1</v>
      </c>
      <c r="AY11" s="1218">
        <f>AW11*AX11</f>
        <v>5780</v>
      </c>
      <c r="AZ11" s="1323">
        <v>5780</v>
      </c>
      <c r="BA11" s="1209">
        <v>1</v>
      </c>
      <c r="BB11" s="1219">
        <f>AZ11*BA11</f>
        <v>5780</v>
      </c>
      <c r="BC11" s="1311">
        <f t="shared" si="3"/>
        <v>17</v>
      </c>
      <c r="BD11" s="1312">
        <f t="shared" si="2"/>
        <v>81016</v>
      </c>
      <c r="BE11" s="1313">
        <f t="shared" si="0"/>
        <v>5.2363113658515148E-2</v>
      </c>
    </row>
    <row r="12" spans="1:59" ht="18.75" hidden="1" outlineLevel="1" thickBot="1">
      <c r="A12" s="1327" t="s">
        <v>95</v>
      </c>
      <c r="B12" s="922" t="s">
        <v>168</v>
      </c>
      <c r="C12" s="1328" t="s">
        <v>161</v>
      </c>
      <c r="D12" s="1323">
        <v>12760</v>
      </c>
      <c r="E12" s="895">
        <v>1</v>
      </c>
      <c r="F12" s="954">
        <f>D12*E12</f>
        <v>12760</v>
      </c>
      <c r="G12" s="1323">
        <v>12760</v>
      </c>
      <c r="H12" s="895">
        <v>1</v>
      </c>
      <c r="I12" s="954">
        <f>G12*H12</f>
        <v>12760</v>
      </c>
      <c r="J12" s="1329">
        <v>10570</v>
      </c>
      <c r="K12" s="895">
        <v>1</v>
      </c>
      <c r="L12" s="954">
        <f>J12*K12</f>
        <v>10570</v>
      </c>
      <c r="M12" s="1323">
        <v>12760</v>
      </c>
      <c r="N12" s="895">
        <v>1</v>
      </c>
      <c r="O12" s="954">
        <f>M12*N12</f>
        <v>12760</v>
      </c>
      <c r="P12" s="1323">
        <v>12760</v>
      </c>
      <c r="Q12" s="895">
        <v>1</v>
      </c>
      <c r="R12" s="954">
        <f>P12*Q12</f>
        <v>12760</v>
      </c>
      <c r="S12" s="1330">
        <v>10570</v>
      </c>
      <c r="T12" s="1256">
        <v>1</v>
      </c>
      <c r="U12" s="972">
        <f>S12*T12</f>
        <v>10570</v>
      </c>
      <c r="V12" s="1330">
        <v>10570</v>
      </c>
      <c r="W12" s="895">
        <v>1</v>
      </c>
      <c r="X12" s="972">
        <f>V12*W12</f>
        <v>10570</v>
      </c>
      <c r="Y12" s="1331">
        <v>12760</v>
      </c>
      <c r="Z12" s="1078">
        <v>1</v>
      </c>
      <c r="AA12" s="972">
        <f>Y12*Z12</f>
        <v>12760</v>
      </c>
      <c r="AB12" s="1331">
        <v>12760</v>
      </c>
      <c r="AC12" s="895">
        <v>1</v>
      </c>
      <c r="AD12" s="972">
        <f>AB12*AC12</f>
        <v>12760</v>
      </c>
      <c r="AE12" s="1323">
        <v>12760</v>
      </c>
      <c r="AF12" s="895">
        <v>1</v>
      </c>
      <c r="AG12" s="954">
        <f>AE12*AF12</f>
        <v>12760</v>
      </c>
      <c r="AH12" s="1323">
        <v>12760</v>
      </c>
      <c r="AI12" s="895">
        <v>1</v>
      </c>
      <c r="AJ12" s="954">
        <f>AH12*AI12</f>
        <v>12760</v>
      </c>
      <c r="AK12" s="1329">
        <v>10570</v>
      </c>
      <c r="AL12" s="1332">
        <v>1</v>
      </c>
      <c r="AM12" s="972">
        <f>AK12*AL12</f>
        <v>10570</v>
      </c>
      <c r="AN12" s="1329">
        <v>10570</v>
      </c>
      <c r="AO12" s="895">
        <v>1</v>
      </c>
      <c r="AP12" s="957">
        <f>AN12*AO12</f>
        <v>10570</v>
      </c>
      <c r="AQ12" s="1329">
        <v>10570</v>
      </c>
      <c r="AR12" s="1055">
        <v>1</v>
      </c>
      <c r="AS12" s="1235">
        <f>AQ12*AR12</f>
        <v>10570</v>
      </c>
      <c r="AT12" s="1323">
        <v>12760</v>
      </c>
      <c r="AU12" s="1080">
        <v>1</v>
      </c>
      <c r="AV12" s="1333">
        <f>AT12*AU12</f>
        <v>12760</v>
      </c>
      <c r="AW12" s="1323">
        <v>12760</v>
      </c>
      <c r="AX12" s="1080">
        <v>1</v>
      </c>
      <c r="AY12" s="1333">
        <f>AW12*AX12</f>
        <v>12760</v>
      </c>
      <c r="AZ12" s="1323">
        <v>12760</v>
      </c>
      <c r="BA12" s="1080">
        <v>1</v>
      </c>
      <c r="BB12" s="1334">
        <f>AZ12*BA12</f>
        <v>12760</v>
      </c>
      <c r="BC12" s="1318">
        <f t="shared" si="3"/>
        <v>17</v>
      </c>
      <c r="BD12" s="1319">
        <f t="shared" si="2"/>
        <v>203780</v>
      </c>
      <c r="BE12" s="1320">
        <f t="shared" si="0"/>
        <v>0.13170923399491727</v>
      </c>
    </row>
    <row r="13" spans="1:59" ht="21" customHeight="1" collapsed="1" thickBot="1">
      <c r="A13" s="850" t="s">
        <v>159</v>
      </c>
      <c r="B13" s="839" t="s">
        <v>164</v>
      </c>
      <c r="C13" s="851"/>
      <c r="D13" s="859"/>
      <c r="E13" s="842"/>
      <c r="F13" s="843">
        <f>SUM(F15)</f>
        <v>4200</v>
      </c>
      <c r="G13" s="843">
        <f t="shared" ref="G13:BB13" si="4">SUM(G15)</f>
        <v>0</v>
      </c>
      <c r="H13" s="843">
        <f t="shared" si="4"/>
        <v>0</v>
      </c>
      <c r="I13" s="843">
        <f t="shared" si="4"/>
        <v>4200</v>
      </c>
      <c r="J13" s="843">
        <f t="shared" si="4"/>
        <v>0</v>
      </c>
      <c r="K13" s="843">
        <f t="shared" si="4"/>
        <v>0</v>
      </c>
      <c r="L13" s="843">
        <f t="shared" si="4"/>
        <v>4000</v>
      </c>
      <c r="M13" s="843">
        <f t="shared" si="4"/>
        <v>0</v>
      </c>
      <c r="N13" s="843">
        <f t="shared" si="4"/>
        <v>0</v>
      </c>
      <c r="O13" s="843">
        <f t="shared" si="4"/>
        <v>4200</v>
      </c>
      <c r="P13" s="843">
        <f t="shared" si="4"/>
        <v>0</v>
      </c>
      <c r="Q13" s="843">
        <f t="shared" si="4"/>
        <v>0</v>
      </c>
      <c r="R13" s="843">
        <f t="shared" si="4"/>
        <v>4200</v>
      </c>
      <c r="S13" s="843">
        <f t="shared" si="4"/>
        <v>0</v>
      </c>
      <c r="T13" s="843">
        <f t="shared" si="4"/>
        <v>0</v>
      </c>
      <c r="U13" s="843">
        <f t="shared" si="4"/>
        <v>4000</v>
      </c>
      <c r="V13" s="843">
        <f t="shared" si="4"/>
        <v>0</v>
      </c>
      <c r="W13" s="843">
        <f t="shared" si="4"/>
        <v>0</v>
      </c>
      <c r="X13" s="843">
        <f t="shared" si="4"/>
        <v>4000</v>
      </c>
      <c r="Y13" s="843">
        <f t="shared" si="4"/>
        <v>0</v>
      </c>
      <c r="Z13" s="843">
        <f t="shared" si="4"/>
        <v>0</v>
      </c>
      <c r="AA13" s="843">
        <f t="shared" si="4"/>
        <v>4200</v>
      </c>
      <c r="AB13" s="843">
        <f t="shared" si="4"/>
        <v>0</v>
      </c>
      <c r="AC13" s="843">
        <f t="shared" si="4"/>
        <v>0</v>
      </c>
      <c r="AD13" s="843">
        <f t="shared" si="4"/>
        <v>4200</v>
      </c>
      <c r="AE13" s="843">
        <f t="shared" si="4"/>
        <v>0</v>
      </c>
      <c r="AF13" s="843">
        <f t="shared" si="4"/>
        <v>0</v>
      </c>
      <c r="AG13" s="843">
        <f t="shared" si="4"/>
        <v>4200</v>
      </c>
      <c r="AH13" s="843">
        <f t="shared" si="4"/>
        <v>0</v>
      </c>
      <c r="AI13" s="843">
        <f t="shared" si="4"/>
        <v>0</v>
      </c>
      <c r="AJ13" s="843">
        <f t="shared" si="4"/>
        <v>4200</v>
      </c>
      <c r="AK13" s="843">
        <f t="shared" si="4"/>
        <v>0</v>
      </c>
      <c r="AL13" s="843">
        <f t="shared" si="4"/>
        <v>0</v>
      </c>
      <c r="AM13" s="843">
        <f t="shared" si="4"/>
        <v>4000</v>
      </c>
      <c r="AN13" s="843">
        <f t="shared" si="4"/>
        <v>0</v>
      </c>
      <c r="AO13" s="843">
        <f t="shared" si="4"/>
        <v>0</v>
      </c>
      <c r="AP13" s="843">
        <f t="shared" si="4"/>
        <v>4000</v>
      </c>
      <c r="AQ13" s="843">
        <f t="shared" si="4"/>
        <v>0</v>
      </c>
      <c r="AR13" s="843">
        <f t="shared" si="4"/>
        <v>0</v>
      </c>
      <c r="AS13" s="843">
        <f t="shared" si="4"/>
        <v>4000</v>
      </c>
      <c r="AT13" s="843">
        <f t="shared" si="4"/>
        <v>0</v>
      </c>
      <c r="AU13" s="843">
        <f t="shared" si="4"/>
        <v>0</v>
      </c>
      <c r="AV13" s="843">
        <f t="shared" si="4"/>
        <v>4200</v>
      </c>
      <c r="AW13" s="843">
        <f t="shared" si="4"/>
        <v>0</v>
      </c>
      <c r="AX13" s="843">
        <f t="shared" si="4"/>
        <v>0</v>
      </c>
      <c r="AY13" s="843">
        <f t="shared" si="4"/>
        <v>4200</v>
      </c>
      <c r="AZ13" s="843">
        <f t="shared" si="4"/>
        <v>0</v>
      </c>
      <c r="BA13" s="843">
        <f t="shared" si="4"/>
        <v>0</v>
      </c>
      <c r="BB13" s="843">
        <f t="shared" si="4"/>
        <v>4200</v>
      </c>
      <c r="BC13" s="865">
        <f t="shared" si="3"/>
        <v>0</v>
      </c>
      <c r="BD13" s="848">
        <f t="shared" si="2"/>
        <v>70200</v>
      </c>
      <c r="BE13" s="988">
        <f t="shared" si="0"/>
        <v>4.5372402720792973E-2</v>
      </c>
      <c r="BG13" s="1283">
        <f>'INVEST 1'!N48+'INVEST 2'!AV48+'INVEST 3'!BD13</f>
        <v>599600</v>
      </c>
    </row>
    <row r="15" spans="1:59" ht="18.75" thickBot="1">
      <c r="A15" s="989" t="s">
        <v>34</v>
      </c>
      <c r="B15" s="990" t="s">
        <v>862</v>
      </c>
      <c r="C15" s="914" t="s">
        <v>161</v>
      </c>
      <c r="D15" s="991"/>
      <c r="E15" s="895"/>
      <c r="F15" s="1251">
        <v>4200</v>
      </c>
      <c r="G15" s="1252"/>
      <c r="H15" s="942"/>
      <c r="I15" s="1253">
        <v>4200</v>
      </c>
      <c r="J15" s="1187"/>
      <c r="K15" s="942"/>
      <c r="L15" s="1186">
        <v>4000</v>
      </c>
      <c r="M15" s="1252"/>
      <c r="N15" s="942"/>
      <c r="O15" s="1253">
        <v>4200</v>
      </c>
      <c r="P15" s="1254"/>
      <c r="Q15" s="1151"/>
      <c r="R15" s="1125">
        <v>4200</v>
      </c>
      <c r="S15" s="1255"/>
      <c r="T15" s="1256"/>
      <c r="U15" s="1257">
        <v>4000</v>
      </c>
      <c r="V15" s="1252"/>
      <c r="W15" s="942"/>
      <c r="X15" s="1253">
        <v>4000</v>
      </c>
      <c r="Y15" s="915"/>
      <c r="Z15" s="1118"/>
      <c r="AA15" s="1258">
        <v>4200</v>
      </c>
      <c r="AB15" s="1187"/>
      <c r="AC15" s="942"/>
      <c r="AD15" s="1186">
        <v>4200</v>
      </c>
      <c r="AE15" s="1252"/>
      <c r="AF15" s="942"/>
      <c r="AG15" s="1186">
        <v>4200</v>
      </c>
      <c r="AH15" s="991"/>
      <c r="AI15" s="895"/>
      <c r="AJ15" s="992">
        <v>4200</v>
      </c>
      <c r="AK15" s="993"/>
      <c r="AL15" s="994"/>
      <c r="AM15" s="995">
        <v>4000</v>
      </c>
      <c r="AN15" s="996"/>
      <c r="AO15" s="997"/>
      <c r="AP15" s="998">
        <v>4000</v>
      </c>
      <c r="AQ15" s="1079"/>
      <c r="AR15" s="1080"/>
      <c r="AS15" s="1259">
        <v>4000</v>
      </c>
      <c r="AT15" s="1079"/>
      <c r="AU15" s="1080"/>
      <c r="AV15" s="1259">
        <v>4200</v>
      </c>
      <c r="AW15" s="1080"/>
      <c r="AX15" s="1080"/>
      <c r="AY15" s="1260">
        <v>4200</v>
      </c>
      <c r="AZ15" s="1079"/>
      <c r="BA15" s="1080"/>
      <c r="BB15" s="1260">
        <v>4200</v>
      </c>
      <c r="BC15" s="1318">
        <f t="shared" si="3"/>
        <v>0</v>
      </c>
      <c r="BD15" s="1319">
        <f t="shared" si="2"/>
        <v>70200</v>
      </c>
      <c r="BE15" s="1335">
        <f>BD15/$BD$16</f>
        <v>4.5372402720792973E-2</v>
      </c>
    </row>
    <row r="16" spans="1:59" ht="18.75" thickBot="1">
      <c r="A16" s="1000"/>
      <c r="B16" s="1001" t="s">
        <v>160</v>
      </c>
      <c r="C16" s="1002"/>
      <c r="D16" s="859"/>
      <c r="E16" s="842"/>
      <c r="F16" s="852">
        <f>SUM(F13,F6,F5,)</f>
        <v>92940</v>
      </c>
      <c r="G16" s="1003"/>
      <c r="H16" s="1004"/>
      <c r="I16" s="843">
        <f>SUM(I13,I6,I5,)</f>
        <v>92940</v>
      </c>
      <c r="J16" s="1265"/>
      <c r="K16" s="1004"/>
      <c r="L16" s="843">
        <f>SUM(L13,L6,L5,)</f>
        <v>87476</v>
      </c>
      <c r="M16" s="1265"/>
      <c r="N16" s="1004"/>
      <c r="O16" s="843">
        <f>SUM(O13,O6,O5,)</f>
        <v>92940</v>
      </c>
      <c r="P16" s="1265"/>
      <c r="Q16" s="1004"/>
      <c r="R16" s="843">
        <f>SUM(R13,R6,R5,)</f>
        <v>92940</v>
      </c>
      <c r="S16" s="1003"/>
      <c r="T16" s="1004"/>
      <c r="U16" s="843">
        <f>SUM(U13,U6,U5,)</f>
        <v>87476</v>
      </c>
      <c r="V16" s="1003"/>
      <c r="W16" s="1004"/>
      <c r="X16" s="843">
        <f>SUM(X13,X6,X5,)</f>
        <v>87476</v>
      </c>
      <c r="Y16" s="1265"/>
      <c r="Z16" s="1004"/>
      <c r="AA16" s="843">
        <f>SUM(AA13,AA6,AA5,)</f>
        <v>92940</v>
      </c>
      <c r="AB16" s="1265"/>
      <c r="AC16" s="1004"/>
      <c r="AD16" s="843">
        <f>SUM(AD13,AD6,AD5,)</f>
        <v>92940</v>
      </c>
      <c r="AE16" s="1265"/>
      <c r="AF16" s="1004"/>
      <c r="AG16" s="852">
        <f>SUM(AG13,AG6,AG5,)</f>
        <v>92940</v>
      </c>
      <c r="AH16" s="1003"/>
      <c r="AI16" s="1004"/>
      <c r="AJ16" s="852">
        <f>SUM(AJ13,AJ6,AJ5,)</f>
        <v>92940</v>
      </c>
      <c r="AK16" s="1003"/>
      <c r="AL16" s="1004"/>
      <c r="AM16" s="843">
        <f>SUM(AM13,AM6,AM5,)</f>
        <v>87476</v>
      </c>
      <c r="AN16" s="1003"/>
      <c r="AO16" s="1004"/>
      <c r="AP16" s="843">
        <f>SUM(AP13,AP6,AP5,)</f>
        <v>87476</v>
      </c>
      <c r="AQ16" s="1033"/>
      <c r="AR16" s="1033"/>
      <c r="AS16" s="1266">
        <f>SUM(AS13,AS6,AS5)</f>
        <v>87476</v>
      </c>
      <c r="AT16" s="1267"/>
      <c r="AU16" s="1268"/>
      <c r="AV16" s="1040">
        <f>SUM(AV13,AV6,AV5)</f>
        <v>92940</v>
      </c>
      <c r="AW16" s="1267"/>
      <c r="AX16" s="1268"/>
      <c r="AY16" s="1040">
        <f>SUM(AY13,AY6,AY5)</f>
        <v>92940</v>
      </c>
      <c r="AZ16" s="1267"/>
      <c r="BA16" s="1268"/>
      <c r="BB16" s="1040">
        <f>SUM(BB13,BB6,BB5)</f>
        <v>92940</v>
      </c>
      <c r="BC16" s="865">
        <f>SUM(E16,H16,K16,N16,Q16,T16,W16,Z16,AC16,AF16,AI16,AL16,AO16,AR16,AU16,AX16,BA16)</f>
        <v>0</v>
      </c>
      <c r="BD16" s="848">
        <f t="shared" si="2"/>
        <v>1547196</v>
      </c>
      <c r="BE16" s="1005">
        <f t="shared" si="0"/>
        <v>1</v>
      </c>
      <c r="BF16" s="855" t="b">
        <f>BD13+BD6+BD5=BD16</f>
        <v>1</v>
      </c>
      <c r="BG16" s="1283">
        <f>'INVEST 1'!N51+'INVEST 2'!AV51+'INVEST 3'!BD16</f>
        <v>12871207.6832</v>
      </c>
    </row>
    <row r="17" spans="1:59">
      <c r="A17" s="1006"/>
      <c r="B17" s="1006"/>
      <c r="C17" s="1006"/>
      <c r="D17" s="1007"/>
      <c r="E17" s="1007"/>
      <c r="F17" s="1006"/>
      <c r="G17" s="1007"/>
      <c r="H17" s="1007"/>
      <c r="I17" s="1006"/>
      <c r="J17" s="1007"/>
      <c r="K17" s="1007"/>
      <c r="L17" s="1006"/>
      <c r="M17" s="1007"/>
      <c r="N17" s="1007"/>
      <c r="O17" s="1006"/>
      <c r="P17" s="1007"/>
      <c r="Q17" s="1007"/>
      <c r="R17" s="1006"/>
      <c r="S17" s="1007"/>
      <c r="T17" s="1007"/>
      <c r="U17" s="1006"/>
      <c r="V17" s="1007"/>
      <c r="W17" s="1007"/>
      <c r="X17" s="1006"/>
      <c r="Y17" s="1007"/>
      <c r="Z17" s="1007"/>
      <c r="AA17" s="1006"/>
      <c r="AB17" s="1007"/>
      <c r="AC17" s="1007"/>
      <c r="AD17" s="1006"/>
      <c r="AE17" s="1007"/>
      <c r="AF17" s="1007"/>
      <c r="AG17" s="1006"/>
      <c r="AH17" s="1007"/>
      <c r="AI17" s="1007"/>
      <c r="AJ17" s="1006"/>
      <c r="AK17" s="1007"/>
      <c r="AL17" s="1007"/>
      <c r="AM17" s="1006"/>
      <c r="AN17" s="1007"/>
      <c r="AO17" s="1007"/>
      <c r="AP17" s="1006"/>
      <c r="AQ17" s="1006"/>
      <c r="AR17" s="1006"/>
      <c r="AS17" s="1006"/>
      <c r="AT17" s="1006"/>
      <c r="AU17" s="1006"/>
      <c r="AV17" s="1006"/>
      <c r="AW17" s="1006"/>
      <c r="AX17" s="1006"/>
      <c r="AY17" s="1006"/>
      <c r="AZ17" s="1006"/>
      <c r="BA17" s="1006"/>
      <c r="BB17" s="1006"/>
      <c r="BD17" s="855"/>
      <c r="BE17" s="1008"/>
      <c r="BF17" s="1009"/>
    </row>
    <row r="18" spans="1:59">
      <c r="Y18" s="1269"/>
      <c r="BD18" s="855"/>
    </row>
    <row r="19" spans="1:59" ht="15.75" thickBot="1"/>
    <row r="20" spans="1:59" ht="20.25" customHeight="1" thickBot="1">
      <c r="A20" s="1010" t="s">
        <v>33</v>
      </c>
      <c r="B20" s="1011" t="s">
        <v>163</v>
      </c>
      <c r="C20" s="851" t="s">
        <v>161</v>
      </c>
      <c r="D20" s="859"/>
      <c r="E20" s="842"/>
      <c r="F20" s="860">
        <v>2400</v>
      </c>
      <c r="G20" s="1025"/>
      <c r="H20" s="842"/>
      <c r="I20" s="864">
        <v>2400</v>
      </c>
      <c r="J20" s="841"/>
      <c r="K20" s="842"/>
      <c r="L20" s="860">
        <v>2200</v>
      </c>
      <c r="M20" s="1025"/>
      <c r="N20" s="842"/>
      <c r="O20" s="864">
        <v>2400</v>
      </c>
      <c r="P20" s="841"/>
      <c r="Q20" s="842"/>
      <c r="R20" s="860">
        <v>2400</v>
      </c>
      <c r="S20" s="1271"/>
      <c r="T20" s="1272"/>
      <c r="U20" s="1273">
        <v>2200</v>
      </c>
      <c r="V20" s="1025"/>
      <c r="W20" s="842"/>
      <c r="X20" s="864">
        <v>2200</v>
      </c>
      <c r="Y20" s="841"/>
      <c r="Z20" s="1051"/>
      <c r="AA20" s="860">
        <v>2400</v>
      </c>
      <c r="AB20" s="841"/>
      <c r="AC20" s="842"/>
      <c r="AD20" s="860">
        <v>2400</v>
      </c>
      <c r="AE20" s="1274"/>
      <c r="AF20" s="982"/>
      <c r="AG20" s="860">
        <v>2400</v>
      </c>
      <c r="AH20" s="859"/>
      <c r="AI20" s="842"/>
      <c r="AJ20" s="978">
        <v>2400</v>
      </c>
      <c r="AK20" s="1012"/>
      <c r="AL20" s="862"/>
      <c r="AM20" s="863">
        <v>2200</v>
      </c>
      <c r="AN20" s="981"/>
      <c r="AO20" s="982"/>
      <c r="AP20" s="983">
        <v>2200</v>
      </c>
      <c r="AQ20" s="1032"/>
      <c r="AR20" s="1033"/>
      <c r="AS20" s="1275">
        <v>2200</v>
      </c>
      <c r="AT20" s="1244"/>
      <c r="AU20" s="1245"/>
      <c r="AV20" s="1275">
        <v>2400</v>
      </c>
      <c r="AW20" s="1276"/>
      <c r="AX20" s="1245"/>
      <c r="AY20" s="1052">
        <v>2400</v>
      </c>
      <c r="AZ20" s="1244"/>
      <c r="BA20" s="1245"/>
      <c r="BB20" s="1052">
        <v>2400</v>
      </c>
      <c r="BC20" s="865">
        <f>SUM(E20,H20,K20,N20,Q20,T20,W20,Z20,AC20,AF20,AI20,AL20,AO20,AR20,AU20,AX20,BA20)</f>
        <v>0</v>
      </c>
      <c r="BD20" s="848">
        <f>SUM(F20,I20,L20,O20,R20,U20,X20,AA20,AD20,AG20,AJ20,AM20,AP20,AS20,AV20,AY20,BB20)</f>
        <v>39600</v>
      </c>
      <c r="BE20" s="946">
        <f>BD20/$BD$16</f>
        <v>2.5594688714293469E-2</v>
      </c>
      <c r="BG20" s="1283">
        <f>'INVEST 1'!N54+'INVEST 2'!AV54+'INVEST 3'!BD20</f>
        <v>363700</v>
      </c>
    </row>
    <row r="22" spans="1:59">
      <c r="BF22" s="1336" t="s">
        <v>871</v>
      </c>
      <c r="BG22" s="1337">
        <f>BG16+BG20</f>
        <v>13234907.6832</v>
      </c>
    </row>
    <row r="27" spans="1:59">
      <c r="BD27" s="855"/>
    </row>
  </sheetData>
  <mergeCells count="20">
    <mergeCell ref="AB3:AD3"/>
    <mergeCell ref="AE3:AG3"/>
    <mergeCell ref="AZ3:BB3"/>
    <mergeCell ref="BC3:BE3"/>
    <mergeCell ref="AH3:AJ3"/>
    <mergeCell ref="AK3:AM3"/>
    <mergeCell ref="AN3:AP3"/>
    <mergeCell ref="AQ3:AS3"/>
    <mergeCell ref="AT3:AV3"/>
    <mergeCell ref="AW3:AY3"/>
    <mergeCell ref="M3:O3"/>
    <mergeCell ref="P3:R3"/>
    <mergeCell ref="S3:U3"/>
    <mergeCell ref="V3:X3"/>
    <mergeCell ref="Y3:AA3"/>
    <mergeCell ref="A3:A4"/>
    <mergeCell ref="B3:B4"/>
    <mergeCell ref="D3:F3"/>
    <mergeCell ref="G3:I3"/>
    <mergeCell ref="J3:L3"/>
  </mergeCells>
  <pageMargins left="0.88" right="0.11811023622047245" top="0.19685039370078741" bottom="0.15748031496062992" header="0.31496062992125984" footer="0.31496062992125984"/>
  <pageSetup paperSize="9" scale="46" fitToWidth="3" pageOrder="overThenDown" orientation="landscape" r:id="rId1"/>
  <colBreaks count="2" manualBreakCount="2">
    <brk id="18" max="17" man="1"/>
    <brk id="39" max="17" man="1"/>
  </colBreak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
    <pageSetUpPr fitToPage="1"/>
  </sheetPr>
  <dimension ref="A1:AC21"/>
  <sheetViews>
    <sheetView zoomScale="85" zoomScaleNormal="85" workbookViewId="0">
      <selection activeCell="D10" sqref="D10"/>
    </sheetView>
  </sheetViews>
  <sheetFormatPr defaultRowHeight="12.75"/>
  <cols>
    <col min="1" max="1" width="4.85546875" style="1341" customWidth="1"/>
    <col min="2" max="2" width="56.5703125" style="1341" customWidth="1"/>
    <col min="3" max="3" width="13.140625" style="1341" customWidth="1"/>
    <col min="4" max="4" width="24.28515625" style="1341" bestFit="1" customWidth="1"/>
    <col min="5" max="5" width="16.5703125" style="1341" customWidth="1"/>
    <col min="6" max="6" width="6.42578125" style="1341" customWidth="1"/>
    <col min="7" max="7" width="23" style="1341" customWidth="1"/>
    <col min="8" max="25" width="6.42578125" style="1341" customWidth="1"/>
    <col min="26" max="16384" width="9.140625" style="1341"/>
  </cols>
  <sheetData>
    <row r="1" spans="1:29" ht="26.25">
      <c r="A1" s="2387" t="s">
        <v>1067</v>
      </c>
      <c r="B1" s="2387"/>
      <c r="C1" s="2387"/>
      <c r="D1" s="2388"/>
      <c r="E1" s="2388"/>
    </row>
    <row r="2" spans="1:29">
      <c r="A2" s="783"/>
      <c r="B2" s="783"/>
      <c r="C2" s="783"/>
      <c r="D2" s="783"/>
    </row>
    <row r="3" spans="1:29" s="749" customFormat="1" ht="11.25" customHeight="1">
      <c r="A3" s="1647"/>
      <c r="B3" s="1647"/>
      <c r="C3" s="1647"/>
      <c r="D3" s="1647" t="s">
        <v>2</v>
      </c>
      <c r="E3" s="1341"/>
      <c r="F3" s="1341"/>
      <c r="G3" s="1341"/>
      <c r="H3" s="1341"/>
      <c r="I3" s="1341"/>
      <c r="J3" s="1341"/>
      <c r="K3" s="1341"/>
      <c r="L3" s="1341"/>
      <c r="M3" s="1341"/>
      <c r="N3" s="1341"/>
      <c r="O3" s="1341"/>
      <c r="P3" s="1341"/>
      <c r="Q3" s="1341"/>
      <c r="R3" s="1341"/>
      <c r="S3" s="1341"/>
      <c r="T3" s="1341"/>
      <c r="U3" s="1341"/>
      <c r="V3" s="1341"/>
      <c r="W3" s="1341"/>
      <c r="X3" s="1341"/>
      <c r="Y3" s="1341"/>
      <c r="Z3" s="1341"/>
      <c r="AA3" s="1341"/>
      <c r="AB3" s="1341"/>
      <c r="AC3" s="1341"/>
    </row>
    <row r="5" spans="1:29" s="784" customFormat="1">
      <c r="A5" s="1420">
        <v>1</v>
      </c>
      <c r="B5" s="1421" t="s">
        <v>1116</v>
      </c>
      <c r="C5" s="1706" t="s">
        <v>874</v>
      </c>
      <c r="D5" s="1705" t="s">
        <v>1063</v>
      </c>
      <c r="E5" s="777"/>
      <c r="F5" s="777"/>
      <c r="G5" s="777"/>
      <c r="H5" s="777"/>
      <c r="I5" s="777"/>
      <c r="J5" s="777"/>
      <c r="K5" s="777"/>
      <c r="L5" s="777"/>
      <c r="M5" s="777"/>
      <c r="N5" s="777"/>
      <c r="O5" s="777"/>
      <c r="P5" s="777"/>
      <c r="Q5" s="777"/>
      <c r="R5" s="777"/>
      <c r="S5" s="777"/>
      <c r="T5" s="777"/>
      <c r="U5" s="777"/>
      <c r="V5" s="777"/>
      <c r="W5" s="777"/>
      <c r="X5" s="777"/>
      <c r="Y5" s="777"/>
      <c r="Z5" s="777"/>
      <c r="AA5" s="777"/>
      <c r="AB5" s="777"/>
      <c r="AC5" s="777"/>
    </row>
    <row r="6" spans="1:29" s="777" customFormat="1" ht="30" customHeight="1">
      <c r="A6" s="1728" t="s">
        <v>3</v>
      </c>
      <c r="B6" s="1729" t="str">
        <f>'5. DL soc.econom. analīze'!B31</f>
        <v xml:space="preserve">Biotopu platība, kuras saņem atbalstu, lai panāktu labāku aizsardzības pakāpi </v>
      </c>
      <c r="C6" s="1729" t="str">
        <f>'5. DL soc.econom. analīze'!C31</f>
        <v>ha</v>
      </c>
      <c r="D6" s="1730">
        <f>'5. DL soc.econom. analīze'!S31</f>
        <v>15</v>
      </c>
    </row>
    <row r="7" spans="1:29" s="777" customFormat="1">
      <c r="A7" s="808"/>
      <c r="B7" s="808"/>
      <c r="C7" s="808"/>
      <c r="D7" s="808"/>
    </row>
    <row r="8" spans="1:29" s="784" customFormat="1">
      <c r="A8" s="1420">
        <v>2</v>
      </c>
      <c r="B8" s="1421" t="s">
        <v>898</v>
      </c>
      <c r="C8" s="1421"/>
      <c r="D8" s="1706" t="s">
        <v>880</v>
      </c>
      <c r="E8" s="777"/>
      <c r="F8" s="777"/>
      <c r="G8" s="777"/>
      <c r="H8" s="777"/>
      <c r="I8" s="777"/>
      <c r="J8" s="777"/>
      <c r="K8" s="777"/>
      <c r="L8" s="777"/>
      <c r="M8" s="777"/>
      <c r="N8" s="777"/>
      <c r="O8" s="777"/>
      <c r="P8" s="777"/>
      <c r="Q8" s="777"/>
      <c r="R8" s="777"/>
      <c r="S8" s="777"/>
      <c r="T8" s="777"/>
      <c r="U8" s="777"/>
      <c r="V8" s="777"/>
      <c r="W8" s="777"/>
      <c r="X8" s="777"/>
      <c r="Y8" s="777"/>
      <c r="Z8" s="777"/>
      <c r="AA8" s="777"/>
      <c r="AB8" s="777"/>
      <c r="AC8" s="777"/>
    </row>
    <row r="9" spans="1:29" s="777" customFormat="1">
      <c r="A9" s="775"/>
      <c r="B9" s="775"/>
      <c r="C9" s="775"/>
      <c r="D9" s="1731"/>
    </row>
    <row r="10" spans="1:29" s="777" customFormat="1">
      <c r="A10" s="1648" t="s">
        <v>14</v>
      </c>
      <c r="B10" s="1648" t="s">
        <v>1146</v>
      </c>
      <c r="C10" s="1648" t="s">
        <v>873</v>
      </c>
      <c r="D10" s="1732">
        <f>'8. AL budžets kopā'!H16/'14. Kontroles lapa'!D6</f>
        <v>3988.1182130093162</v>
      </c>
    </row>
    <row r="11" spans="1:29" s="777" customFormat="1">
      <c r="A11" s="1733"/>
      <c r="B11" s="1734"/>
      <c r="C11" s="1733"/>
      <c r="D11" s="1735"/>
    </row>
    <row r="12" spans="1:29" s="777" customFormat="1">
      <c r="A12" s="1420">
        <v>3</v>
      </c>
      <c r="B12" s="1421" t="s">
        <v>1062</v>
      </c>
      <c r="C12" s="1421"/>
      <c r="D12" s="1706" t="s">
        <v>1117</v>
      </c>
    </row>
    <row r="13" spans="1:29" s="777" customFormat="1" ht="23.25" customHeight="1">
      <c r="A13" s="1648" t="s">
        <v>33</v>
      </c>
      <c r="B13" s="2389" t="s">
        <v>1142</v>
      </c>
      <c r="C13" s="2390"/>
      <c r="D13" s="1736" t="str">
        <f>IF('8. AL budžets kopā'!H16&gt;500000,"Kritērijs neizpildās","Kritērijs izpildās")</f>
        <v>Kritērijs izpildās</v>
      </c>
    </row>
    <row r="14" spans="1:29" s="777" customFormat="1" ht="24" customHeight="1">
      <c r="A14" s="1648" t="s">
        <v>34</v>
      </c>
      <c r="B14" s="2389" t="s">
        <v>1139</v>
      </c>
      <c r="C14" s="2390"/>
      <c r="D14" s="1736" t="str">
        <f>IF(AND((('1. DL budžets'!K17+'1. DL budžets'!M17+'1. DL budžets'!O17)&lt;=0),(('1. DL budžets'!K6+'1. DL budžets'!M6+'1. DL budžets'!O6)&lt;=0.1*('1. DL budžets'!F16-'1. DL budžets'!F14-'1. DL budžets'!F5))),"Kritērijs izpildās","Kritērijs neizpildās")</f>
        <v>Kritērijs neizpildās</v>
      </c>
    </row>
    <row r="15" spans="1:29" s="777" customFormat="1" ht="27" customHeight="1">
      <c r="A15" s="1648" t="s">
        <v>35</v>
      </c>
      <c r="B15" s="2389" t="s">
        <v>1143</v>
      </c>
      <c r="C15" s="2390"/>
      <c r="D15" s="1736" t="str">
        <f>IF('1. DL budžets'!F5&lt;=0.15*'1. DL budžets'!F6,"Kritērijs izpildās","Kritērijs neizpildās")</f>
        <v>Kritērijs izpildās</v>
      </c>
    </row>
    <row r="16" spans="1:29" s="777" customFormat="1" ht="25.5" customHeight="1">
      <c r="A16" s="1648" t="s">
        <v>36</v>
      </c>
      <c r="B16" s="2389" t="s">
        <v>1188</v>
      </c>
      <c r="C16" s="2390"/>
      <c r="D16" s="1736" t="str">
        <f>IF('1. DL budžets'!F14&lt;=0.03*('1. DL budžets'!F6+'1. DL budžets'!F8+'1. DL budžets'!F13),"Kritērijs izpildās","Kritērijs neizpildās")</f>
        <v>Kritērijs neizpildās</v>
      </c>
    </row>
    <row r="17" spans="1:4" s="777" customFormat="1" ht="27.75" customHeight="1">
      <c r="A17" s="1648" t="s">
        <v>37</v>
      </c>
      <c r="B17" s="2389" t="s">
        <v>1145</v>
      </c>
      <c r="C17" s="2390"/>
      <c r="D17" s="1736" t="str">
        <f>IF('1. DL budžets'!H16/'14. Kontroles lapa'!D6&lt;=1300,"Kritērijs izpildās","Kritērijs neizpildās")</f>
        <v>Kritērijs neizpildās</v>
      </c>
    </row>
    <row r="18" spans="1:4" s="777" customFormat="1" ht="24.75" customHeight="1">
      <c r="A18" s="1746" t="s">
        <v>80</v>
      </c>
      <c r="B18" s="2391" t="s">
        <v>1178</v>
      </c>
      <c r="C18" s="2392"/>
      <c r="D18" s="1736" t="e">
        <f>IF(AND(Titullapa!C79&lt;=HIDDEN!D2,Titullapa!D79&lt;=HIDDEN!D2,Titullapa!E79&lt;=HIDDEN!D2,Titullapa!F79&lt;=HIDDEN!D2,Titullapa!G79&lt;=HIDDEN!D2,Titullapa!H79&lt;=HIDDEN!D2,Titullapa!I79&lt;=HIDDEN!D2,Titullapa!J79&lt;=HIDDEN!D2,Titullapa!K79&lt;=HIDDEN!D2,Titullapa!L79&lt;=HIDDEN!D2,Titullapa!M79&lt;=HIDDEN!D2,Titullapa!N79&lt;=HIDDEN!D2,Titullapa!O79&lt;=HIDDEN!D2,Titullapa!P79&lt;=HIDDEN!D2,Titullapa!Q79&lt;=HIDDEN!D2),"Kritērijs izpildās","Kritērijs neizpildās")</f>
        <v>#DIV/0!</v>
      </c>
    </row>
    <row r="19" spans="1:4" ht="22.5" customHeight="1">
      <c r="A19" s="1749" t="s">
        <v>63</v>
      </c>
      <c r="B19" s="2393" t="s">
        <v>1141</v>
      </c>
      <c r="C19" s="2393"/>
      <c r="D19" s="1754" t="str">
        <f>IF('1. DL budžets'!F13&lt;=0.01*'1. DL budžets'!F16,"Kritērijs izpildās","Kritērijs neizpildās")</f>
        <v>Kritērijs izpildās</v>
      </c>
    </row>
    <row r="20" spans="1:4" ht="42" customHeight="1">
      <c r="A20" s="1749" t="s">
        <v>144</v>
      </c>
      <c r="B20" s="2393" t="s">
        <v>1177</v>
      </c>
      <c r="C20" s="2393"/>
      <c r="D20" s="1754" t="str">
        <f>IF('1. DL budžets'!F9&lt;=0.1*'1. DL budžets'!F16,"Kritērijs izpildās","Kritērijs neizpildās")</f>
        <v>Kritērijs izpildās</v>
      </c>
    </row>
    <row r="21" spans="1:4" ht="24" customHeight="1">
      <c r="A21" s="1746" t="s">
        <v>145</v>
      </c>
      <c r="B21" s="2391" t="s">
        <v>1179</v>
      </c>
      <c r="C21" s="2392"/>
      <c r="D21" s="1736" t="e">
        <f>IF(AND(Titullapa!C79&lt;=HIDDEN!D2,Titullapa!D79&lt;=HIDDEN!D2,Titullapa!E79&lt;=HIDDEN!D2,Titullapa!F79&lt;=HIDDEN!D2,Titullapa!G79&lt;=HIDDEN!D2,Titullapa!H79&lt;=HIDDEN!D2,Titullapa!I79&lt;=HIDDEN!D2,Titullapa!J79&lt;=HIDDEN!D2,Titullapa!K79&lt;=HIDDEN!D2,Titullapa!L79&lt;=HIDDEN!D2,Titullapa!M79&lt;=HIDDEN!D2,Titullapa!N79&lt;=HIDDEN!D2,Titullapa!O79&lt;=HIDDEN!D2,Titullapa!P79&lt;=HIDDEN!D2,Titullapa!Q79&lt;=HIDDEN!D2),"Kritērijs izpildās","Kritērijs neizpildās")</f>
        <v>#DIV/0!</v>
      </c>
    </row>
  </sheetData>
  <sheetProtection algorithmName="SHA-512" hashValue="WuF5i0j/cDj0U8hQpi6y+gI649FjR0opOl5Kyt+3LAFvyoCB0EEQDvG94FenXKlL58SQtT82oDyp1Lls1YqnuA==" saltValue="4nR2Ih1Yjq/OEOe4Fmi4eA==" spinCount="100000" sheet="1" objects="1" scenarios="1"/>
  <mergeCells count="10">
    <mergeCell ref="B21:C21"/>
    <mergeCell ref="B19:C19"/>
    <mergeCell ref="B18:C18"/>
    <mergeCell ref="B20:C20"/>
    <mergeCell ref="B17:C17"/>
    <mergeCell ref="A1:E1"/>
    <mergeCell ref="B13:C13"/>
    <mergeCell ref="B14:C14"/>
    <mergeCell ref="B15:C15"/>
    <mergeCell ref="B16:C16"/>
  </mergeCells>
  <conditionalFormatting sqref="D10 D13:D15">
    <cfRule type="cellIs" dxfId="17" priority="24" stopIfTrue="1" operator="equal">
      <formula>"NAV IZPILDĪTS KRITĒRIJS"</formula>
    </cfRule>
  </conditionalFormatting>
  <conditionalFormatting sqref="D15">
    <cfRule type="containsText" dxfId="16" priority="23" operator="containsText" text="PĀRSNIEGTAS IZMAKSAS">
      <formula>NOT(ISERROR(SEARCH("PĀRSNIEGTAS IZMAKSAS",D15)))</formula>
    </cfRule>
  </conditionalFormatting>
  <conditionalFormatting sqref="D13:D14">
    <cfRule type="containsText" dxfId="15" priority="22" operator="containsText" text="NAV IZPILDĪTS KRITĒRIJS">
      <formula>NOT(ISERROR(SEARCH("NAV IZPILDĪTS KRITĒRIJS",D13)))</formula>
    </cfRule>
  </conditionalFormatting>
  <conditionalFormatting sqref="D16:D18">
    <cfRule type="cellIs" dxfId="14" priority="21" stopIfTrue="1" operator="equal">
      <formula>"NAV IZPILDĪTS KRITĒRIJS"</formula>
    </cfRule>
  </conditionalFormatting>
  <conditionalFormatting sqref="D16:D18">
    <cfRule type="containsText" dxfId="13" priority="20" operator="containsText" text="NAV IZPILDĪTS KRITĒRIJS">
      <formula>NOT(ISERROR(SEARCH("NAV IZPILDĪTS KRITĒRIJS",D16)))</formula>
    </cfRule>
  </conditionalFormatting>
  <conditionalFormatting sqref="D16:D18">
    <cfRule type="cellIs" dxfId="12" priority="19" stopIfTrue="1" operator="equal">
      <formula>"NAV IZPILDĪTS KRITĒRIJS"</formula>
    </cfRule>
  </conditionalFormatting>
  <conditionalFormatting sqref="D16:D18">
    <cfRule type="containsText" dxfId="11" priority="18" operator="containsText" text="PĀRSNIEGTAS IZMAKSAS">
      <formula>NOT(ISERROR(SEARCH("PĀRSNIEGTAS IZMAKSAS",D16)))</formula>
    </cfRule>
  </conditionalFormatting>
  <conditionalFormatting sqref="D14">
    <cfRule type="containsText" dxfId="10" priority="17" operator="containsText" text="Kritērijs neizpildās">
      <formula>NOT(ISERROR(SEARCH("Kritērijs neizpildās",D14)))</formula>
    </cfRule>
  </conditionalFormatting>
  <conditionalFormatting sqref="D13">
    <cfRule type="containsText" dxfId="9" priority="16" operator="containsText" text="Kritērijs neizpildās">
      <formula>NOT(ISERROR(SEARCH("Kritērijs neizpildās",D13)))</formula>
    </cfRule>
  </conditionalFormatting>
  <conditionalFormatting sqref="D15:D18">
    <cfRule type="containsText" dxfId="8" priority="15" operator="containsText" text="Kritērijs neizpildās">
      <formula>NOT(ISERROR(SEARCH("Kritērijs neizpildās",D15)))</formula>
    </cfRule>
  </conditionalFormatting>
  <conditionalFormatting sqref="D13:D18">
    <cfRule type="cellIs" dxfId="7" priority="14" operator="equal">
      <formula>"Kritērijs neizpildās"</formula>
    </cfRule>
  </conditionalFormatting>
  <conditionalFormatting sqref="D19:D20">
    <cfRule type="cellIs" dxfId="6" priority="7" operator="equal">
      <formula>"Kritērijs neizpildās"</formula>
    </cfRule>
  </conditionalFormatting>
  <conditionalFormatting sqref="D21">
    <cfRule type="cellIs" dxfId="5" priority="6" stopIfTrue="1" operator="equal">
      <formula>"NAV IZPILDĪTS KRITĒRIJS"</formula>
    </cfRule>
  </conditionalFormatting>
  <conditionalFormatting sqref="D21">
    <cfRule type="containsText" dxfId="4" priority="5" operator="containsText" text="NAV IZPILDĪTS KRITĒRIJS">
      <formula>NOT(ISERROR(SEARCH("NAV IZPILDĪTS KRITĒRIJS",D21)))</formula>
    </cfRule>
  </conditionalFormatting>
  <conditionalFormatting sqref="D21">
    <cfRule type="cellIs" dxfId="3" priority="4" stopIfTrue="1" operator="equal">
      <formula>"NAV IZPILDĪTS KRITĒRIJS"</formula>
    </cfRule>
  </conditionalFormatting>
  <conditionalFormatting sqref="D21">
    <cfRule type="containsText" dxfId="2" priority="3" operator="containsText" text="PĀRSNIEGTAS IZMAKSAS">
      <formula>NOT(ISERROR(SEARCH("PĀRSNIEGTAS IZMAKSAS",D21)))</formula>
    </cfRule>
  </conditionalFormatting>
  <conditionalFormatting sqref="D21">
    <cfRule type="containsText" dxfId="1" priority="2" operator="containsText" text="Kritērijs neizpildās">
      <formula>NOT(ISERROR(SEARCH("Kritērijs neizpildās",D21)))</formula>
    </cfRule>
  </conditionalFormatting>
  <conditionalFormatting sqref="D21">
    <cfRule type="cellIs" dxfId="0" priority="1" operator="equal">
      <formula>"Kritērijs neizpildās"</formula>
    </cfRule>
  </conditionalFormatting>
  <pageMargins left="0.7" right="0.7" top="0.75" bottom="0.75" header="0.3" footer="0.3"/>
  <pageSetup paperSize="8"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pageSetUpPr fitToPage="1"/>
  </sheetPr>
  <dimension ref="A1:H44"/>
  <sheetViews>
    <sheetView zoomScale="85" zoomScaleNormal="85" workbookViewId="0">
      <selection activeCell="O20" sqref="O20"/>
    </sheetView>
  </sheetViews>
  <sheetFormatPr defaultRowHeight="12.75"/>
  <cols>
    <col min="1" max="1" width="36.28515625" style="777" customWidth="1"/>
    <col min="2" max="2" width="18.42578125" style="777" customWidth="1"/>
    <col min="3" max="5" width="11" style="777" customWidth="1"/>
    <col min="6" max="7" width="16.85546875" style="777" customWidth="1"/>
    <col min="8" max="8" width="9.140625" style="777" customWidth="1"/>
    <col min="9" max="16384" width="9.140625" style="777"/>
  </cols>
  <sheetData>
    <row r="1" spans="1:8" s="2020" customFormat="1" ht="27" customHeight="1">
      <c r="A1" s="2394" t="s">
        <v>987</v>
      </c>
      <c r="B1" s="2394"/>
      <c r="C1" s="2394"/>
      <c r="D1" s="1765"/>
      <c r="E1" s="1765"/>
      <c r="F1" s="1765"/>
      <c r="G1" s="1765"/>
      <c r="H1" s="1765"/>
    </row>
    <row r="2" spans="1:8" ht="24.95" customHeight="1">
      <c r="A2" s="2071" t="s">
        <v>920</v>
      </c>
      <c r="B2" s="816"/>
      <c r="C2" s="816"/>
      <c r="D2" s="816"/>
      <c r="E2" s="816"/>
      <c r="F2" s="816"/>
      <c r="G2" s="816"/>
      <c r="H2" s="808"/>
    </row>
    <row r="3" spans="1:8" ht="46.5" customHeight="1">
      <c r="A3" s="2072" t="s">
        <v>916</v>
      </c>
      <c r="B3" s="2073" t="str">
        <f>'1. DL budžets'!I3</f>
        <v>LĪDZ PROJEKTA IESNIEGŠANAI, bet ne agrāk kā no 01.01.2016.</v>
      </c>
      <c r="C3" s="2073">
        <f>Titullapa!E8</f>
        <v>2017</v>
      </c>
      <c r="D3" s="2073">
        <f>C3+1</f>
        <v>2018</v>
      </c>
      <c r="E3" s="2073">
        <f t="shared" ref="E3" si="0">D3+1</f>
        <v>2019</v>
      </c>
      <c r="F3" s="2074"/>
      <c r="H3" s="808"/>
    </row>
    <row r="4" spans="1:8" ht="12.75" customHeight="1">
      <c r="A4" s="2075"/>
      <c r="B4" s="2076" t="s">
        <v>917</v>
      </c>
      <c r="C4" s="2076" t="s">
        <v>917</v>
      </c>
      <c r="D4" s="2076" t="s">
        <v>917</v>
      </c>
      <c r="E4" s="2076" t="s">
        <v>917</v>
      </c>
      <c r="F4" s="2077" t="s">
        <v>15</v>
      </c>
      <c r="H4" s="1480"/>
    </row>
    <row r="5" spans="1:8">
      <c r="A5" s="2078" t="s">
        <v>1135</v>
      </c>
      <c r="B5" s="2079">
        <f>'1. DL budžets'!I18</f>
        <v>4241.7764443834458</v>
      </c>
      <c r="C5" s="2080">
        <f>'1. DL budžets'!K18</f>
        <v>24390.214555204813</v>
      </c>
      <c r="D5" s="2080">
        <f>'1. DL budžets'!M18</f>
        <v>7435.8341070041806</v>
      </c>
      <c r="E5" s="2081">
        <f>'1. DL budžets'!O18</f>
        <v>23753.948088547299</v>
      </c>
      <c r="F5" s="2082">
        <f t="shared" ref="F5:F10" si="1">E5/E$10</f>
        <v>0.82766369646506266</v>
      </c>
      <c r="G5" s="2141">
        <f>'8. AL budžets kopā'!H16</f>
        <v>59821.773195139744</v>
      </c>
    </row>
    <row r="6" spans="1:8" ht="51">
      <c r="A6" s="2084" t="s">
        <v>1136</v>
      </c>
      <c r="B6" s="1424">
        <f>'1. DL budžets'!I16*(1-'1. DL budžets'!$C$16*'17.PIV 4. pielikums finanšu an.'!$C$22)</f>
        <v>758.22355561655399</v>
      </c>
      <c r="C6" s="2085">
        <f>'1. DL budžets'!K16*(1-'1. DL budžets'!$C$16*'17.PIV 4. pielikums finanšu an.'!$C$22)</f>
        <v>4359.785444795185</v>
      </c>
      <c r="D6" s="2085">
        <f>'1. DL budžets'!M16*(1-'1. DL budžets'!$C$16*'17.PIV 4. pielikums finanšu an.'!$C$22)</f>
        <v>1329.1658929958191</v>
      </c>
      <c r="E6" s="2086">
        <f>'1. DL budžets'!O16*(1-'1. DL budžets'!$C$16*'17.PIV 4. pielikums finanšu an.'!$C$22)</f>
        <v>4246.0519114527024</v>
      </c>
      <c r="F6" s="2082">
        <f t="shared" si="1"/>
        <v>0.14794605963249835</v>
      </c>
      <c r="G6" s="2083"/>
    </row>
    <row r="7" spans="1:8">
      <c r="A7" s="2087" t="s">
        <v>872</v>
      </c>
      <c r="B7" s="2088">
        <f>'8. AL budžets kopā'!I16</f>
        <v>5000</v>
      </c>
      <c r="C7" s="2089">
        <f>'8. AL budžets kopā'!K16</f>
        <v>28750</v>
      </c>
      <c r="D7" s="2089">
        <f>'8. AL budžets kopā'!M16</f>
        <v>8765</v>
      </c>
      <c r="E7" s="2090">
        <f>'8. AL budžets kopā'!O16</f>
        <v>28000</v>
      </c>
      <c r="F7" s="2082">
        <f t="shared" si="1"/>
        <v>0.97560975609756095</v>
      </c>
      <c r="G7" s="2083"/>
    </row>
    <row r="8" spans="1:8">
      <c r="A8" s="2084" t="s">
        <v>918</v>
      </c>
      <c r="B8" s="2091">
        <f>'1. DL budžets'!J16</f>
        <v>500</v>
      </c>
      <c r="C8" s="2092">
        <f>'1. DL budžets'!L16</f>
        <v>700</v>
      </c>
      <c r="D8" s="2092">
        <f>'1. DL budžets'!N16</f>
        <v>700</v>
      </c>
      <c r="E8" s="2093">
        <f>'1. DL budžets'!P16</f>
        <v>700</v>
      </c>
      <c r="F8" s="2082">
        <f t="shared" si="1"/>
        <v>2.4390243902439025E-2</v>
      </c>
      <c r="G8" s="2083"/>
    </row>
    <row r="9" spans="1:8" s="2095" customFormat="1">
      <c r="A9" s="2087" t="s">
        <v>919</v>
      </c>
      <c r="B9" s="2088">
        <f>'8. AL budžets kopā'!J16</f>
        <v>500</v>
      </c>
      <c r="C9" s="2089">
        <f>'8. AL budžets kopā'!L16</f>
        <v>700</v>
      </c>
      <c r="D9" s="2089">
        <f>'8. AL budžets kopā'!N16</f>
        <v>700</v>
      </c>
      <c r="E9" s="2090">
        <f>'8. AL budžets kopā'!P16</f>
        <v>700</v>
      </c>
      <c r="F9" s="2082">
        <f t="shared" si="1"/>
        <v>2.4390243902439025E-2</v>
      </c>
      <c r="G9" s="2094">
        <f>'8. AL budžets kopā'!G16</f>
        <v>2600</v>
      </c>
    </row>
    <row r="10" spans="1:8" ht="15">
      <c r="A10" s="2096" t="s">
        <v>838</v>
      </c>
      <c r="B10" s="2097">
        <f>B7+B9</f>
        <v>5500</v>
      </c>
      <c r="C10" s="2098">
        <f>C7+C9</f>
        <v>29450</v>
      </c>
      <c r="D10" s="2098">
        <f>D7+D9</f>
        <v>9465</v>
      </c>
      <c r="E10" s="2099">
        <f>E7+E9</f>
        <v>28700</v>
      </c>
      <c r="F10" s="2082">
        <f t="shared" si="1"/>
        <v>1</v>
      </c>
      <c r="G10" s="2083">
        <f>'8. AL budžets kopā'!D16</f>
        <v>73115</v>
      </c>
    </row>
    <row r="11" spans="1:8" ht="15">
      <c r="A11" s="2100"/>
      <c r="B11" s="2100"/>
      <c r="C11" s="2100"/>
      <c r="D11" s="2100"/>
      <c r="E11" s="2100"/>
      <c r="F11" s="2100"/>
      <c r="G11" s="2100"/>
    </row>
    <row r="12" spans="1:8" ht="15">
      <c r="A12" s="2100"/>
      <c r="B12" s="2100"/>
      <c r="C12" s="2100"/>
      <c r="D12" s="2100"/>
      <c r="E12" s="2100"/>
      <c r="F12" s="2100"/>
      <c r="G12" s="2100"/>
    </row>
    <row r="13" spans="1:8" ht="15">
      <c r="A13" s="2100"/>
      <c r="B13" s="2100"/>
      <c r="C13" s="2100"/>
      <c r="D13" s="2100"/>
      <c r="E13" s="2100"/>
      <c r="F13" s="2100"/>
      <c r="G13" s="2100"/>
    </row>
    <row r="14" spans="1:8" ht="15">
      <c r="A14" s="2100"/>
      <c r="B14" s="2100"/>
      <c r="C14" s="2100"/>
      <c r="D14" s="2100"/>
      <c r="E14" s="2100"/>
      <c r="F14" s="2100"/>
      <c r="G14" s="2100"/>
    </row>
    <row r="15" spans="1:8" ht="15">
      <c r="A15" s="2100"/>
      <c r="B15" s="2100"/>
      <c r="C15" s="2100"/>
      <c r="D15" s="2100"/>
      <c r="E15" s="2100"/>
      <c r="F15" s="2100"/>
      <c r="G15" s="2100"/>
    </row>
    <row r="16" spans="1:8" ht="15">
      <c r="A16" s="2100"/>
      <c r="B16" s="2100"/>
      <c r="C16" s="2100"/>
      <c r="D16" s="2100"/>
      <c r="E16" s="2100"/>
      <c r="F16" s="2100"/>
      <c r="G16" s="2100"/>
    </row>
    <row r="17" spans="1:7" ht="15">
      <c r="A17" s="2100"/>
      <c r="B17" s="2100"/>
      <c r="C17" s="2100"/>
      <c r="D17" s="2100"/>
      <c r="E17" s="2100"/>
      <c r="F17" s="2100"/>
      <c r="G17" s="2100"/>
    </row>
    <row r="18" spans="1:7" ht="15">
      <c r="A18" s="2100"/>
      <c r="B18" s="2100"/>
      <c r="C18" s="2100"/>
      <c r="D18" s="2100"/>
      <c r="E18" s="2100"/>
      <c r="F18" s="2100"/>
      <c r="G18" s="2100"/>
    </row>
    <row r="19" spans="1:7" ht="15">
      <c r="A19" s="2100"/>
      <c r="B19" s="2100"/>
      <c r="C19" s="2100"/>
      <c r="D19" s="2100"/>
      <c r="E19" s="2100"/>
      <c r="F19" s="2100"/>
      <c r="G19" s="2100"/>
    </row>
    <row r="20" spans="1:7" ht="15">
      <c r="A20" s="2100"/>
      <c r="B20" s="2100"/>
      <c r="C20" s="2100"/>
      <c r="D20" s="2100"/>
      <c r="E20" s="2100"/>
      <c r="F20" s="2100"/>
      <c r="G20" s="2100"/>
    </row>
    <row r="21" spans="1:7" ht="15">
      <c r="A21" s="2100"/>
      <c r="B21" s="2100"/>
      <c r="C21" s="2100"/>
      <c r="D21" s="2100"/>
      <c r="E21" s="2100"/>
      <c r="F21" s="2100"/>
      <c r="G21" s="2100"/>
    </row>
    <row r="22" spans="1:7" ht="15">
      <c r="A22" s="2100"/>
      <c r="B22" s="2100"/>
      <c r="C22" s="2100"/>
      <c r="D22" s="2100"/>
      <c r="E22" s="2100"/>
      <c r="F22" s="2100"/>
      <c r="G22" s="2100"/>
    </row>
    <row r="23" spans="1:7" ht="15">
      <c r="A23" s="2100"/>
      <c r="B23" s="2100"/>
      <c r="C23" s="2100"/>
      <c r="D23" s="2100"/>
      <c r="E23" s="2100"/>
      <c r="F23" s="2100"/>
      <c r="G23" s="2100"/>
    </row>
    <row r="24" spans="1:7">
      <c r="A24" s="1758"/>
      <c r="B24" s="2101"/>
      <c r="C24" s="2102"/>
    </row>
    <row r="25" spans="1:7">
      <c r="A25" s="1758"/>
      <c r="B25" s="2101"/>
      <c r="C25" s="2102"/>
    </row>
    <row r="26" spans="1:7">
      <c r="A26" s="1758"/>
      <c r="B26" s="1758"/>
      <c r="C26" s="2102"/>
    </row>
    <row r="27" spans="1:7">
      <c r="A27" s="1758"/>
      <c r="B27" s="1758"/>
      <c r="C27" s="2102"/>
    </row>
    <row r="28" spans="1:7" ht="15">
      <c r="A28" s="2100"/>
      <c r="B28" s="1758"/>
      <c r="C28" s="2102"/>
    </row>
    <row r="29" spans="1:7" ht="15">
      <c r="A29" s="2100"/>
      <c r="B29" s="1758"/>
      <c r="C29" s="2102"/>
    </row>
    <row r="30" spans="1:7">
      <c r="A30" s="1758"/>
      <c r="B30" s="1758"/>
      <c r="C30" s="2102"/>
    </row>
    <row r="31" spans="1:7">
      <c r="A31" s="1758"/>
      <c r="B31" s="1758"/>
      <c r="C31" s="2102"/>
    </row>
    <row r="32" spans="1:7">
      <c r="A32" s="1758"/>
      <c r="B32" s="2101"/>
      <c r="C32" s="2102"/>
    </row>
    <row r="33" spans="1:3">
      <c r="A33" s="1758"/>
      <c r="B33" s="2101"/>
      <c r="C33" s="2102"/>
    </row>
    <row r="34" spans="1:3">
      <c r="A34" s="1758"/>
      <c r="B34" s="2101"/>
      <c r="C34" s="2102"/>
    </row>
    <row r="35" spans="1:3">
      <c r="A35" s="2103"/>
      <c r="B35" s="2104"/>
    </row>
    <row r="36" spans="1:3">
      <c r="A36" s="2103"/>
      <c r="B36" s="2104"/>
    </row>
    <row r="37" spans="1:3">
      <c r="A37" s="2103"/>
      <c r="B37" s="2104"/>
    </row>
    <row r="38" spans="1:3">
      <c r="A38" s="2103"/>
      <c r="B38" s="2104"/>
    </row>
    <row r="39" spans="1:3">
      <c r="A39" s="2103"/>
      <c r="B39" s="2104"/>
    </row>
    <row r="40" spans="1:3">
      <c r="A40" s="2103"/>
      <c r="B40" s="2104"/>
    </row>
    <row r="41" spans="1:3">
      <c r="A41" s="2103"/>
      <c r="B41" s="2104"/>
    </row>
    <row r="42" spans="1:3">
      <c r="A42" s="2103"/>
      <c r="B42" s="2104"/>
    </row>
    <row r="43" spans="1:3">
      <c r="A43" s="2104"/>
      <c r="B43" s="2104"/>
    </row>
    <row r="44" spans="1:3">
      <c r="A44" s="2104"/>
      <c r="B44" s="2104"/>
    </row>
  </sheetData>
  <sheetProtection algorithmName="SHA-512" hashValue="ag+7A0xaWrnQ9aDPkEF6gyv23k0znG4isjV/t1ekebWZWp/GAooUMzTTLLoA91GxW0CpJ8lwo7kJivEwXa55SQ==" saltValue="LwfOy4OmDS0zsTs1ocDQkg==" spinCount="100000" sheet="1" objects="1" scenarios="1"/>
  <mergeCells count="1">
    <mergeCell ref="A1:C1"/>
  </mergeCells>
  <pageMargins left="0.7" right="0.7" top="0.75" bottom="0.75" header="0.3" footer="0.3"/>
  <pageSetup paperSize="8" orientation="landscape" horizontalDpi="200" verticalDpi="200"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pageSetUpPr fitToPage="1"/>
  </sheetPr>
  <dimension ref="A1:T30"/>
  <sheetViews>
    <sheetView zoomScale="85" zoomScaleNormal="85" workbookViewId="0">
      <selection activeCell="B12" sqref="B12"/>
    </sheetView>
  </sheetViews>
  <sheetFormatPr defaultRowHeight="12.75"/>
  <cols>
    <col min="2" max="2" width="62.28515625" customWidth="1"/>
    <col min="3" max="3" width="17" customWidth="1"/>
    <col min="4" max="4" width="12.85546875" customWidth="1"/>
    <col min="5" max="5" width="9.85546875" customWidth="1"/>
    <col min="6" max="6" width="11.140625" customWidth="1"/>
    <col min="7" max="7" width="12.7109375" customWidth="1"/>
    <col min="8" max="8" width="13.28515625" customWidth="1"/>
    <col min="9" max="9" width="13.42578125" customWidth="1"/>
    <col min="10" max="10" width="9.7109375" bestFit="1" customWidth="1"/>
    <col min="11" max="11" width="11.5703125" bestFit="1" customWidth="1"/>
    <col min="12" max="12" width="9" bestFit="1" customWidth="1"/>
    <col min="16" max="16" width="17.85546875" customWidth="1"/>
  </cols>
  <sheetData>
    <row r="1" spans="1:20" ht="26.25">
      <c r="A1" s="2395" t="s">
        <v>993</v>
      </c>
      <c r="B1" s="2395"/>
      <c r="C1" s="2395"/>
      <c r="D1" s="599"/>
      <c r="E1" s="599"/>
      <c r="F1" s="599"/>
      <c r="G1" s="599"/>
      <c r="H1" s="599"/>
      <c r="I1" s="599"/>
      <c r="J1" s="599"/>
      <c r="K1" s="599"/>
      <c r="L1" s="599"/>
      <c r="M1" s="599"/>
      <c r="N1" s="599"/>
      <c r="O1" s="599"/>
      <c r="P1" s="599"/>
    </row>
    <row r="2" spans="1:20" s="1611" customFormat="1" ht="24.95" customHeight="1">
      <c r="A2" s="2396" t="s">
        <v>915</v>
      </c>
      <c r="B2" s="2396"/>
      <c r="C2" s="2396"/>
      <c r="D2" s="1612"/>
      <c r="E2" s="1612"/>
      <c r="F2" s="1612"/>
      <c r="G2" s="1612"/>
      <c r="H2" s="1612"/>
      <c r="I2" s="1612"/>
      <c r="J2" s="1612"/>
      <c r="K2" s="1612"/>
      <c r="L2" s="1612"/>
      <c r="M2" s="1612"/>
      <c r="N2" s="1612"/>
      <c r="O2" s="1612"/>
      <c r="P2" s="1612"/>
    </row>
    <row r="3" spans="1:20">
      <c r="A3" s="599"/>
      <c r="B3" s="599"/>
      <c r="C3" s="599"/>
      <c r="D3" s="599"/>
      <c r="E3" s="599"/>
      <c r="F3" s="599"/>
      <c r="G3" s="599"/>
      <c r="H3" s="599"/>
      <c r="I3" s="599"/>
      <c r="J3" s="599"/>
      <c r="K3" s="599"/>
      <c r="L3" s="599"/>
      <c r="M3" s="599"/>
      <c r="N3" s="599"/>
      <c r="O3" s="599"/>
      <c r="P3" s="599"/>
    </row>
    <row r="4" spans="1:20" s="1341" customFormat="1" ht="45" customHeight="1">
      <c r="A4" s="2399" t="s">
        <v>975</v>
      </c>
      <c r="B4" s="2397" t="s">
        <v>903</v>
      </c>
      <c r="C4" s="2397" t="s">
        <v>904</v>
      </c>
      <c r="D4" s="1763" t="s">
        <v>905</v>
      </c>
      <c r="E4" s="2397" t="s">
        <v>234</v>
      </c>
      <c r="F4" s="2397" t="s">
        <v>237</v>
      </c>
      <c r="G4" s="2397" t="s">
        <v>907</v>
      </c>
      <c r="H4" s="2397" t="s">
        <v>908</v>
      </c>
      <c r="I4" s="2397"/>
      <c r="J4" s="2397" t="s">
        <v>160</v>
      </c>
      <c r="K4" s="2397"/>
      <c r="L4" s="2398" t="s">
        <v>909</v>
      </c>
      <c r="M4" s="1348"/>
      <c r="N4" s="1348"/>
      <c r="O4" s="1348"/>
      <c r="P4" s="1762" t="s">
        <v>1007</v>
      </c>
    </row>
    <row r="5" spans="1:20" s="1341" customFormat="1" ht="17.25" customHeight="1">
      <c r="A5" s="2399"/>
      <c r="B5" s="2397"/>
      <c r="C5" s="2397"/>
      <c r="D5" s="1763" t="s">
        <v>906</v>
      </c>
      <c r="E5" s="2397"/>
      <c r="F5" s="2397"/>
      <c r="G5" s="2397"/>
      <c r="H5" s="1763" t="s">
        <v>910</v>
      </c>
      <c r="I5" s="1763" t="s">
        <v>911</v>
      </c>
      <c r="J5" s="1763" t="s">
        <v>873</v>
      </c>
      <c r="K5" s="1763" t="s">
        <v>15</v>
      </c>
      <c r="L5" s="2398"/>
      <c r="M5" s="1348"/>
      <c r="N5" s="1348"/>
      <c r="O5" s="1348"/>
      <c r="P5" s="1762" t="s">
        <v>1008</v>
      </c>
    </row>
    <row r="6" spans="1:20" s="1341" customFormat="1">
      <c r="A6" s="1633" t="s">
        <v>233</v>
      </c>
      <c r="B6" s="1634" t="str">
        <f>'8. AL budžets kopā'!B5</f>
        <v>Projekta izmaksas saskaņā ar vienoto izmaksu likmi (netiešās izmaksas)</v>
      </c>
      <c r="C6" s="1707" t="s">
        <v>90</v>
      </c>
      <c r="D6" s="1661"/>
      <c r="E6" s="1661"/>
      <c r="F6" s="1661"/>
      <c r="G6" s="1661"/>
      <c r="H6" s="1639">
        <f>'8. AL budžets kopā'!F5</f>
        <v>1500</v>
      </c>
      <c r="I6" s="1639">
        <f>'8. AL budžets kopā'!G5</f>
        <v>0</v>
      </c>
      <c r="J6" s="1639">
        <f>SUM(H6:I6)</f>
        <v>1500</v>
      </c>
      <c r="K6" s="1640">
        <f t="shared" ref="K6:K17" si="0">J6/$J$17</f>
        <v>2.051562606852219E-2</v>
      </c>
      <c r="L6" s="1664"/>
      <c r="M6" s="1348"/>
      <c r="N6" s="1348"/>
      <c r="O6" s="1348"/>
      <c r="P6" s="1693" t="str">
        <f>IF(J6='8. AL budžets kopā'!D5, "Sakrīt", "Nesakrīt!")</f>
        <v>Sakrīt</v>
      </c>
    </row>
    <row r="7" spans="1:20" s="1341" customFormat="1">
      <c r="A7" s="1622" t="s">
        <v>231</v>
      </c>
      <c r="B7" s="1623" t="str">
        <f>'8. AL budžets kopā'!B6</f>
        <v xml:space="preserve">Atlīdzības izmaksas projekta vadības personālam </v>
      </c>
      <c r="C7" s="1707" t="s">
        <v>89</v>
      </c>
      <c r="D7" s="1662"/>
      <c r="E7" s="1662"/>
      <c r="F7" s="1662"/>
      <c r="G7" s="1662"/>
      <c r="H7" s="1641">
        <f>'8. AL budžets kopā'!F6</f>
        <v>15000</v>
      </c>
      <c r="I7" s="1641">
        <f>'8. AL budžets kopā'!G6</f>
        <v>600</v>
      </c>
      <c r="J7" s="1641">
        <f t="shared" ref="J7:J17" si="1">SUM(H7:I7)</f>
        <v>15600</v>
      </c>
      <c r="K7" s="1642">
        <f t="shared" si="0"/>
        <v>0.2133625111126308</v>
      </c>
      <c r="L7" s="1665"/>
      <c r="M7" s="1348"/>
      <c r="N7" s="1348"/>
      <c r="O7" s="1348"/>
      <c r="P7" s="1693" t="str">
        <f>IF(J7='8. AL budžets kopā'!D6, "Sakrīt", "Nesakrīt!")</f>
        <v>Sakrīt</v>
      </c>
    </row>
    <row r="8" spans="1:20" s="1341" customFormat="1">
      <c r="A8" s="1635" t="s">
        <v>14</v>
      </c>
      <c r="B8" s="1621" t="str">
        <f>'8. AL budžets kopā'!B7</f>
        <v xml:space="preserve">Atlīdzības izmaksas projekta vadības personālam </v>
      </c>
      <c r="C8" s="1707" t="s">
        <v>89</v>
      </c>
      <c r="D8" s="1662"/>
      <c r="E8" s="1662"/>
      <c r="F8" s="1662"/>
      <c r="G8" s="1662"/>
      <c r="H8" s="1643">
        <f>'8. AL budžets kopā'!F7</f>
        <v>15000</v>
      </c>
      <c r="I8" s="1643">
        <f>'8. AL budžets kopā'!G7</f>
        <v>600</v>
      </c>
      <c r="J8" s="1643">
        <f t="shared" si="1"/>
        <v>15600</v>
      </c>
      <c r="K8" s="1644">
        <f t="shared" si="0"/>
        <v>0.2133625111126308</v>
      </c>
      <c r="L8" s="1665"/>
      <c r="M8" s="1348"/>
      <c r="N8" s="1348"/>
      <c r="O8" s="1348"/>
      <c r="P8" s="1693" t="str">
        <f>IF(J8='8. AL budžets kopā'!D7, "Sakrīt", "Nesakrīt!")</f>
        <v>Sakrīt</v>
      </c>
    </row>
    <row r="9" spans="1:20" s="1341" customFormat="1" ht="25.5">
      <c r="A9" s="1622" t="s">
        <v>159</v>
      </c>
      <c r="B9" s="1623" t="str">
        <f>'8. AL budžets kopā'!B8</f>
        <v>Pakalpojumu, preču piegāžu un būvdarbu līgumu izmaksas MK noteikumu 27.punktā minētajām atbalstāmajām darbībām</v>
      </c>
      <c r="C9" s="1707" t="s">
        <v>89</v>
      </c>
      <c r="D9" s="1662"/>
      <c r="E9" s="1662"/>
      <c r="F9" s="1662"/>
      <c r="G9" s="1662"/>
      <c r="H9" s="1726">
        <f>'8. AL budžets kopā'!F8</f>
        <v>45015</v>
      </c>
      <c r="I9" s="1641">
        <f>'8. AL budžets kopā'!G8</f>
        <v>500</v>
      </c>
      <c r="J9" s="1641">
        <f t="shared" si="1"/>
        <v>45515</v>
      </c>
      <c r="K9" s="1642">
        <f t="shared" si="0"/>
        <v>0.62251248033919171</v>
      </c>
      <c r="L9" s="1665"/>
      <c r="M9" s="1348"/>
      <c r="N9" s="1348"/>
      <c r="O9" s="1348"/>
      <c r="P9" s="1693" t="str">
        <f>IF(J9='8. AL budžets kopā'!D8, "Sakrīt", "Nesakrīt!")</f>
        <v>Sakrīt</v>
      </c>
    </row>
    <row r="10" spans="1:20" s="1341" customFormat="1" ht="25.5">
      <c r="A10" s="1635" t="s">
        <v>33</v>
      </c>
      <c r="B10" s="1621" t="str">
        <f>'8. AL budžets kopā'!B9</f>
        <v>būvniecības ieceres dokumentācijas un būvprojekta sagatavošanas un būvekspertīzes izmaksas</v>
      </c>
      <c r="C10" s="1707" t="s">
        <v>89</v>
      </c>
      <c r="D10" s="1662"/>
      <c r="E10" s="1662"/>
      <c r="F10" s="1662"/>
      <c r="G10" s="1662"/>
      <c r="H10" s="1643">
        <f>'8. AL budžets kopā'!F9</f>
        <v>5000</v>
      </c>
      <c r="I10" s="1643">
        <f>'8. AL budžets kopā'!G9</f>
        <v>500</v>
      </c>
      <c r="J10" s="1643">
        <f t="shared" si="1"/>
        <v>5500</v>
      </c>
      <c r="K10" s="1644">
        <f t="shared" si="0"/>
        <v>7.5223962251248028E-2</v>
      </c>
      <c r="L10" s="1665"/>
      <c r="M10" s="1348"/>
      <c r="N10" s="1348"/>
      <c r="O10" s="1348"/>
      <c r="P10" s="1693" t="str">
        <f>IF(J10='8. AL budžets kopā'!D9, "Sakrīt", "Nesakrīt!")</f>
        <v>Sakrīt</v>
      </c>
    </row>
    <row r="11" spans="1:20" s="1341" customFormat="1">
      <c r="A11" s="1635" t="s">
        <v>34</v>
      </c>
      <c r="B11" s="1621" t="str">
        <f>'8. AL budžets kopā'!B10</f>
        <v>infrastruktūras jaunas būvniecības, pārbūves un atjaunošanas izmaksas</v>
      </c>
      <c r="C11" s="1707" t="s">
        <v>89</v>
      </c>
      <c r="D11" s="1662"/>
      <c r="E11" s="1662"/>
      <c r="F11" s="1662"/>
      <c r="G11" s="1662"/>
      <c r="H11" s="1643">
        <f>'8. AL budžets kopā'!F10</f>
        <v>40015</v>
      </c>
      <c r="I11" s="1643">
        <f>'8. AL budžets kopā'!G10</f>
        <v>0</v>
      </c>
      <c r="J11" s="1643">
        <f t="shared" si="1"/>
        <v>40015</v>
      </c>
      <c r="K11" s="1644">
        <f t="shared" si="0"/>
        <v>0.54728851808794365</v>
      </c>
      <c r="L11" s="1665"/>
      <c r="M11" s="1348"/>
      <c r="N11" s="1348"/>
      <c r="O11" s="1348"/>
      <c r="P11" s="1693" t="str">
        <f>IF(J11='8. AL budžets kopā'!D10, "Sakrīt", "Nesakrīt!")</f>
        <v>Sakrīt</v>
      </c>
    </row>
    <row r="12" spans="1:20" s="1341" customFormat="1">
      <c r="A12" s="1635" t="s">
        <v>35</v>
      </c>
      <c r="B12" s="1621" t="str">
        <f>'8. AL budžets kopā'!B11</f>
        <v>būvuzraudzības un autoruzraudzības izmaksas</v>
      </c>
      <c r="C12" s="1707" t="s">
        <v>89</v>
      </c>
      <c r="D12" s="1662"/>
      <c r="E12" s="1662"/>
      <c r="F12" s="1662"/>
      <c r="G12" s="1662"/>
      <c r="H12" s="1724">
        <f>'8. AL budžets kopā'!F11</f>
        <v>0</v>
      </c>
      <c r="I12" s="1724">
        <f>'8. AL budžets kopā'!G11</f>
        <v>0</v>
      </c>
      <c r="J12" s="1724">
        <f t="shared" si="1"/>
        <v>0</v>
      </c>
      <c r="K12" s="1644">
        <f t="shared" si="0"/>
        <v>0</v>
      </c>
      <c r="L12" s="1665"/>
      <c r="M12" s="1348"/>
      <c r="N12" s="1348"/>
      <c r="O12" s="1348"/>
      <c r="P12" s="1693" t="str">
        <f>IF(J12='8. AL budžets kopā'!D11, "Sakrīt", "Nesakrīt!")</f>
        <v>Sakrīt</v>
      </c>
      <c r="T12" s="1385"/>
    </row>
    <row r="13" spans="1:20" s="1341" customFormat="1" ht="33.75" customHeight="1">
      <c r="A13" s="1635" t="s">
        <v>36</v>
      </c>
      <c r="B13" s="1621" t="str">
        <f>'8. AL budžets kopā'!B12</f>
        <v>apmeklētāju skaitīšanas ierīču, informācijas stendu, norāžu un zīmju, tai skaitā veselības maršrutu vajadzībām, iegādes, izgatavošanas, transportēšanas un uzstādīšanas izmaksas</v>
      </c>
      <c r="C13" s="1707" t="s">
        <v>89</v>
      </c>
      <c r="D13" s="1662"/>
      <c r="E13" s="1662"/>
      <c r="F13" s="1662"/>
      <c r="G13" s="1662"/>
      <c r="H13" s="1643">
        <f>'8. AL budžets kopā'!F12</f>
        <v>0</v>
      </c>
      <c r="I13" s="1643">
        <f>'8. AL budžets kopā'!G12</f>
        <v>0</v>
      </c>
      <c r="J13" s="1643">
        <f t="shared" si="1"/>
        <v>0</v>
      </c>
      <c r="K13" s="1644">
        <f t="shared" si="0"/>
        <v>0</v>
      </c>
      <c r="L13" s="1665"/>
      <c r="M13" s="1348"/>
      <c r="N13" s="1348"/>
      <c r="O13" s="1348"/>
      <c r="P13" s="1693" t="str">
        <f>IF(J13='8. AL budžets kopā'!D12, "Sakrīt", "Nesakrīt!")</f>
        <v>Sakrīt</v>
      </c>
      <c r="T13" s="1637"/>
    </row>
    <row r="14" spans="1:20" s="1341" customFormat="1">
      <c r="A14" s="1622" t="s">
        <v>1149</v>
      </c>
      <c r="B14" s="1623" t="str">
        <f>'8. AL budžets kopā'!B13</f>
        <v>Informatīvo un publicitātes pasākumu izmaksas</v>
      </c>
      <c r="C14" s="1707" t="s">
        <v>89</v>
      </c>
      <c r="D14" s="1662"/>
      <c r="E14" s="1662"/>
      <c r="F14" s="1662"/>
      <c r="G14" s="1662"/>
      <c r="H14" s="1643">
        <f>'8. AL budžets kopā'!F13</f>
        <v>0</v>
      </c>
      <c r="I14" s="1643">
        <f>'8. AL budžets kopā'!G13</f>
        <v>0</v>
      </c>
      <c r="J14" s="1643">
        <f t="shared" si="1"/>
        <v>0</v>
      </c>
      <c r="K14" s="1644">
        <f t="shared" si="0"/>
        <v>0</v>
      </c>
      <c r="L14" s="1665"/>
      <c r="M14" s="1348"/>
      <c r="N14" s="1348"/>
      <c r="O14" s="1348"/>
      <c r="P14" s="1693" t="str">
        <f>IF(J14='8. AL budžets kopā'!D13, "Sakrīt", "Nesakrīt!")</f>
        <v>Sakrīt</v>
      </c>
    </row>
    <row r="15" spans="1:20" s="1341" customFormat="1">
      <c r="A15" s="1622" t="s">
        <v>1150</v>
      </c>
      <c r="B15" s="1623" t="str">
        <f>'8. AL budžets kopā'!B14</f>
        <v xml:space="preserve">Neparedzētie izdevumi </v>
      </c>
      <c r="C15" s="1707" t="s">
        <v>89</v>
      </c>
      <c r="D15" s="1662"/>
      <c r="E15" s="1662"/>
      <c r="F15" s="1662"/>
      <c r="G15" s="1662"/>
      <c r="H15" s="1641">
        <f>'8. AL budžets kopā'!F14</f>
        <v>9000</v>
      </c>
      <c r="I15" s="1641">
        <f>'8. AL budžets kopā'!G14</f>
        <v>1500</v>
      </c>
      <c r="J15" s="1641">
        <f t="shared" si="1"/>
        <v>10500</v>
      </c>
      <c r="K15" s="1642">
        <f t="shared" si="0"/>
        <v>0.14360938247965535</v>
      </c>
      <c r="L15" s="1665"/>
      <c r="M15" s="1348"/>
      <c r="N15" s="1348"/>
      <c r="O15" s="1348"/>
      <c r="P15" s="1693" t="str">
        <f>IF(J15='8. AL budžets kopā'!D14, "Sakrīt", "Nesakrīt!")</f>
        <v>Sakrīt</v>
      </c>
      <c r="T15" s="1638"/>
    </row>
    <row r="16" spans="1:20" s="1341" customFormat="1">
      <c r="A16" s="1622" t="s">
        <v>1156</v>
      </c>
      <c r="B16" s="1623" t="s">
        <v>1154</v>
      </c>
      <c r="C16" s="1750" t="s">
        <v>89</v>
      </c>
      <c r="D16" s="1751"/>
      <c r="E16" s="1751"/>
      <c r="F16" s="1751"/>
      <c r="G16" s="1751"/>
      <c r="H16" s="1752">
        <f>'1. DL budžets'!F15</f>
        <v>0</v>
      </c>
      <c r="I16" s="1752">
        <f>'1. DL budžets'!G15</f>
        <v>0</v>
      </c>
      <c r="J16" s="1641">
        <f t="shared" si="1"/>
        <v>0</v>
      </c>
      <c r="K16" s="1642">
        <f t="shared" si="0"/>
        <v>0</v>
      </c>
      <c r="L16" s="1753"/>
      <c r="M16" s="1348"/>
      <c r="N16" s="1348"/>
      <c r="O16" s="1348"/>
      <c r="P16" s="1693"/>
      <c r="T16" s="1638"/>
    </row>
    <row r="17" spans="1:16" s="1341" customFormat="1">
      <c r="A17" s="1636"/>
      <c r="B17" s="1624" t="s">
        <v>160</v>
      </c>
      <c r="C17" s="1708"/>
      <c r="D17" s="1663"/>
      <c r="E17" s="1663"/>
      <c r="F17" s="1663"/>
      <c r="G17" s="1663"/>
      <c r="H17" s="1725">
        <f>'8. AL budžets kopā'!F16</f>
        <v>70515</v>
      </c>
      <c r="I17" s="1725">
        <f>'8. AL budžets kopā'!G16</f>
        <v>2600</v>
      </c>
      <c r="J17" s="1725">
        <f t="shared" si="1"/>
        <v>73115</v>
      </c>
      <c r="K17" s="1645">
        <f t="shared" si="0"/>
        <v>1</v>
      </c>
      <c r="L17" s="1666"/>
      <c r="M17" s="1348"/>
      <c r="N17" s="1348"/>
      <c r="O17" s="1348"/>
      <c r="P17" s="1694" t="str">
        <f>IF(J17='8. AL budžets kopā'!D16, "Sakrīt", "Nesakrīt!")</f>
        <v>Sakrīt</v>
      </c>
    </row>
    <row r="18" spans="1:16" s="1341" customFormat="1">
      <c r="A18" s="783"/>
      <c r="B18" s="783"/>
      <c r="C18" s="783"/>
      <c r="D18" s="783"/>
      <c r="E18" s="783"/>
      <c r="F18" s="783"/>
      <c r="G18" s="783"/>
      <c r="H18" s="783"/>
      <c r="I18" s="783"/>
      <c r="J18" s="783"/>
      <c r="K18" s="783"/>
      <c r="L18" s="783"/>
      <c r="M18" s="1348"/>
      <c r="N18" s="1348"/>
      <c r="O18" s="1348"/>
      <c r="P18" s="1348"/>
    </row>
    <row r="19" spans="1:16" s="1341" customFormat="1">
      <c r="A19" s="1348" t="s">
        <v>913</v>
      </c>
      <c r="B19" s="1348"/>
      <c r="C19" s="1348"/>
      <c r="D19" s="1348"/>
      <c r="E19" s="1348"/>
      <c r="F19" s="1348"/>
      <c r="G19" s="1348"/>
      <c r="H19" s="1348"/>
      <c r="I19" s="1348"/>
      <c r="J19" s="1348"/>
      <c r="K19" s="1348"/>
      <c r="L19" s="1348"/>
      <c r="M19" s="1348"/>
      <c r="N19" s="1348"/>
      <c r="O19" s="1348"/>
      <c r="P19" s="1348"/>
    </row>
    <row r="20" spans="1:16" s="1341" customFormat="1">
      <c r="A20" s="1348" t="s">
        <v>914</v>
      </c>
      <c r="B20" s="1348"/>
      <c r="C20" s="1348"/>
      <c r="D20" s="1348"/>
      <c r="E20" s="1348"/>
      <c r="F20" s="1348"/>
      <c r="G20" s="1348"/>
      <c r="H20" s="1348"/>
      <c r="I20" s="1348"/>
      <c r="J20" s="1348"/>
      <c r="K20" s="1348"/>
      <c r="L20" s="1348"/>
      <c r="M20" s="1348"/>
      <c r="N20" s="1348"/>
      <c r="O20" s="1348"/>
      <c r="P20" s="1348"/>
    </row>
    <row r="21" spans="1:16" s="1341" customFormat="1">
      <c r="A21" s="1348"/>
      <c r="B21" s="1348"/>
      <c r="C21" s="1348"/>
      <c r="D21" s="1348"/>
      <c r="E21" s="1348"/>
      <c r="F21" s="1348"/>
      <c r="G21" s="1348"/>
      <c r="H21" s="1348"/>
      <c r="I21" s="1348"/>
      <c r="J21" s="1348"/>
      <c r="K21" s="1348"/>
      <c r="L21" s="1348"/>
      <c r="M21" s="1348"/>
      <c r="N21" s="1348"/>
      <c r="O21" s="1348"/>
      <c r="P21" s="1348"/>
    </row>
    <row r="22" spans="1:16">
      <c r="A22" s="599"/>
      <c r="B22" s="599"/>
      <c r="C22" s="599"/>
      <c r="D22" s="599"/>
      <c r="E22" s="599"/>
      <c r="F22" s="599"/>
      <c r="G22" s="599"/>
      <c r="H22" s="599"/>
      <c r="I22" s="599"/>
      <c r="J22" s="599"/>
      <c r="K22" s="599"/>
      <c r="L22" s="599"/>
      <c r="M22" s="599"/>
      <c r="N22" s="599"/>
      <c r="O22" s="599"/>
      <c r="P22" s="599"/>
    </row>
    <row r="23" spans="1:16">
      <c r="A23" s="599"/>
      <c r="B23" s="599"/>
      <c r="C23" s="599"/>
      <c r="D23" s="599"/>
      <c r="E23" s="599"/>
      <c r="F23" s="599"/>
      <c r="G23" s="599"/>
      <c r="H23" s="599"/>
      <c r="I23" s="599"/>
      <c r="J23" s="599"/>
      <c r="K23" s="599"/>
      <c r="L23" s="599"/>
      <c r="M23" s="599"/>
      <c r="N23" s="599"/>
      <c r="O23" s="599"/>
      <c r="P23" s="599"/>
    </row>
    <row r="24" spans="1:16">
      <c r="A24" s="1669"/>
      <c r="B24" s="599"/>
      <c r="C24" s="599"/>
      <c r="D24" s="599"/>
      <c r="E24" s="599"/>
      <c r="F24" s="599"/>
      <c r="G24" s="599"/>
      <c r="H24" s="599"/>
      <c r="I24" s="599"/>
      <c r="J24" s="599"/>
      <c r="K24" s="599"/>
      <c r="L24" s="599"/>
      <c r="M24" s="599"/>
      <c r="N24" s="599"/>
      <c r="O24" s="599"/>
      <c r="P24" s="599"/>
    </row>
    <row r="25" spans="1:16">
      <c r="A25" s="599"/>
      <c r="B25" s="599"/>
      <c r="C25" s="599"/>
      <c r="D25" s="599"/>
      <c r="E25" s="599"/>
      <c r="F25" s="599"/>
      <c r="G25" s="599"/>
      <c r="H25" s="599"/>
      <c r="I25" s="599"/>
      <c r="J25" s="599"/>
      <c r="K25" s="599"/>
      <c r="L25" s="599"/>
      <c r="M25" s="599"/>
      <c r="N25" s="599"/>
      <c r="O25" s="599"/>
      <c r="P25" s="599"/>
    </row>
    <row r="26" spans="1:16">
      <c r="A26" s="599"/>
      <c r="B26" s="599"/>
      <c r="C26" s="599"/>
      <c r="D26" s="599"/>
      <c r="E26" s="599"/>
      <c r="F26" s="599"/>
      <c r="G26" s="599"/>
      <c r="H26" s="599"/>
      <c r="I26" s="599"/>
      <c r="J26" s="599"/>
      <c r="K26" s="599"/>
      <c r="L26" s="599"/>
      <c r="M26" s="599"/>
      <c r="N26" s="599"/>
      <c r="O26" s="599"/>
      <c r="P26" s="599"/>
    </row>
    <row r="27" spans="1:16">
      <c r="A27" s="599"/>
      <c r="B27" s="599"/>
      <c r="C27" s="599"/>
      <c r="D27" s="599"/>
      <c r="E27" s="599"/>
      <c r="F27" s="599"/>
      <c r="G27" s="599"/>
      <c r="H27" s="599"/>
      <c r="I27" s="599"/>
      <c r="J27" s="599"/>
      <c r="K27" s="599"/>
      <c r="L27" s="599"/>
      <c r="M27" s="599"/>
      <c r="N27" s="599"/>
      <c r="O27" s="599"/>
      <c r="P27" s="599"/>
    </row>
    <row r="28" spans="1:16">
      <c r="A28" s="599"/>
      <c r="B28" s="599"/>
      <c r="C28" s="599"/>
      <c r="D28" s="599"/>
      <c r="E28" s="599"/>
      <c r="F28" s="599"/>
      <c r="G28" s="599"/>
      <c r="H28" s="599"/>
      <c r="I28" s="599"/>
      <c r="J28" s="599"/>
      <c r="K28" s="599"/>
      <c r="L28" s="599"/>
      <c r="M28" s="599"/>
      <c r="N28" s="599"/>
      <c r="O28" s="599"/>
      <c r="P28" s="599"/>
    </row>
    <row r="29" spans="1:16">
      <c r="A29" s="599"/>
      <c r="B29" s="599"/>
      <c r="C29" s="599"/>
      <c r="D29" s="599"/>
      <c r="E29" s="599"/>
      <c r="F29" s="599"/>
      <c r="G29" s="599"/>
      <c r="H29" s="599"/>
      <c r="I29" s="599"/>
      <c r="J29" s="599"/>
      <c r="K29" s="599"/>
      <c r="L29" s="599"/>
      <c r="M29" s="599"/>
      <c r="N29" s="599"/>
      <c r="O29" s="599"/>
      <c r="P29" s="599"/>
    </row>
    <row r="30" spans="1:16">
      <c r="A30" s="599"/>
      <c r="B30" s="599"/>
      <c r="C30" s="599"/>
      <c r="D30" s="599"/>
      <c r="E30" s="599"/>
      <c r="F30" s="599"/>
      <c r="G30" s="599"/>
      <c r="H30" s="599"/>
      <c r="I30" s="599"/>
      <c r="J30" s="599"/>
      <c r="K30" s="599"/>
      <c r="L30" s="599"/>
      <c r="M30" s="599"/>
      <c r="N30" s="599"/>
      <c r="O30" s="599"/>
      <c r="P30" s="599"/>
    </row>
  </sheetData>
  <mergeCells count="11">
    <mergeCell ref="A1:C1"/>
    <mergeCell ref="A2:C2"/>
    <mergeCell ref="H4:I4"/>
    <mergeCell ref="J4:K4"/>
    <mergeCell ref="L4:L5"/>
    <mergeCell ref="A4:A5"/>
    <mergeCell ref="B4:B5"/>
    <mergeCell ref="C4:C5"/>
    <mergeCell ref="E4:E5"/>
    <mergeCell ref="F4:F5"/>
    <mergeCell ref="G4:G5"/>
  </mergeCells>
  <pageMargins left="0.7" right="0.7" top="0.75" bottom="0.75" header="0.3" footer="0.3"/>
  <pageSetup paperSize="8"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HIDDEN!$C$2:$C$3</xm:f>
          </x14:formula1>
          <xm:sqref>C6:C16</xm:sqref>
        </x14:dataValidation>
      </x14:dataValidations>
    </ext>
  </extLst>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pageSetUpPr fitToPage="1"/>
  </sheetPr>
  <dimension ref="A1:I51"/>
  <sheetViews>
    <sheetView zoomScale="85" zoomScaleNormal="85" workbookViewId="0">
      <selection activeCell="C31" sqref="C31"/>
    </sheetView>
  </sheetViews>
  <sheetFormatPr defaultRowHeight="12.75"/>
  <cols>
    <col min="1" max="1" width="4" style="2019" customWidth="1"/>
    <col min="2" max="2" width="36.28515625" style="2019" customWidth="1"/>
    <col min="3" max="4" width="13.42578125" style="2019" customWidth="1"/>
    <col min="5" max="5" width="22.7109375" style="2019" customWidth="1"/>
    <col min="6" max="6" width="21.140625" style="2019" customWidth="1"/>
    <col min="7" max="7" width="25.85546875" style="2019" customWidth="1"/>
    <col min="8" max="16384" width="9.140625" style="2019"/>
  </cols>
  <sheetData>
    <row r="1" spans="1:9" ht="26.25">
      <c r="A1" s="2394" t="s">
        <v>988</v>
      </c>
      <c r="B1" s="2394"/>
      <c r="C1" s="2394"/>
      <c r="D1" s="2105"/>
      <c r="E1" s="2105"/>
      <c r="F1" s="2105"/>
      <c r="G1" s="2105"/>
      <c r="H1" s="2105"/>
      <c r="I1" s="2105"/>
    </row>
    <row r="2" spans="1:9" ht="24.95" customHeight="1">
      <c r="A2" s="2426" t="s">
        <v>967</v>
      </c>
      <c r="B2" s="2427"/>
      <c r="C2" s="2427"/>
      <c r="D2" s="2105"/>
      <c r="E2" s="2105"/>
      <c r="F2" s="2105"/>
      <c r="G2" s="2105"/>
      <c r="H2" s="2105"/>
      <c r="I2" s="2105"/>
    </row>
    <row r="3" spans="1:9" s="2105" customFormat="1">
      <c r="A3" s="2106"/>
    </row>
    <row r="4" spans="1:9" ht="12.75" customHeight="1">
      <c r="A4" s="2430" t="s">
        <v>989</v>
      </c>
      <c r="B4" s="2431"/>
      <c r="C4" s="2431"/>
      <c r="D4" s="2431"/>
      <c r="E4" s="2431"/>
      <c r="F4" s="2431"/>
      <c r="G4" s="2431"/>
      <c r="H4" s="2105"/>
      <c r="I4" s="2105"/>
    </row>
    <row r="5" spans="1:9" s="2105" customFormat="1" ht="12.75" customHeight="1">
      <c r="A5" s="2107"/>
      <c r="B5" s="2107"/>
      <c r="C5" s="2107"/>
      <c r="D5" s="2107"/>
      <c r="E5" s="2107"/>
      <c r="F5" s="808"/>
      <c r="G5" s="808"/>
      <c r="H5" s="808"/>
    </row>
    <row r="6" spans="1:9" ht="12.75" customHeight="1">
      <c r="A6" s="2072" t="s">
        <v>255</v>
      </c>
      <c r="B6" s="2108" t="s">
        <v>921</v>
      </c>
      <c r="C6" s="2109" t="s">
        <v>922</v>
      </c>
      <c r="D6" s="2109" t="s">
        <v>966</v>
      </c>
      <c r="E6" s="2110" t="s">
        <v>926</v>
      </c>
      <c r="F6" s="2111" t="s">
        <v>990</v>
      </c>
      <c r="G6" s="808"/>
      <c r="H6" s="808"/>
      <c r="I6" s="2105"/>
    </row>
    <row r="7" spans="1:9" ht="51" customHeight="1">
      <c r="A7" s="2112">
        <v>1</v>
      </c>
      <c r="B7" s="2113" t="s">
        <v>923</v>
      </c>
      <c r="C7" s="2114">
        <f>COUNTIF('12. RL Investīciju n.pl.'!E26:S26,"&lt;&gt;0")</f>
        <v>15</v>
      </c>
      <c r="D7" s="2428"/>
      <c r="E7" s="2428"/>
      <c r="F7" s="808"/>
      <c r="G7" s="808"/>
      <c r="H7" s="808"/>
      <c r="I7" s="2105"/>
    </row>
    <row r="8" spans="1:9" ht="51" customHeight="1">
      <c r="A8" s="2112">
        <v>2</v>
      </c>
      <c r="B8" s="2115" t="s">
        <v>924</v>
      </c>
      <c r="C8" s="2116">
        <f>'12. RL Investīciju n.pl.'!E16</f>
        <v>0.04</v>
      </c>
      <c r="D8" s="2429"/>
      <c r="E8" s="2429"/>
      <c r="F8" s="808"/>
      <c r="G8" s="808"/>
      <c r="H8" s="808"/>
      <c r="I8" s="2105"/>
    </row>
    <row r="9" spans="1:9" ht="51" customHeight="1">
      <c r="A9" s="2112">
        <v>3</v>
      </c>
      <c r="B9" s="2144" t="s">
        <v>1203</v>
      </c>
      <c r="C9" s="2117">
        <f>-'3. DL invest.n.pl.AR pr.'!U26</f>
        <v>61515</v>
      </c>
      <c r="D9" s="2117">
        <f>-'12. RL Investīciju n.pl.'!T23</f>
        <v>59407.174556213024</v>
      </c>
      <c r="E9" s="2118" t="s">
        <v>1106</v>
      </c>
      <c r="F9" s="808"/>
      <c r="G9" s="808"/>
      <c r="H9" s="808"/>
      <c r="I9" s="2105"/>
    </row>
    <row r="10" spans="1:9" ht="51" customHeight="1">
      <c r="A10" s="2112">
        <v>4</v>
      </c>
      <c r="B10" s="2113" t="s">
        <v>927</v>
      </c>
      <c r="C10" s="2119">
        <f>'12. RL Investīciju n.pl.'!T12</f>
        <v>1000</v>
      </c>
      <c r="D10" s="2119">
        <f>'12. RL Investīciju n.pl.'!T25</f>
        <v>577.47508282180581</v>
      </c>
      <c r="E10" s="2118" t="s">
        <v>1068</v>
      </c>
      <c r="F10" s="808"/>
      <c r="G10" s="808"/>
      <c r="H10" s="808"/>
      <c r="I10" s="2105"/>
    </row>
    <row r="11" spans="1:9" ht="51" customHeight="1">
      <c r="A11" s="2112">
        <v>5</v>
      </c>
      <c r="B11" s="2113" t="s">
        <v>928</v>
      </c>
      <c r="C11" s="2120"/>
      <c r="D11" s="2121">
        <f>'12. RL Investīciju n.pl.'!T19</f>
        <v>4162.7242546037432</v>
      </c>
      <c r="E11" s="2118" t="s">
        <v>1068</v>
      </c>
      <c r="F11" s="808"/>
      <c r="G11" s="808"/>
      <c r="H11" s="808"/>
      <c r="I11" s="2105"/>
    </row>
    <row r="12" spans="1:9" ht="51" customHeight="1">
      <c r="A12" s="2112">
        <v>6</v>
      </c>
      <c r="B12" s="2122" t="s">
        <v>929</v>
      </c>
      <c r="C12" s="2120"/>
      <c r="D12" s="2121">
        <f>-'12. RL Investīciju n.pl.'!T20</f>
        <v>4625.2491717819366</v>
      </c>
      <c r="E12" s="2118" t="s">
        <v>1068</v>
      </c>
      <c r="F12" s="808"/>
      <c r="G12" s="808"/>
      <c r="H12" s="808"/>
      <c r="I12" s="2105"/>
    </row>
    <row r="13" spans="1:9" ht="12" customHeight="1">
      <c r="A13" s="2400"/>
      <c r="B13" s="2401"/>
      <c r="C13" s="2401"/>
      <c r="D13" s="2401"/>
      <c r="E13" s="2401"/>
      <c r="F13" s="808"/>
      <c r="G13" s="808"/>
      <c r="H13" s="808"/>
      <c r="I13" s="2105"/>
    </row>
    <row r="14" spans="1:9">
      <c r="A14" s="2123"/>
      <c r="B14" s="2124"/>
      <c r="C14" s="2124"/>
      <c r="D14" s="2124"/>
      <c r="E14" s="2124"/>
      <c r="F14" s="808"/>
      <c r="G14" s="808"/>
      <c r="H14" s="808"/>
      <c r="I14" s="2105"/>
    </row>
    <row r="15" spans="1:9" ht="26.25" customHeight="1">
      <c r="A15" s="2432" t="s">
        <v>930</v>
      </c>
      <c r="B15" s="2433"/>
      <c r="C15" s="2433"/>
      <c r="D15" s="2433"/>
      <c r="E15" s="2433"/>
      <c r="F15" s="2433"/>
      <c r="G15" s="2434"/>
      <c r="H15" s="808"/>
      <c r="I15" s="2105"/>
    </row>
    <row r="16" spans="1:9">
      <c r="F16" s="808"/>
      <c r="G16" s="808"/>
      <c r="H16" s="808"/>
      <c r="I16" s="2105"/>
    </row>
    <row r="17" spans="1:9" ht="12.75" customHeight="1">
      <c r="A17" s="2125" t="s">
        <v>255</v>
      </c>
      <c r="B17" s="2126" t="s">
        <v>921</v>
      </c>
      <c r="C17" s="2126" t="s">
        <v>925</v>
      </c>
      <c r="D17" s="2126" t="s">
        <v>966</v>
      </c>
      <c r="E17" s="2126" t="s">
        <v>926</v>
      </c>
      <c r="F17" s="2111" t="s">
        <v>990</v>
      </c>
      <c r="G17" s="808"/>
      <c r="H17" s="808"/>
      <c r="I17" s="2105"/>
    </row>
    <row r="18" spans="1:9" ht="25.5">
      <c r="A18" s="2410">
        <v>7</v>
      </c>
      <c r="B18" s="2127" t="s">
        <v>931</v>
      </c>
      <c r="C18" s="2412"/>
      <c r="D18" s="2414">
        <f>IF(D11&gt;0,D11-D12+D10,0)</f>
        <v>114.95016564361242</v>
      </c>
      <c r="E18" s="2416" t="s">
        <v>1068</v>
      </c>
      <c r="F18" s="808"/>
      <c r="G18" s="808"/>
      <c r="H18" s="808"/>
      <c r="I18" s="2105"/>
    </row>
    <row r="19" spans="1:9">
      <c r="A19" s="2411"/>
      <c r="B19" s="2128" t="s">
        <v>945</v>
      </c>
      <c r="C19" s="2413"/>
      <c r="D19" s="2415"/>
      <c r="E19" s="2417"/>
      <c r="F19" s="808"/>
      <c r="G19" s="808"/>
      <c r="H19" s="808"/>
      <c r="I19" s="2105"/>
    </row>
    <row r="20" spans="1:9" ht="25.5">
      <c r="A20" s="2410">
        <v>8</v>
      </c>
      <c r="B20" s="2127" t="s">
        <v>1200</v>
      </c>
      <c r="C20" s="2435"/>
      <c r="D20" s="2414">
        <f>IF(HIDDEN!B2=1, -'12. RL Investīciju n.pl.'!T23, D9-D18)</f>
        <v>59292.224390569412</v>
      </c>
      <c r="E20" s="2416" t="s">
        <v>1068</v>
      </c>
      <c r="F20" s="808"/>
      <c r="G20" s="808"/>
      <c r="H20" s="808"/>
      <c r="I20" s="2105"/>
    </row>
    <row r="21" spans="1:9">
      <c r="A21" s="2411"/>
      <c r="B21" s="2128" t="s">
        <v>944</v>
      </c>
      <c r="C21" s="2435"/>
      <c r="D21" s="2415"/>
      <c r="E21" s="2417"/>
      <c r="F21" s="808"/>
      <c r="G21" s="808"/>
      <c r="H21" s="808"/>
      <c r="I21" s="2105"/>
    </row>
    <row r="22" spans="1:9" ht="25.5">
      <c r="A22" s="2410">
        <v>9</v>
      </c>
      <c r="B22" s="2127" t="s">
        <v>932</v>
      </c>
      <c r="C22" s="2420">
        <f>D20/D9</f>
        <v>0.99806504573728139</v>
      </c>
      <c r="D22" s="2421"/>
      <c r="E22" s="2416" t="s">
        <v>1068</v>
      </c>
      <c r="F22" s="808"/>
      <c r="G22" s="808"/>
      <c r="H22" s="808"/>
      <c r="I22" s="2105"/>
    </row>
    <row r="23" spans="1:9">
      <c r="A23" s="2411"/>
      <c r="B23" s="2128" t="s">
        <v>943</v>
      </c>
      <c r="C23" s="2422"/>
      <c r="D23" s="2423"/>
      <c r="E23" s="2417"/>
      <c r="F23" s="808"/>
      <c r="G23" s="808"/>
      <c r="H23" s="808"/>
      <c r="I23" s="2105"/>
    </row>
    <row r="24" spans="1:9" ht="25.5">
      <c r="A24" s="2410">
        <v>10</v>
      </c>
      <c r="B24" s="2127" t="s">
        <v>933</v>
      </c>
      <c r="C24" s="2420">
        <f>C22*'8. AL budžets kopā'!C16</f>
        <v>0.84835528887668932</v>
      </c>
      <c r="D24" s="2421"/>
      <c r="E24" s="2424" t="s">
        <v>1048</v>
      </c>
      <c r="F24" s="808"/>
      <c r="G24" s="808"/>
      <c r="H24" s="808"/>
      <c r="I24" s="2105"/>
    </row>
    <row r="25" spans="1:9" ht="27.75" customHeight="1">
      <c r="A25" s="2411"/>
      <c r="B25" s="2128" t="s">
        <v>1201</v>
      </c>
      <c r="C25" s="2422"/>
      <c r="D25" s="2423"/>
      <c r="E25" s="2425"/>
      <c r="F25" s="2129"/>
      <c r="G25" s="808"/>
      <c r="H25" s="808"/>
      <c r="I25" s="2105"/>
    </row>
    <row r="26" spans="1:9">
      <c r="A26" s="808"/>
      <c r="B26" s="808"/>
      <c r="C26" s="808"/>
      <c r="D26" s="808"/>
      <c r="E26" s="808"/>
      <c r="F26" s="808"/>
      <c r="G26" s="808"/>
      <c r="H26" s="808"/>
      <c r="I26" s="2105"/>
    </row>
    <row r="27" spans="1:9" ht="12.75" customHeight="1">
      <c r="A27" s="2407" t="s">
        <v>934</v>
      </c>
      <c r="B27" s="2408"/>
      <c r="C27" s="2408"/>
      <c r="D27" s="2408"/>
      <c r="E27" s="2408"/>
      <c r="F27" s="2408"/>
      <c r="G27" s="2409"/>
      <c r="H27" s="808"/>
      <c r="I27" s="2105"/>
    </row>
    <row r="28" spans="1:9">
      <c r="A28" s="2404"/>
      <c r="B28" s="2405"/>
      <c r="C28" s="2402" t="s">
        <v>935</v>
      </c>
      <c r="D28" s="2402"/>
      <c r="E28" s="2142" t="s">
        <v>936</v>
      </c>
      <c r="F28" s="2108"/>
      <c r="G28" s="2130" t="s">
        <v>926</v>
      </c>
      <c r="H28" s="808"/>
      <c r="I28" s="2105"/>
    </row>
    <row r="29" spans="1:9" ht="18.75" customHeight="1">
      <c r="A29" s="2406"/>
      <c r="B29" s="2403"/>
      <c r="C29" s="2403" t="s">
        <v>937</v>
      </c>
      <c r="D29" s="2403"/>
      <c r="E29" s="2131" t="s">
        <v>938</v>
      </c>
      <c r="F29" s="2131"/>
      <c r="G29" s="2132" t="s">
        <v>990</v>
      </c>
      <c r="H29" s="808"/>
      <c r="I29" s="2105"/>
    </row>
    <row r="30" spans="1:9">
      <c r="A30" s="2133">
        <v>1</v>
      </c>
      <c r="B30" s="2134" t="s">
        <v>946</v>
      </c>
      <c r="C30" s="2135">
        <f>'12. RL Investīciju n.pl.'!F39</f>
        <v>-0.29046440931111461</v>
      </c>
      <c r="D30" s="2136" t="s">
        <v>939</v>
      </c>
      <c r="E30" s="2137">
        <f>'11. RL Kapitāla naudas plūsma'!G40</f>
        <v>-0.29046440931111461</v>
      </c>
      <c r="F30" s="2136" t="s">
        <v>940</v>
      </c>
      <c r="G30" s="2418" t="s">
        <v>1120</v>
      </c>
      <c r="H30" s="808"/>
      <c r="I30" s="2105"/>
    </row>
    <row r="31" spans="1:9">
      <c r="A31" s="2138">
        <v>2</v>
      </c>
      <c r="B31" s="2139" t="s">
        <v>947</v>
      </c>
      <c r="C31" s="2121">
        <f>'12. RL Investīciju n.pl.'!F38</f>
        <v>-70470.774686427365</v>
      </c>
      <c r="D31" s="2140" t="s">
        <v>941</v>
      </c>
      <c r="E31" s="2121">
        <f>'11. RL Kapitāla naudas plūsma'!G39</f>
        <v>-70470.774686427365</v>
      </c>
      <c r="F31" s="2136" t="s">
        <v>942</v>
      </c>
      <c r="G31" s="2419"/>
      <c r="H31" s="808"/>
      <c r="I31" s="2105"/>
    </row>
    <row r="32" spans="1:9" ht="24.75" customHeight="1">
      <c r="A32" s="2400" t="s">
        <v>1202</v>
      </c>
      <c r="B32" s="2401"/>
      <c r="C32" s="2401"/>
      <c r="D32" s="2401"/>
      <c r="E32" s="2401"/>
      <c r="F32" s="2105"/>
      <c r="G32" s="2105"/>
      <c r="H32" s="808"/>
      <c r="I32" s="2105"/>
    </row>
    <row r="33" spans="1:9">
      <c r="A33" s="808"/>
      <c r="B33" s="808"/>
      <c r="C33" s="808"/>
      <c r="D33" s="808"/>
      <c r="E33" s="808"/>
      <c r="F33" s="808"/>
      <c r="G33" s="808"/>
      <c r="H33" s="808"/>
      <c r="I33" s="2105"/>
    </row>
    <row r="34" spans="1:9">
      <c r="A34" s="808"/>
      <c r="B34" s="808"/>
      <c r="C34" s="808"/>
      <c r="D34" s="808"/>
      <c r="E34" s="808"/>
      <c r="F34" s="808"/>
      <c r="G34" s="808"/>
      <c r="H34" s="808"/>
      <c r="I34" s="2105"/>
    </row>
    <row r="35" spans="1:9">
      <c r="A35" s="808"/>
      <c r="B35" s="808"/>
      <c r="C35" s="808"/>
      <c r="D35" s="808"/>
      <c r="E35" s="808"/>
      <c r="F35" s="808"/>
      <c r="G35" s="808"/>
      <c r="H35" s="808"/>
      <c r="I35" s="2105"/>
    </row>
    <row r="36" spans="1:9">
      <c r="A36" s="808"/>
      <c r="B36" s="808"/>
      <c r="C36" s="808"/>
      <c r="D36" s="808"/>
      <c r="E36" s="808"/>
      <c r="F36" s="2105"/>
      <c r="G36" s="2105"/>
      <c r="H36" s="2105"/>
      <c r="I36" s="2105"/>
    </row>
    <row r="37" spans="1:9">
      <c r="A37" s="2105"/>
      <c r="B37" s="2105"/>
      <c r="C37" s="2105"/>
      <c r="D37" s="2105"/>
      <c r="E37" s="2105"/>
      <c r="F37" s="2105"/>
      <c r="G37" s="2105"/>
      <c r="H37" s="2105"/>
      <c r="I37" s="2105"/>
    </row>
    <row r="38" spans="1:9">
      <c r="A38" s="2105"/>
      <c r="B38" s="2105"/>
      <c r="C38" s="2105"/>
      <c r="D38" s="2105"/>
      <c r="E38" s="2105"/>
      <c r="F38" s="2105"/>
      <c r="G38" s="2105"/>
      <c r="H38" s="2105"/>
      <c r="I38" s="2105"/>
    </row>
    <row r="39" spans="1:9">
      <c r="A39" s="2105"/>
      <c r="B39" s="2105"/>
      <c r="C39" s="2105"/>
      <c r="D39" s="2105"/>
      <c r="E39" s="2105"/>
      <c r="F39" s="2105"/>
      <c r="G39" s="2105"/>
      <c r="H39" s="2105"/>
      <c r="I39" s="2105"/>
    </row>
    <row r="40" spans="1:9">
      <c r="A40" s="2105"/>
      <c r="B40" s="2105"/>
      <c r="C40" s="2105"/>
      <c r="D40" s="2105"/>
      <c r="E40" s="2105"/>
      <c r="F40" s="2105"/>
      <c r="G40" s="2105"/>
      <c r="H40" s="2105"/>
      <c r="I40" s="2105"/>
    </row>
    <row r="41" spans="1:9">
      <c r="A41" s="2105"/>
      <c r="B41" s="2105"/>
      <c r="C41" s="2105"/>
      <c r="D41" s="2105"/>
      <c r="E41" s="2105"/>
      <c r="F41" s="2105"/>
      <c r="G41" s="2105"/>
      <c r="H41" s="2105"/>
      <c r="I41" s="2105"/>
    </row>
    <row r="42" spans="1:9">
      <c r="A42" s="2105"/>
      <c r="B42" s="2105"/>
      <c r="C42" s="2105"/>
      <c r="D42" s="2105"/>
      <c r="E42" s="2105"/>
      <c r="F42" s="2105"/>
      <c r="G42" s="2105"/>
      <c r="H42" s="2105"/>
      <c r="I42" s="2105"/>
    </row>
    <row r="43" spans="1:9">
      <c r="A43" s="2105"/>
      <c r="B43" s="2105"/>
      <c r="C43" s="2105"/>
      <c r="D43" s="2105"/>
      <c r="E43" s="2105"/>
      <c r="F43" s="2105"/>
      <c r="G43" s="2105"/>
      <c r="H43" s="2105"/>
      <c r="I43" s="2105"/>
    </row>
    <row r="44" spans="1:9">
      <c r="A44" s="2105"/>
      <c r="B44" s="2105"/>
      <c r="C44" s="2105"/>
      <c r="D44" s="2105"/>
      <c r="E44" s="2105"/>
      <c r="F44" s="2105"/>
      <c r="G44" s="2105"/>
      <c r="H44" s="2105"/>
      <c r="I44" s="2105"/>
    </row>
    <row r="45" spans="1:9" ht="12.75" customHeight="1">
      <c r="A45" s="2105"/>
      <c r="B45" s="2105"/>
      <c r="C45" s="2105"/>
      <c r="D45" s="2105"/>
      <c r="E45" s="2105"/>
      <c r="F45" s="2105"/>
      <c r="G45" s="2105"/>
      <c r="H45" s="2105"/>
      <c r="I45" s="2105"/>
    </row>
    <row r="46" spans="1:9">
      <c r="A46" s="2105"/>
      <c r="B46" s="2105"/>
      <c r="C46" s="2105"/>
      <c r="D46" s="2105"/>
      <c r="E46" s="2105"/>
      <c r="F46" s="2105"/>
      <c r="G46" s="2105"/>
      <c r="H46" s="2105"/>
      <c r="I46" s="2105"/>
    </row>
    <row r="47" spans="1:9">
      <c r="A47" s="2105"/>
      <c r="B47" s="2105"/>
      <c r="C47" s="2105"/>
      <c r="D47" s="2105"/>
      <c r="E47" s="2105"/>
      <c r="F47" s="2105"/>
      <c r="G47" s="2105"/>
      <c r="H47" s="2105"/>
      <c r="I47" s="2105"/>
    </row>
    <row r="48" spans="1:9" ht="38.25" customHeight="1">
      <c r="A48" s="2105"/>
      <c r="B48" s="2105"/>
      <c r="C48" s="2105"/>
      <c r="D48" s="2105"/>
      <c r="E48" s="2105"/>
      <c r="F48" s="2105"/>
      <c r="G48" s="2105"/>
      <c r="H48" s="2105"/>
      <c r="I48" s="2105"/>
    </row>
    <row r="49" spans="1:9">
      <c r="A49" s="2105"/>
      <c r="B49" s="2105"/>
      <c r="C49" s="2105"/>
      <c r="D49" s="2105"/>
      <c r="E49" s="2105"/>
      <c r="F49" s="2105"/>
      <c r="G49" s="2105"/>
      <c r="H49" s="2105"/>
      <c r="I49" s="2105"/>
    </row>
    <row r="50" spans="1:9">
      <c r="A50" s="2105"/>
      <c r="B50" s="2105"/>
      <c r="C50" s="2105"/>
      <c r="D50" s="2105"/>
      <c r="E50" s="2105"/>
      <c r="F50" s="2105"/>
      <c r="G50" s="2105"/>
      <c r="H50" s="2105"/>
      <c r="I50" s="2105"/>
    </row>
    <row r="51" spans="1:9">
      <c r="H51" s="2105"/>
      <c r="I51" s="2105"/>
    </row>
  </sheetData>
  <sheetProtection algorithmName="SHA-512" hashValue="808hAYjdLEty84Ie+izg/80wx89ckItWPQbRjRYSCQZojrNK8W++7KXV/fwGY/UjCAEQsUQzMZC0HEl9sujCIw==" saltValue="++Pn8FkS0TJDwe4hMZoNOw==" spinCount="100000" sheet="1" objects="1" scenarios="1"/>
  <mergeCells count="27">
    <mergeCell ref="G30:G31"/>
    <mergeCell ref="A24:A25"/>
    <mergeCell ref="C24:D25"/>
    <mergeCell ref="E24:E25"/>
    <mergeCell ref="A1:C1"/>
    <mergeCell ref="A2:C2"/>
    <mergeCell ref="D7:E8"/>
    <mergeCell ref="A4:G4"/>
    <mergeCell ref="A15:G15"/>
    <mergeCell ref="A20:A21"/>
    <mergeCell ref="C20:C21"/>
    <mergeCell ref="D20:D21"/>
    <mergeCell ref="E20:E21"/>
    <mergeCell ref="A22:A23"/>
    <mergeCell ref="C22:D23"/>
    <mergeCell ref="E22:E23"/>
    <mergeCell ref="A27:G27"/>
    <mergeCell ref="A13:E13"/>
    <mergeCell ref="A18:A19"/>
    <mergeCell ref="C18:C19"/>
    <mergeCell ref="D18:D19"/>
    <mergeCell ref="E18:E19"/>
    <mergeCell ref="A32:E32"/>
    <mergeCell ref="C28:D28"/>
    <mergeCell ref="C29:D29"/>
    <mergeCell ref="A28:B28"/>
    <mergeCell ref="A29:B29"/>
  </mergeCells>
  <hyperlinks>
    <hyperlink ref="B12" r:id="rId1" display="http://eur-lex.europa.eu/eli/reg/2014/480?locale=LV"/>
    <hyperlink ref="A15" r:id="rId2" display="http://eur-lex.europa.eu/eli/reg/2013/1303?locale=LV"/>
  </hyperlinks>
  <pageMargins left="0.7" right="0.7" top="0.75" bottom="0.75" header="0.3" footer="0.3"/>
  <pageSetup paperSize="8" orientation="landscape" r:id="rId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7">
    <pageSetUpPr fitToPage="1"/>
  </sheetPr>
  <dimension ref="A1:I46"/>
  <sheetViews>
    <sheetView zoomScale="85" zoomScaleNormal="85" workbookViewId="0">
      <selection activeCell="B32" sqref="B32"/>
    </sheetView>
  </sheetViews>
  <sheetFormatPr defaultRowHeight="12.75"/>
  <cols>
    <col min="1" max="1" width="38.42578125" customWidth="1"/>
    <col min="2" max="2" width="33.85546875" customWidth="1"/>
    <col min="3" max="3" width="28.28515625" customWidth="1"/>
    <col min="4" max="4" width="21.7109375" customWidth="1"/>
  </cols>
  <sheetData>
    <row r="1" spans="1:9" ht="26.25">
      <c r="A1" s="2395" t="s">
        <v>988</v>
      </c>
      <c r="B1" s="2395"/>
      <c r="C1" s="2395"/>
      <c r="D1" s="599"/>
      <c r="E1" s="599"/>
      <c r="F1" s="599"/>
      <c r="G1" s="599"/>
      <c r="H1" s="599"/>
      <c r="I1" s="599"/>
    </row>
    <row r="2" spans="1:9" s="1611" customFormat="1" ht="24.95" customHeight="1">
      <c r="A2" s="1405" t="s">
        <v>969</v>
      </c>
      <c r="B2" s="1612"/>
      <c r="C2" s="1612"/>
      <c r="D2" s="1612"/>
      <c r="E2" s="1612"/>
      <c r="F2" s="1612"/>
      <c r="G2" s="1612"/>
      <c r="H2" s="1612"/>
      <c r="I2" s="1612"/>
    </row>
    <row r="3" spans="1:9" ht="12.75" customHeight="1">
      <c r="A3" s="1614" t="s">
        <v>968</v>
      </c>
      <c r="B3" s="1615"/>
      <c r="C3" s="1615"/>
      <c r="D3" s="1616"/>
      <c r="E3" s="599"/>
      <c r="F3" s="599"/>
      <c r="G3" s="599"/>
      <c r="H3" s="599"/>
      <c r="I3" s="599"/>
    </row>
    <row r="4" spans="1:9" s="599" customFormat="1" ht="12.75" customHeight="1">
      <c r="A4" s="1350"/>
      <c r="B4" s="1350"/>
      <c r="C4" s="1350"/>
      <c r="D4" s="1350"/>
    </row>
    <row r="5" spans="1:9" ht="28.5" customHeight="1">
      <c r="A5" s="1617" t="s">
        <v>948</v>
      </c>
      <c r="B5" s="1618" t="s">
        <v>949</v>
      </c>
      <c r="C5" s="1619" t="s">
        <v>991</v>
      </c>
      <c r="D5" s="1620" t="s">
        <v>950</v>
      </c>
      <c r="E5" s="599"/>
      <c r="F5" s="599"/>
      <c r="G5" s="599"/>
      <c r="H5" s="599"/>
      <c r="I5" s="599"/>
    </row>
    <row r="6" spans="1:9">
      <c r="A6" s="1610" t="str">
        <f>'5. DL soc.econom. analīze'!B7</f>
        <v>Ieguvums ...</v>
      </c>
      <c r="B6" s="1661"/>
      <c r="C6" s="1727">
        <f>'13. RL Sociālekonomiskā an.'!U20</f>
        <v>32695.922820268857</v>
      </c>
      <c r="D6" s="1697">
        <f>C6/$C$15</f>
        <v>0.33333333333333331</v>
      </c>
      <c r="E6" s="1606"/>
      <c r="F6" s="599"/>
      <c r="G6" s="599"/>
      <c r="H6" s="599"/>
      <c r="I6" s="599"/>
    </row>
    <row r="7" spans="1:9">
      <c r="A7" s="1610" t="str">
        <f>'5. DL soc.econom. analīze'!B8</f>
        <v>Ieguvums ...</v>
      </c>
      <c r="B7" s="1662"/>
      <c r="C7" s="1727">
        <f>'13. RL Sociālekonomiskā an.'!U21</f>
        <v>32695.922820268857</v>
      </c>
      <c r="D7" s="1697">
        <f t="shared" ref="D7:D14" si="0">C7/$C$15</f>
        <v>0.33333333333333331</v>
      </c>
      <c r="E7" s="1606"/>
      <c r="F7" s="599"/>
      <c r="G7" s="599"/>
      <c r="H7" s="599"/>
      <c r="I7" s="599"/>
    </row>
    <row r="8" spans="1:9" ht="10.5" customHeight="1">
      <c r="A8" s="1610" t="str">
        <f>'5. DL soc.econom. analīze'!B9</f>
        <v>Ieguvums ...</v>
      </c>
      <c r="B8" s="1662"/>
      <c r="C8" s="1727">
        <f>'13. RL Sociālekonomiskā an.'!U22</f>
        <v>32695.922820268857</v>
      </c>
      <c r="D8" s="1697">
        <f t="shared" si="0"/>
        <v>0.33333333333333331</v>
      </c>
      <c r="E8" s="1606"/>
      <c r="F8" s="599"/>
      <c r="G8" s="599"/>
      <c r="H8" s="599"/>
      <c r="I8" s="599"/>
    </row>
    <row r="9" spans="1:9">
      <c r="A9" s="1610" t="str">
        <f>'5. DL soc.econom. analīze'!B10</f>
        <v>Ieguvums ...</v>
      </c>
      <c r="B9" s="1662"/>
      <c r="C9" s="1700">
        <f>'13. RL Sociālekonomiskā an.'!U23</f>
        <v>0</v>
      </c>
      <c r="D9" s="1697">
        <f t="shared" si="0"/>
        <v>0</v>
      </c>
      <c r="E9" s="1606"/>
      <c r="F9" s="599"/>
      <c r="G9" s="599"/>
      <c r="H9" s="599"/>
      <c r="I9" s="599"/>
    </row>
    <row r="10" spans="1:9">
      <c r="A10" s="1610" t="str">
        <f>'5. DL soc.econom. analīze'!B11</f>
        <v>Ieguvums ...</v>
      </c>
      <c r="B10" s="1662"/>
      <c r="C10" s="1700">
        <f>'13. RL Sociālekonomiskā an.'!U24</f>
        <v>0</v>
      </c>
      <c r="D10" s="1697">
        <f t="shared" si="0"/>
        <v>0</v>
      </c>
      <c r="E10" s="1606"/>
      <c r="F10" s="599"/>
      <c r="G10" s="599"/>
      <c r="H10" s="599"/>
      <c r="I10" s="599"/>
    </row>
    <row r="11" spans="1:9">
      <c r="A11" s="1610" t="str">
        <f>'5. DL soc.econom. analīze'!B12</f>
        <v>Ieguvums ...</v>
      </c>
      <c r="B11" s="1662"/>
      <c r="C11" s="1700">
        <f>'13. RL Sociālekonomiskā an.'!U25</f>
        <v>0</v>
      </c>
      <c r="D11" s="1697">
        <f t="shared" si="0"/>
        <v>0</v>
      </c>
      <c r="E11" s="1606"/>
      <c r="F11" s="599"/>
      <c r="G11" s="599"/>
      <c r="H11" s="599"/>
      <c r="I11" s="599"/>
    </row>
    <row r="12" spans="1:9">
      <c r="A12" s="1610" t="str">
        <f>'5. DL soc.econom. analīze'!B13</f>
        <v>Ieguvums ...</v>
      </c>
      <c r="B12" s="1662"/>
      <c r="C12" s="1700">
        <f>'13. RL Sociālekonomiskā an.'!U26</f>
        <v>0</v>
      </c>
      <c r="D12" s="1697">
        <f t="shared" si="0"/>
        <v>0</v>
      </c>
      <c r="E12" s="1606"/>
      <c r="F12" s="599"/>
      <c r="G12" s="599"/>
      <c r="H12" s="599"/>
      <c r="I12" s="599"/>
    </row>
    <row r="13" spans="1:9">
      <c r="A13" s="1610" t="str">
        <f>'5. DL soc.econom. analīze'!B14</f>
        <v>Ieguvums ...</v>
      </c>
      <c r="B13" s="1662"/>
      <c r="C13" s="1700">
        <f>'13. RL Sociālekonomiskā an.'!U27</f>
        <v>0</v>
      </c>
      <c r="D13" s="1697">
        <f t="shared" si="0"/>
        <v>0</v>
      </c>
      <c r="E13" s="1606"/>
      <c r="F13" s="599"/>
      <c r="G13" s="599"/>
      <c r="H13" s="599"/>
      <c r="I13" s="599"/>
    </row>
    <row r="14" spans="1:9">
      <c r="A14" s="1610" t="str">
        <f>'5. DL soc.econom. analīze'!B15</f>
        <v>Ieguvums ...</v>
      </c>
      <c r="B14" s="1668"/>
      <c r="C14" s="1700">
        <f>'13. RL Sociālekonomiskā an.'!U28</f>
        <v>0</v>
      </c>
      <c r="D14" s="1697">
        <f t="shared" si="0"/>
        <v>0</v>
      </c>
      <c r="E14" s="1606"/>
      <c r="F14" s="599"/>
      <c r="G14" s="599"/>
      <c r="H14" s="599"/>
      <c r="I14" s="599"/>
    </row>
    <row r="15" spans="1:9">
      <c r="A15" s="1613" t="s">
        <v>2</v>
      </c>
      <c r="B15" s="1628"/>
      <c r="C15" s="1698">
        <f>SUM(C6:C14)</f>
        <v>98087.768460806576</v>
      </c>
      <c r="D15" s="1627">
        <v>1</v>
      </c>
      <c r="E15" s="1606"/>
      <c r="F15" s="599"/>
      <c r="G15" s="599"/>
      <c r="H15" s="599"/>
      <c r="I15" s="599"/>
    </row>
    <row r="16" spans="1:9" ht="25.5" customHeight="1">
      <c r="A16" s="1625" t="s">
        <v>908</v>
      </c>
      <c r="B16" s="1619" t="s">
        <v>949</v>
      </c>
      <c r="C16" s="1619" t="s">
        <v>992</v>
      </c>
      <c r="D16" s="1626" t="s">
        <v>951</v>
      </c>
      <c r="E16" s="1606"/>
      <c r="F16" s="599"/>
      <c r="G16" s="599"/>
      <c r="H16" s="599"/>
      <c r="I16" s="599"/>
    </row>
    <row r="17" spans="1:9" ht="18.75" customHeight="1">
      <c r="A17" s="1610" t="str">
        <f>'5. DL soc.econom. analīze'!B17</f>
        <v>Zaudējumi...</v>
      </c>
      <c r="B17" s="1662"/>
      <c r="C17" s="1702">
        <f>'13. RL Sociālekonomiskā an.'!U32</f>
        <v>-1634.7961410134433</v>
      </c>
      <c r="D17" s="1697">
        <f>C17/$C$26</f>
        <v>1</v>
      </c>
      <c r="E17" s="1606"/>
      <c r="F17" s="599"/>
      <c r="G17" s="599"/>
      <c r="H17" s="599"/>
      <c r="I17" s="599"/>
    </row>
    <row r="18" spans="1:9" ht="16.5" customHeight="1">
      <c r="A18" s="1610" t="str">
        <f>'5. DL soc.econom. analīze'!B18</f>
        <v>Zaudējumi...</v>
      </c>
      <c r="B18" s="1662"/>
      <c r="C18" s="1702">
        <f>'13. RL Sociālekonomiskā an.'!U33</f>
        <v>0</v>
      </c>
      <c r="D18" s="1697">
        <f t="shared" ref="D18:D25" si="1">C18/$C$26</f>
        <v>0</v>
      </c>
      <c r="E18" s="1606"/>
      <c r="F18" s="599"/>
      <c r="G18" s="599"/>
      <c r="H18" s="599"/>
      <c r="I18" s="599"/>
    </row>
    <row r="19" spans="1:9" ht="18" customHeight="1">
      <c r="A19" s="1610" t="str">
        <f>'5. DL soc.econom. analīze'!B19</f>
        <v>Zaudējumi...</v>
      </c>
      <c r="B19" s="1662"/>
      <c r="C19" s="1702">
        <f>'13. RL Sociālekonomiskā an.'!U34</f>
        <v>0</v>
      </c>
      <c r="D19" s="1697">
        <f t="shared" si="1"/>
        <v>0</v>
      </c>
      <c r="E19" s="1606"/>
      <c r="F19" s="599"/>
      <c r="G19" s="599"/>
      <c r="H19" s="599"/>
      <c r="I19" s="599"/>
    </row>
    <row r="20" spans="1:9">
      <c r="A20" s="1610" t="str">
        <f>'5. DL soc.econom. analīze'!B20</f>
        <v>Zaudējumi...</v>
      </c>
      <c r="B20" s="1662"/>
      <c r="C20" s="1702">
        <f>'13. RL Sociālekonomiskā an.'!U35</f>
        <v>0</v>
      </c>
      <c r="D20" s="1697">
        <f t="shared" si="1"/>
        <v>0</v>
      </c>
      <c r="E20" s="1606"/>
      <c r="F20" s="599"/>
      <c r="G20" s="599"/>
      <c r="H20" s="599"/>
      <c r="I20" s="599"/>
    </row>
    <row r="21" spans="1:9">
      <c r="A21" s="1610" t="str">
        <f>'5. DL soc.econom. analīze'!B21</f>
        <v>Zaudējumi...</v>
      </c>
      <c r="B21" s="1662"/>
      <c r="C21" s="1702">
        <f>'13. RL Sociālekonomiskā an.'!U36</f>
        <v>0</v>
      </c>
      <c r="D21" s="1697">
        <f t="shared" si="1"/>
        <v>0</v>
      </c>
      <c r="E21" s="1606"/>
      <c r="F21" s="599"/>
      <c r="G21" s="599"/>
      <c r="H21" s="599"/>
      <c r="I21" s="599"/>
    </row>
    <row r="22" spans="1:9">
      <c r="A22" s="1610" t="str">
        <f>'5. DL soc.econom. analīze'!B22</f>
        <v>Zaudējumi...</v>
      </c>
      <c r="B22" s="1662"/>
      <c r="C22" s="1702">
        <f>'13. RL Sociālekonomiskā an.'!U37</f>
        <v>0</v>
      </c>
      <c r="D22" s="1697">
        <f t="shared" si="1"/>
        <v>0</v>
      </c>
      <c r="E22" s="1606"/>
      <c r="F22" s="599"/>
      <c r="G22" s="599"/>
      <c r="H22" s="599"/>
      <c r="I22" s="599"/>
    </row>
    <row r="23" spans="1:9">
      <c r="A23" s="1610" t="str">
        <f>'5. DL soc.econom. analīze'!B23</f>
        <v>Zaudējumi...</v>
      </c>
      <c r="B23" s="1662"/>
      <c r="C23" s="1702">
        <f>'13. RL Sociālekonomiskā an.'!U38</f>
        <v>0</v>
      </c>
      <c r="D23" s="1697">
        <f t="shared" si="1"/>
        <v>0</v>
      </c>
      <c r="E23" s="1606"/>
      <c r="F23" s="599"/>
      <c r="G23" s="599"/>
      <c r="H23" s="599"/>
      <c r="I23" s="599"/>
    </row>
    <row r="24" spans="1:9">
      <c r="A24" s="1610" t="str">
        <f>'5. DL soc.econom. analīze'!B24</f>
        <v>Zaudējumi...</v>
      </c>
      <c r="B24" s="1662"/>
      <c r="C24" s="1702">
        <f>'13. RL Sociālekonomiskā an.'!U39</f>
        <v>0</v>
      </c>
      <c r="D24" s="1697">
        <f t="shared" si="1"/>
        <v>0</v>
      </c>
      <c r="E24" s="1606"/>
      <c r="F24" s="599"/>
      <c r="G24" s="599"/>
      <c r="H24" s="599"/>
      <c r="I24" s="599"/>
    </row>
    <row r="25" spans="1:9">
      <c r="A25" s="1610" t="str">
        <f>'5. DL soc.econom. analīze'!B25</f>
        <v>Zaudējumi...</v>
      </c>
      <c r="B25" s="1667"/>
      <c r="C25" s="1702">
        <f>'13. RL Sociālekonomiskā an.'!U40</f>
        <v>0</v>
      </c>
      <c r="D25" s="1697">
        <f t="shared" si="1"/>
        <v>0</v>
      </c>
      <c r="E25" s="1606"/>
      <c r="F25" s="599"/>
      <c r="G25" s="599"/>
      <c r="H25" s="599"/>
      <c r="I25" s="599"/>
    </row>
    <row r="26" spans="1:9">
      <c r="A26" s="1613" t="s">
        <v>2</v>
      </c>
      <c r="B26" s="1628"/>
      <c r="C26" s="1701">
        <f>SUM(C17:C25)</f>
        <v>-1634.7961410134433</v>
      </c>
      <c r="D26" s="1627">
        <v>1</v>
      </c>
      <c r="E26" s="1606"/>
      <c r="F26" s="599"/>
      <c r="G26" s="599"/>
      <c r="H26" s="599"/>
      <c r="I26" s="599"/>
    </row>
    <row r="27" spans="1:9">
      <c r="A27" s="1348"/>
      <c r="B27" s="1348"/>
      <c r="C27" s="1348"/>
      <c r="D27" s="1348"/>
      <c r="E27" s="1348"/>
      <c r="F27" s="599"/>
      <c r="G27" s="599"/>
      <c r="H27" s="599"/>
      <c r="I27" s="599"/>
    </row>
    <row r="28" spans="1:9">
      <c r="A28" s="2439" t="s">
        <v>952</v>
      </c>
      <c r="B28" s="2440"/>
      <c r="C28" s="2440"/>
      <c r="D28" s="2441"/>
      <c r="E28" s="1348"/>
      <c r="F28" s="599"/>
      <c r="G28" s="599"/>
      <c r="H28" s="599"/>
      <c r="I28" s="599"/>
    </row>
    <row r="29" spans="1:9">
      <c r="A29" s="1630"/>
      <c r="B29" s="1631"/>
      <c r="C29" s="1631"/>
      <c r="D29" s="1632"/>
      <c r="E29" s="1348"/>
      <c r="F29" s="599"/>
      <c r="G29" s="599"/>
      <c r="H29" s="599"/>
      <c r="I29" s="599"/>
    </row>
    <row r="30" spans="1:9">
      <c r="A30" s="1608" t="s">
        <v>953</v>
      </c>
      <c r="B30" s="1609" t="s">
        <v>922</v>
      </c>
      <c r="C30" s="2437" t="s">
        <v>926</v>
      </c>
      <c r="D30" s="2438"/>
      <c r="E30" s="1348"/>
      <c r="F30" s="599"/>
      <c r="G30" s="599"/>
      <c r="H30" s="599"/>
      <c r="I30" s="599"/>
    </row>
    <row r="31" spans="1:9">
      <c r="A31" s="1607" t="s">
        <v>954</v>
      </c>
      <c r="B31" s="1717">
        <f>'13. RL Sociālekonomiskā an.'!F16</f>
        <v>0.05</v>
      </c>
      <c r="C31" s="2436" t="s">
        <v>1054</v>
      </c>
      <c r="D31" s="2436"/>
      <c r="E31" s="1348"/>
      <c r="F31" s="599"/>
      <c r="G31" s="599"/>
      <c r="H31" s="599"/>
      <c r="I31" s="599"/>
    </row>
    <row r="32" spans="1:9">
      <c r="A32" s="1607" t="s">
        <v>955</v>
      </c>
      <c r="B32" s="1718">
        <f>'13. RL Sociālekonomiskā an.'!G59</f>
        <v>0.12609897605262632</v>
      </c>
      <c r="C32" s="2436" t="s">
        <v>1054</v>
      </c>
      <c r="D32" s="2436"/>
      <c r="E32" s="1348"/>
      <c r="F32" s="599"/>
      <c r="G32" s="599"/>
      <c r="H32" s="599"/>
      <c r="I32" s="599"/>
    </row>
    <row r="33" spans="1:9">
      <c r="A33" s="1607" t="s">
        <v>956</v>
      </c>
      <c r="B33" s="1646">
        <f>'13. RL Sociālekonomiskā an.'!G58</f>
        <v>27070.994936157833</v>
      </c>
      <c r="C33" s="2436" t="s">
        <v>1054</v>
      </c>
      <c r="D33" s="2436"/>
      <c r="E33" s="1348"/>
      <c r="F33" s="599"/>
      <c r="G33" s="599"/>
      <c r="H33" s="599"/>
      <c r="I33" s="599"/>
    </row>
    <row r="34" spans="1:9">
      <c r="A34" s="1629" t="s">
        <v>957</v>
      </c>
      <c r="B34" s="1719">
        <f>'13. RL Sociālekonomiskā an.'!G60</f>
        <v>1.3588159394978516</v>
      </c>
      <c r="C34" s="2436" t="s">
        <v>1054</v>
      </c>
      <c r="D34" s="2436"/>
      <c r="E34" s="1348"/>
      <c r="F34" s="599"/>
      <c r="G34" s="599"/>
      <c r="H34" s="599"/>
      <c r="I34" s="599"/>
    </row>
    <row r="35" spans="1:9">
      <c r="A35" s="1348"/>
      <c r="B35" s="1348"/>
      <c r="C35" s="1348"/>
      <c r="D35" s="1348"/>
      <c r="E35" s="1348"/>
      <c r="F35" s="599"/>
      <c r="G35" s="599"/>
      <c r="H35" s="599"/>
      <c r="I35" s="599"/>
    </row>
    <row r="36" spans="1:9">
      <c r="A36" s="599"/>
      <c r="B36" s="599"/>
      <c r="C36" s="599"/>
      <c r="D36" s="599"/>
      <c r="E36" s="599"/>
      <c r="F36" s="599"/>
      <c r="G36" s="599"/>
      <c r="H36" s="599"/>
      <c r="I36" s="599"/>
    </row>
    <row r="37" spans="1:9">
      <c r="A37" s="599"/>
      <c r="B37" s="599"/>
      <c r="C37" s="599"/>
      <c r="D37" s="599"/>
      <c r="E37" s="599"/>
      <c r="F37" s="599"/>
      <c r="G37" s="599"/>
      <c r="H37" s="599"/>
      <c r="I37" s="599"/>
    </row>
    <row r="38" spans="1:9">
      <c r="A38" s="599"/>
      <c r="B38" s="599"/>
      <c r="C38" s="599"/>
      <c r="D38" s="599"/>
      <c r="E38" s="599"/>
      <c r="F38" s="599"/>
      <c r="G38" s="599"/>
      <c r="H38" s="599"/>
      <c r="I38" s="599"/>
    </row>
    <row r="39" spans="1:9">
      <c r="A39" s="599"/>
      <c r="B39" s="599"/>
      <c r="C39" s="599"/>
      <c r="D39" s="599"/>
      <c r="E39" s="599"/>
      <c r="F39" s="599"/>
      <c r="G39" s="599"/>
      <c r="H39" s="599"/>
      <c r="I39" s="599"/>
    </row>
    <row r="40" spans="1:9">
      <c r="A40" s="599"/>
      <c r="B40" s="599"/>
      <c r="C40" s="599"/>
      <c r="D40" s="599"/>
      <c r="E40" s="599"/>
      <c r="F40" s="599"/>
      <c r="G40" s="599"/>
      <c r="H40" s="599"/>
      <c r="I40" s="599"/>
    </row>
    <row r="41" spans="1:9">
      <c r="A41" s="599"/>
      <c r="B41" s="599"/>
      <c r="C41" s="599"/>
      <c r="D41" s="599"/>
      <c r="E41" s="599"/>
      <c r="F41" s="599"/>
      <c r="G41" s="599"/>
      <c r="H41" s="599"/>
      <c r="I41" s="599"/>
    </row>
    <row r="42" spans="1:9">
      <c r="A42" s="599"/>
      <c r="B42" s="599"/>
      <c r="C42" s="599"/>
      <c r="D42" s="599"/>
      <c r="E42" s="599"/>
      <c r="F42" s="599"/>
      <c r="G42" s="599"/>
      <c r="H42" s="599"/>
      <c r="I42" s="599"/>
    </row>
    <row r="43" spans="1:9">
      <c r="D43" s="599"/>
    </row>
    <row r="44" spans="1:9">
      <c r="D44" s="599"/>
    </row>
    <row r="45" spans="1:9">
      <c r="D45" s="599"/>
    </row>
    <row r="46" spans="1:9">
      <c r="D46" s="599"/>
    </row>
  </sheetData>
  <mergeCells count="7">
    <mergeCell ref="C33:D33"/>
    <mergeCell ref="C34:D34"/>
    <mergeCell ref="C30:D30"/>
    <mergeCell ref="A1:C1"/>
    <mergeCell ref="A28:D28"/>
    <mergeCell ref="C31:D31"/>
    <mergeCell ref="C32:D32"/>
  </mergeCells>
  <pageMargins left="0.7" right="0.7" top="0.75" bottom="0.75" header="0.3" footer="0.3"/>
  <pageSetup paperSize="8"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theme="6"/>
    <pageSetUpPr fitToPage="1"/>
  </sheetPr>
  <dimension ref="A1:AN62"/>
  <sheetViews>
    <sheetView zoomScale="80" zoomScaleNormal="80" workbookViewId="0">
      <selection activeCell="E10" sqref="E10:S17"/>
    </sheetView>
  </sheetViews>
  <sheetFormatPr defaultRowHeight="12.75"/>
  <cols>
    <col min="1" max="1" width="1.28515625" style="761" customWidth="1"/>
    <col min="2" max="2" width="7.5703125" style="761" customWidth="1"/>
    <col min="3" max="3" width="36.85546875" style="761" customWidth="1"/>
    <col min="4" max="4" width="9.140625" style="761" customWidth="1"/>
    <col min="5" max="5" width="11.7109375" style="761" customWidth="1"/>
    <col min="6" max="6" width="12.85546875" style="761" customWidth="1"/>
    <col min="7" max="7" width="12" style="761" customWidth="1"/>
    <col min="8" max="19" width="11.5703125" style="761" customWidth="1"/>
    <col min="20" max="20" width="12.85546875" style="761" customWidth="1"/>
    <col min="21" max="16384" width="9.140625" style="761"/>
  </cols>
  <sheetData>
    <row r="1" spans="1:40" s="1766" customFormat="1" ht="27" customHeight="1">
      <c r="A1" s="2182" t="s">
        <v>980</v>
      </c>
      <c r="B1" s="2182"/>
      <c r="C1" s="2182"/>
      <c r="D1" s="1847"/>
      <c r="E1" s="1765"/>
      <c r="F1" s="1765"/>
      <c r="G1" s="1765"/>
      <c r="H1" s="1765"/>
      <c r="I1" s="1765"/>
      <c r="J1" s="1765"/>
      <c r="K1" s="1765"/>
      <c r="L1" s="1765"/>
      <c r="M1" s="1765"/>
      <c r="N1" s="1765"/>
      <c r="O1" s="1765"/>
      <c r="P1" s="1765"/>
      <c r="Q1" s="1765"/>
      <c r="R1" s="1765"/>
      <c r="S1" s="1765"/>
      <c r="T1" s="1765"/>
      <c r="U1" s="1765"/>
      <c r="V1" s="1765"/>
      <c r="W1" s="1765"/>
      <c r="X1" s="1765"/>
      <c r="Y1" s="1765"/>
      <c r="Z1" s="1765"/>
      <c r="AA1" s="1765"/>
      <c r="AB1" s="1765"/>
      <c r="AC1" s="1765"/>
      <c r="AD1" s="1765"/>
      <c r="AE1" s="1765"/>
      <c r="AF1" s="1765"/>
      <c r="AG1" s="1765"/>
      <c r="AH1" s="1765"/>
      <c r="AI1" s="1765"/>
      <c r="AJ1" s="1765"/>
      <c r="AK1" s="1765"/>
      <c r="AL1" s="1765"/>
      <c r="AM1" s="1765"/>
      <c r="AN1" s="1765"/>
    </row>
    <row r="2" spans="1:40" s="1765" customFormat="1" ht="24.95" customHeight="1">
      <c r="A2" s="1889" t="s">
        <v>890</v>
      </c>
      <c r="B2" s="1889"/>
      <c r="C2" s="1889"/>
      <c r="D2" s="1847"/>
    </row>
    <row r="3" spans="1:40">
      <c r="A3" s="1407"/>
      <c r="B3" s="1407"/>
      <c r="C3" s="1407"/>
      <c r="D3" s="1408"/>
      <c r="E3" s="1407"/>
      <c r="F3" s="1407"/>
      <c r="G3" s="1407"/>
      <c r="H3" s="1407"/>
      <c r="I3" s="1407"/>
      <c r="J3" s="1407"/>
      <c r="K3" s="1407"/>
      <c r="L3" s="1407"/>
      <c r="M3" s="1407"/>
      <c r="N3" s="1407"/>
      <c r="O3" s="1407"/>
      <c r="P3" s="1407"/>
      <c r="Q3" s="1407"/>
      <c r="R3" s="1407"/>
      <c r="S3" s="1407"/>
      <c r="T3" s="1409"/>
    </row>
    <row r="4" spans="1:40">
      <c r="A4" s="1410"/>
      <c r="B4" s="1411"/>
      <c r="C4" s="1412"/>
      <c r="D4" s="1413"/>
      <c r="E4" s="1448" t="s">
        <v>1047</v>
      </c>
      <c r="F4" s="1448">
        <v>2</v>
      </c>
      <c r="G4" s="1448">
        <v>3</v>
      </c>
      <c r="H4" s="1448">
        <v>4</v>
      </c>
      <c r="I4" s="1448">
        <v>5</v>
      </c>
      <c r="J4" s="1448">
        <v>6</v>
      </c>
      <c r="K4" s="1448">
        <v>7</v>
      </c>
      <c r="L4" s="1448">
        <v>8</v>
      </c>
      <c r="M4" s="1448">
        <v>9</v>
      </c>
      <c r="N4" s="1448">
        <v>10</v>
      </c>
      <c r="O4" s="1448">
        <v>11</v>
      </c>
      <c r="P4" s="1448">
        <v>12</v>
      </c>
      <c r="Q4" s="1448">
        <v>13</v>
      </c>
      <c r="R4" s="1448">
        <v>14</v>
      </c>
      <c r="S4" s="1448">
        <v>15</v>
      </c>
      <c r="T4" s="1414"/>
    </row>
    <row r="5" spans="1:40">
      <c r="A5" s="1415"/>
      <c r="B5" s="1416"/>
      <c r="C5" s="1416"/>
      <c r="D5" s="1417" t="s">
        <v>1</v>
      </c>
      <c r="E5" s="1450">
        <f>Titullapa!E8</f>
        <v>2017</v>
      </c>
      <c r="F5" s="1450">
        <f>Titullapa!E8+1</f>
        <v>2018</v>
      </c>
      <c r="G5" s="1450">
        <f>F5+1</f>
        <v>2019</v>
      </c>
      <c r="H5" s="1450">
        <f t="shared" ref="H5:S5" si="0">G5+1</f>
        <v>2020</v>
      </c>
      <c r="I5" s="1450">
        <f t="shared" si="0"/>
        <v>2021</v>
      </c>
      <c r="J5" s="1450">
        <f t="shared" si="0"/>
        <v>2022</v>
      </c>
      <c r="K5" s="1450">
        <f t="shared" si="0"/>
        <v>2023</v>
      </c>
      <c r="L5" s="1450">
        <f t="shared" si="0"/>
        <v>2024</v>
      </c>
      <c r="M5" s="1450">
        <f t="shared" si="0"/>
        <v>2025</v>
      </c>
      <c r="N5" s="1450">
        <f t="shared" si="0"/>
        <v>2026</v>
      </c>
      <c r="O5" s="1450">
        <f t="shared" si="0"/>
        <v>2027</v>
      </c>
      <c r="P5" s="1450">
        <f t="shared" si="0"/>
        <v>2028</v>
      </c>
      <c r="Q5" s="1450">
        <f t="shared" si="0"/>
        <v>2029</v>
      </c>
      <c r="R5" s="1450">
        <f t="shared" si="0"/>
        <v>2030</v>
      </c>
      <c r="S5" s="1450">
        <f t="shared" si="0"/>
        <v>2031</v>
      </c>
      <c r="T5" s="1419" t="s">
        <v>2</v>
      </c>
    </row>
    <row r="6" spans="1:40">
      <c r="A6" s="762"/>
      <c r="B6" s="762"/>
      <c r="C6" s="762"/>
      <c r="D6" s="763"/>
      <c r="E6" s="764"/>
      <c r="F6" s="764"/>
      <c r="G6" s="764"/>
      <c r="H6" s="764"/>
      <c r="I6" s="764"/>
      <c r="J6" s="764"/>
      <c r="K6" s="764"/>
      <c r="L6" s="764"/>
      <c r="M6" s="764"/>
      <c r="N6" s="764"/>
      <c r="O6" s="764"/>
      <c r="P6" s="764"/>
      <c r="Q6" s="764"/>
      <c r="R6" s="764"/>
      <c r="S6" s="764"/>
      <c r="T6" s="764"/>
    </row>
    <row r="7" spans="1:40">
      <c r="A7" s="1420"/>
      <c r="B7" s="1421" t="s">
        <v>126</v>
      </c>
      <c r="C7" s="1421"/>
      <c r="D7" s="1421"/>
      <c r="E7" s="1422"/>
      <c r="F7" s="1422"/>
      <c r="G7" s="1422"/>
      <c r="H7" s="1422"/>
      <c r="I7" s="1422"/>
      <c r="J7" s="1422"/>
      <c r="K7" s="1422"/>
      <c r="L7" s="1422"/>
      <c r="M7" s="1422"/>
      <c r="N7" s="1422"/>
      <c r="O7" s="1422"/>
      <c r="P7" s="1422"/>
      <c r="Q7" s="1422"/>
      <c r="R7" s="1422"/>
      <c r="S7" s="1422"/>
      <c r="T7" s="1423"/>
    </row>
    <row r="8" spans="1:40" ht="13.5" thickBot="1">
      <c r="A8" s="762"/>
      <c r="B8" s="762"/>
      <c r="C8" s="762"/>
      <c r="D8" s="763"/>
      <c r="E8" s="764"/>
      <c r="F8" s="764"/>
      <c r="G8" s="764"/>
      <c r="H8" s="764"/>
      <c r="I8" s="764"/>
      <c r="J8" s="764"/>
      <c r="K8" s="764"/>
      <c r="L8" s="764"/>
      <c r="M8" s="764"/>
      <c r="N8" s="764"/>
      <c r="O8" s="764"/>
      <c r="P8" s="764"/>
      <c r="Q8" s="764"/>
      <c r="R8" s="764"/>
      <c r="S8" s="764"/>
      <c r="T8" s="764"/>
    </row>
    <row r="9" spans="1:40" ht="13.5" customHeight="1">
      <c r="A9" s="1890"/>
      <c r="B9" s="1891">
        <v>1</v>
      </c>
      <c r="C9" s="1892" t="s">
        <v>1031</v>
      </c>
      <c r="D9" s="1893" t="s">
        <v>873</v>
      </c>
      <c r="E9" s="1894">
        <f>SUM(E10:E15)</f>
        <v>0</v>
      </c>
      <c r="F9" s="1894">
        <f t="shared" ref="F9:M9" si="1">SUM(F10:F15)</f>
        <v>0</v>
      </c>
      <c r="G9" s="1894">
        <f t="shared" si="1"/>
        <v>0</v>
      </c>
      <c r="H9" s="1894">
        <f t="shared" si="1"/>
        <v>0</v>
      </c>
      <c r="I9" s="1894">
        <f t="shared" si="1"/>
        <v>0</v>
      </c>
      <c r="J9" s="1894">
        <f t="shared" si="1"/>
        <v>0</v>
      </c>
      <c r="K9" s="1894">
        <f t="shared" si="1"/>
        <v>0</v>
      </c>
      <c r="L9" s="1894">
        <f t="shared" si="1"/>
        <v>0</v>
      </c>
      <c r="M9" s="1894">
        <f t="shared" si="1"/>
        <v>0</v>
      </c>
      <c r="N9" s="1894">
        <f t="shared" ref="N9:S9" si="2">SUM(N10:N15)</f>
        <v>0</v>
      </c>
      <c r="O9" s="1894">
        <f t="shared" si="2"/>
        <v>0</v>
      </c>
      <c r="P9" s="1894">
        <f t="shared" si="2"/>
        <v>0</v>
      </c>
      <c r="Q9" s="1894">
        <f t="shared" si="2"/>
        <v>0</v>
      </c>
      <c r="R9" s="1894">
        <f t="shared" si="2"/>
        <v>0</v>
      </c>
      <c r="S9" s="1894">
        <f t="shared" si="2"/>
        <v>0</v>
      </c>
      <c r="T9" s="1895">
        <f t="shared" ref="T9:T23" si="3">SUM(E9:S9)</f>
        <v>0</v>
      </c>
    </row>
    <row r="10" spans="1:40" ht="12" customHeight="1">
      <c r="A10" s="1896"/>
      <c r="B10" s="1897" t="s">
        <v>3</v>
      </c>
      <c r="C10" s="1898" t="str">
        <f>'3. DL invest.n.pl.AR pr.'!C10</f>
        <v>Ieņēmumi…</v>
      </c>
      <c r="D10" s="1899" t="s">
        <v>873</v>
      </c>
      <c r="E10" s="1651"/>
      <c r="F10" s="1651"/>
      <c r="G10" s="1651"/>
      <c r="H10" s="1651"/>
      <c r="I10" s="1651"/>
      <c r="J10" s="1651"/>
      <c r="K10" s="1651"/>
      <c r="L10" s="1651"/>
      <c r="M10" s="1651"/>
      <c r="N10" s="1651"/>
      <c r="O10" s="1651"/>
      <c r="P10" s="1651"/>
      <c r="Q10" s="1651"/>
      <c r="R10" s="1651"/>
      <c r="S10" s="1651"/>
      <c r="T10" s="1900">
        <f t="shared" si="3"/>
        <v>0</v>
      </c>
    </row>
    <row r="11" spans="1:40" ht="11.25" customHeight="1">
      <c r="A11" s="1896"/>
      <c r="B11" s="1897" t="s">
        <v>5</v>
      </c>
      <c r="C11" s="1898" t="str">
        <f>'3. DL invest.n.pl.AR pr.'!C11</f>
        <v>Ieņēmumi…</v>
      </c>
      <c r="D11" s="1899" t="s">
        <v>873</v>
      </c>
      <c r="E11" s="1651"/>
      <c r="F11" s="1651"/>
      <c r="G11" s="1651"/>
      <c r="H11" s="1651"/>
      <c r="I11" s="1651"/>
      <c r="J11" s="1651"/>
      <c r="K11" s="1651"/>
      <c r="L11" s="1651"/>
      <c r="M11" s="1651"/>
      <c r="N11" s="1651"/>
      <c r="O11" s="1651"/>
      <c r="P11" s="1651"/>
      <c r="Q11" s="1651"/>
      <c r="R11" s="1651"/>
      <c r="S11" s="1651"/>
      <c r="T11" s="1900">
        <f t="shared" si="3"/>
        <v>0</v>
      </c>
    </row>
    <row r="12" spans="1:40" ht="11.25" customHeight="1">
      <c r="A12" s="1896"/>
      <c r="B12" s="1897" t="s">
        <v>7</v>
      </c>
      <c r="C12" s="1898" t="str">
        <f>'3. DL invest.n.pl.AR pr.'!C12</f>
        <v>Ieņēmumi…</v>
      </c>
      <c r="D12" s="1899" t="s">
        <v>873</v>
      </c>
      <c r="E12" s="1652"/>
      <c r="F12" s="1652"/>
      <c r="G12" s="1652"/>
      <c r="H12" s="1652"/>
      <c r="I12" s="1652"/>
      <c r="J12" s="1652"/>
      <c r="K12" s="1652"/>
      <c r="L12" s="1652"/>
      <c r="M12" s="1652"/>
      <c r="N12" s="1652"/>
      <c r="O12" s="1652"/>
      <c r="P12" s="1652"/>
      <c r="Q12" s="1652"/>
      <c r="R12" s="1652"/>
      <c r="S12" s="1652"/>
      <c r="T12" s="1900">
        <f t="shared" si="3"/>
        <v>0</v>
      </c>
    </row>
    <row r="13" spans="1:40" ht="13.5" customHeight="1">
      <c r="A13" s="1896"/>
      <c r="B13" s="1897" t="s">
        <v>9</v>
      </c>
      <c r="C13" s="1898" t="str">
        <f>'3. DL invest.n.pl.AR pr.'!C13</f>
        <v>Ieņēmumi…</v>
      </c>
      <c r="D13" s="1899" t="s">
        <v>873</v>
      </c>
      <c r="E13" s="1652"/>
      <c r="F13" s="1652"/>
      <c r="G13" s="1652"/>
      <c r="H13" s="1652"/>
      <c r="I13" s="1652"/>
      <c r="J13" s="1652"/>
      <c r="K13" s="1652"/>
      <c r="L13" s="1652"/>
      <c r="M13" s="1652"/>
      <c r="N13" s="1652"/>
      <c r="O13" s="1652"/>
      <c r="P13" s="1652"/>
      <c r="Q13" s="1652"/>
      <c r="R13" s="1652"/>
      <c r="S13" s="1652"/>
      <c r="T13" s="1900">
        <f t="shared" si="3"/>
        <v>0</v>
      </c>
    </row>
    <row r="14" spans="1:40" ht="13.5" customHeight="1">
      <c r="A14" s="1896"/>
      <c r="B14" s="1897" t="s">
        <v>11</v>
      </c>
      <c r="C14" s="1898" t="str">
        <f>'3. DL invest.n.pl.AR pr.'!C14</f>
        <v>Ieņēmumi….</v>
      </c>
      <c r="D14" s="1899" t="s">
        <v>873</v>
      </c>
      <c r="E14" s="1652"/>
      <c r="F14" s="1652"/>
      <c r="G14" s="1652"/>
      <c r="H14" s="1652"/>
      <c r="I14" s="1652"/>
      <c r="J14" s="1652"/>
      <c r="K14" s="1652"/>
      <c r="L14" s="1652"/>
      <c r="M14" s="1652"/>
      <c r="N14" s="1652"/>
      <c r="O14" s="1652"/>
      <c r="P14" s="1652"/>
      <c r="Q14" s="1652"/>
      <c r="R14" s="1652"/>
      <c r="S14" s="1652"/>
      <c r="T14" s="1900">
        <f t="shared" si="3"/>
        <v>0</v>
      </c>
    </row>
    <row r="15" spans="1:40" ht="13.5" customHeight="1">
      <c r="A15" s="1896"/>
      <c r="B15" s="1897" t="s">
        <v>47</v>
      </c>
      <c r="C15" s="1898" t="str">
        <f>'3. DL invest.n.pl.AR pr.'!C15</f>
        <v>Ieņēmumi….</v>
      </c>
      <c r="D15" s="1899" t="s">
        <v>873</v>
      </c>
      <c r="E15" s="1652"/>
      <c r="F15" s="1652"/>
      <c r="G15" s="1652"/>
      <c r="H15" s="1652"/>
      <c r="I15" s="1652"/>
      <c r="J15" s="1652"/>
      <c r="K15" s="1652"/>
      <c r="L15" s="1652"/>
      <c r="M15" s="1652"/>
      <c r="N15" s="1652"/>
      <c r="O15" s="1652"/>
      <c r="P15" s="1652"/>
      <c r="Q15" s="1652"/>
      <c r="R15" s="1652"/>
      <c r="S15" s="1652"/>
      <c r="T15" s="1900">
        <f t="shared" si="3"/>
        <v>0</v>
      </c>
    </row>
    <row r="16" spans="1:40" ht="13.5" customHeight="1">
      <c r="A16" s="1896"/>
      <c r="B16" s="792">
        <v>2</v>
      </c>
      <c r="C16" s="757" t="s">
        <v>1032</v>
      </c>
      <c r="D16" s="1901" t="s">
        <v>873</v>
      </c>
      <c r="E16" s="1902">
        <f>SUM(E17:E22)</f>
        <v>0</v>
      </c>
      <c r="F16" s="1902">
        <f t="shared" ref="F16:S16" si="4">SUM(F17:F22)</f>
        <v>0</v>
      </c>
      <c r="G16" s="1902">
        <f t="shared" si="4"/>
        <v>0</v>
      </c>
      <c r="H16" s="1902">
        <f t="shared" si="4"/>
        <v>0</v>
      </c>
      <c r="I16" s="1902">
        <f t="shared" si="4"/>
        <v>0</v>
      </c>
      <c r="J16" s="1902">
        <f t="shared" si="4"/>
        <v>0</v>
      </c>
      <c r="K16" s="1902">
        <f t="shared" si="4"/>
        <v>0</v>
      </c>
      <c r="L16" s="1902">
        <f t="shared" si="4"/>
        <v>0</v>
      </c>
      <c r="M16" s="1902">
        <f t="shared" si="4"/>
        <v>0</v>
      </c>
      <c r="N16" s="1902">
        <f t="shared" si="4"/>
        <v>0</v>
      </c>
      <c r="O16" s="1902">
        <f t="shared" si="4"/>
        <v>0</v>
      </c>
      <c r="P16" s="1902">
        <f t="shared" si="4"/>
        <v>0</v>
      </c>
      <c r="Q16" s="1902">
        <f t="shared" si="4"/>
        <v>0</v>
      </c>
      <c r="R16" s="1902">
        <f t="shared" si="4"/>
        <v>0</v>
      </c>
      <c r="S16" s="1902">
        <f t="shared" si="4"/>
        <v>0</v>
      </c>
      <c r="T16" s="1900">
        <f t="shared" si="3"/>
        <v>0</v>
      </c>
    </row>
    <row r="17" spans="1:20" ht="16.5" customHeight="1">
      <c r="A17" s="1896"/>
      <c r="B17" s="1897" t="s">
        <v>14</v>
      </c>
      <c r="C17" s="1898" t="str">
        <f>'3. DL invest.n.pl.AR pr.'!C17</f>
        <v>Darbības izmaksas....</v>
      </c>
      <c r="D17" s="1899" t="s">
        <v>873</v>
      </c>
      <c r="E17" s="1651"/>
      <c r="F17" s="1651"/>
      <c r="G17" s="1651"/>
      <c r="H17" s="1651"/>
      <c r="I17" s="1651"/>
      <c r="J17" s="1651"/>
      <c r="K17" s="1651"/>
      <c r="L17" s="1651"/>
      <c r="M17" s="1651"/>
      <c r="N17" s="1651"/>
      <c r="O17" s="1651"/>
      <c r="P17" s="1651"/>
      <c r="Q17" s="1651"/>
      <c r="R17" s="1651"/>
      <c r="S17" s="1651"/>
      <c r="T17" s="1900">
        <f t="shared" si="3"/>
        <v>0</v>
      </c>
    </row>
    <row r="18" spans="1:20" ht="15" customHeight="1">
      <c r="A18" s="1896"/>
      <c r="B18" s="1897" t="s">
        <v>16</v>
      </c>
      <c r="C18" s="1898" t="str">
        <f>'3. DL invest.n.pl.AR pr.'!C18</f>
        <v>Darbības izmaksas....</v>
      </c>
      <c r="D18" s="1899" t="s">
        <v>873</v>
      </c>
      <c r="E18" s="1651"/>
      <c r="F18" s="1651"/>
      <c r="G18" s="1651"/>
      <c r="H18" s="1651"/>
      <c r="I18" s="1651"/>
      <c r="J18" s="1651"/>
      <c r="K18" s="1651"/>
      <c r="L18" s="1651"/>
      <c r="M18" s="1651"/>
      <c r="N18" s="1651"/>
      <c r="O18" s="1651"/>
      <c r="P18" s="1651"/>
      <c r="Q18" s="1651"/>
      <c r="R18" s="1651"/>
      <c r="S18" s="1651"/>
      <c r="T18" s="1900">
        <f t="shared" si="3"/>
        <v>0</v>
      </c>
    </row>
    <row r="19" spans="1:20" ht="15.75" customHeight="1">
      <c r="A19" s="1896"/>
      <c r="B19" s="1897" t="s">
        <v>19</v>
      </c>
      <c r="C19" s="1898" t="str">
        <f>'3. DL invest.n.pl.AR pr.'!C19</f>
        <v>Darbības izmaksas....</v>
      </c>
      <c r="D19" s="1899" t="s">
        <v>873</v>
      </c>
      <c r="E19" s="1651"/>
      <c r="F19" s="1651"/>
      <c r="G19" s="1651"/>
      <c r="H19" s="1651"/>
      <c r="I19" s="1651"/>
      <c r="J19" s="1651"/>
      <c r="K19" s="1651"/>
      <c r="L19" s="1651"/>
      <c r="M19" s="1651"/>
      <c r="N19" s="1651"/>
      <c r="O19" s="1651"/>
      <c r="P19" s="1651"/>
      <c r="Q19" s="1651"/>
      <c r="R19" s="1651"/>
      <c r="S19" s="1651"/>
      <c r="T19" s="1900">
        <f t="shared" si="3"/>
        <v>0</v>
      </c>
    </row>
    <row r="20" spans="1:20" ht="15.75" customHeight="1">
      <c r="A20" s="1896"/>
      <c r="B20" s="1897" t="s">
        <v>22</v>
      </c>
      <c r="C20" s="1898" t="str">
        <f>'3. DL invest.n.pl.AR pr.'!C20</f>
        <v>Darbības izmaksas....</v>
      </c>
      <c r="D20" s="1899" t="s">
        <v>873</v>
      </c>
      <c r="E20" s="1651"/>
      <c r="F20" s="1651"/>
      <c r="G20" s="1651"/>
      <c r="H20" s="1651"/>
      <c r="I20" s="1651"/>
      <c r="J20" s="1651"/>
      <c r="K20" s="1651"/>
      <c r="L20" s="1651"/>
      <c r="M20" s="1651"/>
      <c r="N20" s="1651"/>
      <c r="O20" s="1651"/>
      <c r="P20" s="1651"/>
      <c r="Q20" s="1651"/>
      <c r="R20" s="1651"/>
      <c r="S20" s="1651"/>
      <c r="T20" s="1900">
        <f t="shared" si="3"/>
        <v>0</v>
      </c>
    </row>
    <row r="21" spans="1:20" ht="15.75" customHeight="1">
      <c r="A21" s="1896"/>
      <c r="B21" s="1897" t="s">
        <v>23</v>
      </c>
      <c r="C21" s="1898" t="str">
        <f>'3. DL invest.n.pl.AR pr.'!C21</f>
        <v>Darbības izmaksas....</v>
      </c>
      <c r="D21" s="1899" t="s">
        <v>873</v>
      </c>
      <c r="E21" s="1651"/>
      <c r="F21" s="1651"/>
      <c r="G21" s="1651"/>
      <c r="H21" s="1651"/>
      <c r="I21" s="1651"/>
      <c r="J21" s="1651"/>
      <c r="K21" s="1651"/>
      <c r="L21" s="1651"/>
      <c r="M21" s="1651"/>
      <c r="N21" s="1651"/>
      <c r="O21" s="1651"/>
      <c r="P21" s="1651"/>
      <c r="Q21" s="1651"/>
      <c r="R21" s="1651"/>
      <c r="S21" s="1651"/>
      <c r="T21" s="1900">
        <f t="shared" si="3"/>
        <v>0</v>
      </c>
    </row>
    <row r="22" spans="1:20" s="799" customFormat="1" ht="25.5" customHeight="1">
      <c r="A22" s="1903"/>
      <c r="B22" s="1897" t="s">
        <v>24</v>
      </c>
      <c r="C22" s="1898" t="str">
        <f>'3. DL invest.n.pl.AR pr.'!C22</f>
        <v>Ātri nolietojamu iekārtu aizvietošanas izmaksas</v>
      </c>
      <c r="D22" s="1899" t="s">
        <v>873</v>
      </c>
      <c r="E22" s="1651"/>
      <c r="F22" s="1651"/>
      <c r="G22" s="1651"/>
      <c r="H22" s="1651"/>
      <c r="I22" s="1651"/>
      <c r="J22" s="1651"/>
      <c r="K22" s="1651"/>
      <c r="L22" s="1651"/>
      <c r="M22" s="1651"/>
      <c r="N22" s="1651"/>
      <c r="O22" s="1651"/>
      <c r="P22" s="1651"/>
      <c r="Q22" s="1651"/>
      <c r="R22" s="1651"/>
      <c r="S22" s="1651"/>
      <c r="T22" s="1900">
        <f t="shared" si="3"/>
        <v>0</v>
      </c>
    </row>
    <row r="23" spans="1:20" s="789" customFormat="1" ht="13.5" customHeight="1" thickBot="1">
      <c r="A23" s="1904"/>
      <c r="B23" s="1905">
        <v>3</v>
      </c>
      <c r="C23" s="1906" t="s">
        <v>12</v>
      </c>
      <c r="D23" s="1907" t="s">
        <v>873</v>
      </c>
      <c r="E23" s="1908">
        <f>SUM(E9,,E16,)</f>
        <v>0</v>
      </c>
      <c r="F23" s="1908">
        <f t="shared" ref="F23:M23" si="5">SUM(F9,,F16,)</f>
        <v>0</v>
      </c>
      <c r="G23" s="1908">
        <f>SUM(G9,,G16,)</f>
        <v>0</v>
      </c>
      <c r="H23" s="1908">
        <f t="shared" si="5"/>
        <v>0</v>
      </c>
      <c r="I23" s="1908">
        <f t="shared" si="5"/>
        <v>0</v>
      </c>
      <c r="J23" s="1908">
        <f t="shared" si="5"/>
        <v>0</v>
      </c>
      <c r="K23" s="1908">
        <f t="shared" si="5"/>
        <v>0</v>
      </c>
      <c r="L23" s="1908">
        <f t="shared" si="5"/>
        <v>0</v>
      </c>
      <c r="M23" s="1908">
        <f t="shared" si="5"/>
        <v>0</v>
      </c>
      <c r="N23" s="1908">
        <f t="shared" ref="N23:S23" si="6">SUM(N9,,N16,)</f>
        <v>0</v>
      </c>
      <c r="O23" s="1908">
        <f t="shared" si="6"/>
        <v>0</v>
      </c>
      <c r="P23" s="1908">
        <f t="shared" si="6"/>
        <v>0</v>
      </c>
      <c r="Q23" s="1908">
        <f t="shared" si="6"/>
        <v>0</v>
      </c>
      <c r="R23" s="1908">
        <f t="shared" si="6"/>
        <v>0</v>
      </c>
      <c r="S23" s="1908">
        <f t="shared" si="6"/>
        <v>0</v>
      </c>
      <c r="T23" s="1909">
        <f t="shared" si="3"/>
        <v>0</v>
      </c>
    </row>
    <row r="25" spans="1:20">
      <c r="A25" s="1420"/>
      <c r="B25" s="1421"/>
      <c r="C25" s="1421"/>
      <c r="D25" s="1421"/>
      <c r="E25" s="1422"/>
      <c r="F25" s="1422"/>
      <c r="G25" s="1422"/>
      <c r="H25" s="1422"/>
      <c r="I25" s="1422"/>
      <c r="J25" s="1422"/>
      <c r="K25" s="1422"/>
      <c r="L25" s="1422"/>
      <c r="M25" s="1422"/>
      <c r="N25" s="1422"/>
      <c r="O25" s="1422"/>
      <c r="P25" s="1422"/>
      <c r="Q25" s="1422"/>
      <c r="R25" s="1422"/>
      <c r="S25" s="1422"/>
      <c r="T25" s="1423"/>
    </row>
    <row r="28" spans="1:20">
      <c r="B28" s="1910"/>
    </row>
    <row r="29" spans="1:20">
      <c r="B29" s="1911"/>
    </row>
    <row r="62" ht="25.5" customHeight="1"/>
  </sheetData>
  <sheetProtection algorithmName="SHA-512" hashValue="1hKkKkuPDR+/OJtLuIDy7yqf+OEzjHbzI66OHowNOj0d1L2pcXlpjJzOo6egbUzP4ILEKtSmf29ClLWqz9jivw==" saltValue="vi4kir8U2kDhA1r/gI6AIg==" spinCount="100000" sheet="1" objects="1" scenarios="1"/>
  <mergeCells count="1">
    <mergeCell ref="A1:C1"/>
  </mergeCells>
  <pageMargins left="0.7" right="0.7" top="0.75" bottom="0.75" header="0.3" footer="0.3"/>
  <pageSetup paperSize="9" scale="2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theme="6"/>
    <pageSetUpPr fitToPage="1"/>
  </sheetPr>
  <dimension ref="A1:AY54"/>
  <sheetViews>
    <sheetView zoomScale="85" zoomScaleNormal="85" workbookViewId="0">
      <selection activeCell="K43" sqref="K43"/>
    </sheetView>
  </sheetViews>
  <sheetFormatPr defaultRowHeight="12.75"/>
  <cols>
    <col min="1" max="1" width="1.42578125" style="761" customWidth="1"/>
    <col min="2" max="2" width="6.5703125" style="761" customWidth="1"/>
    <col min="3" max="3" width="54.85546875" style="761" customWidth="1"/>
    <col min="4" max="4" width="5.85546875" style="761" customWidth="1"/>
    <col min="5" max="5" width="5.42578125" style="761" customWidth="1"/>
    <col min="6" max="6" width="11.140625" style="761" customWidth="1"/>
    <col min="7" max="8" width="12" style="761" bestFit="1" customWidth="1"/>
    <col min="9" max="20" width="10.85546875" style="761" customWidth="1"/>
    <col min="21" max="21" width="12.5703125" style="761" bestFit="1" customWidth="1"/>
    <col min="22" max="22" width="11.28515625" style="761" bestFit="1" customWidth="1"/>
    <col min="23" max="23" width="10" style="761" bestFit="1" customWidth="1"/>
    <col min="24" max="16384" width="9.140625" style="761"/>
  </cols>
  <sheetData>
    <row r="1" spans="1:51" s="1766" customFormat="1" ht="27" customHeight="1">
      <c r="A1" s="2182" t="s">
        <v>981</v>
      </c>
      <c r="B1" s="2182"/>
      <c r="C1" s="2182"/>
      <c r="D1" s="2182"/>
      <c r="E1" s="1912"/>
      <c r="F1" s="1913"/>
      <c r="G1" s="1913"/>
      <c r="H1" s="1913"/>
      <c r="I1" s="1913"/>
      <c r="J1" s="1913"/>
      <c r="K1" s="1913"/>
      <c r="L1" s="1913"/>
      <c r="M1" s="1913"/>
      <c r="N1" s="1913"/>
      <c r="O1" s="1913"/>
      <c r="P1" s="1913"/>
      <c r="Q1" s="1913"/>
      <c r="R1" s="1913"/>
      <c r="S1" s="1913"/>
      <c r="T1" s="1913"/>
      <c r="U1" s="1913"/>
      <c r="V1" s="1765"/>
      <c r="W1" s="1765"/>
      <c r="X1" s="1765"/>
      <c r="Y1" s="1765"/>
      <c r="Z1" s="1765"/>
      <c r="AA1" s="1765"/>
      <c r="AB1" s="1765"/>
      <c r="AC1" s="1765"/>
      <c r="AD1" s="1765"/>
      <c r="AE1" s="1765"/>
      <c r="AF1" s="1765"/>
      <c r="AG1" s="1765"/>
      <c r="AH1" s="1765"/>
      <c r="AI1" s="1765"/>
      <c r="AJ1" s="1765"/>
      <c r="AK1" s="1765"/>
      <c r="AL1" s="1765"/>
      <c r="AM1" s="1765"/>
      <c r="AN1" s="1765"/>
      <c r="AO1" s="1765"/>
      <c r="AP1" s="1765"/>
      <c r="AQ1" s="1765"/>
      <c r="AR1" s="1765"/>
      <c r="AS1" s="1765"/>
      <c r="AT1" s="1765"/>
      <c r="AU1" s="1765"/>
      <c r="AV1" s="1765"/>
      <c r="AW1" s="1765"/>
      <c r="AX1" s="1765"/>
      <c r="AY1" s="1765"/>
    </row>
    <row r="2" spans="1:51" s="1765" customFormat="1" ht="24.95" customHeight="1">
      <c r="A2" s="2183" t="s">
        <v>994</v>
      </c>
      <c r="B2" s="2183"/>
      <c r="C2" s="2183"/>
      <c r="D2" s="2183"/>
      <c r="E2" s="2183"/>
      <c r="F2" s="2183"/>
      <c r="G2" s="2183"/>
      <c r="H2" s="1913"/>
      <c r="I2" s="1913"/>
      <c r="J2" s="1913"/>
      <c r="K2" s="1913"/>
      <c r="L2" s="1913"/>
      <c r="M2" s="1913"/>
      <c r="N2" s="1913"/>
      <c r="O2" s="1913"/>
      <c r="P2" s="1913"/>
      <c r="Q2" s="1913"/>
      <c r="R2" s="1913"/>
      <c r="S2" s="1913"/>
      <c r="T2" s="1913"/>
      <c r="U2" s="1913"/>
    </row>
    <row r="3" spans="1:51">
      <c r="A3" s="1914"/>
      <c r="B3" s="1407"/>
      <c r="C3" s="1407"/>
      <c r="D3" s="1407"/>
      <c r="E3" s="1408"/>
      <c r="F3" s="1407"/>
      <c r="G3" s="1407"/>
      <c r="H3" s="1407"/>
      <c r="I3" s="1407"/>
      <c r="J3" s="1407"/>
      <c r="K3" s="1407"/>
      <c r="L3" s="1407"/>
      <c r="M3" s="1407"/>
      <c r="N3" s="1407"/>
      <c r="O3" s="1407"/>
      <c r="P3" s="1407"/>
      <c r="Q3" s="1407"/>
      <c r="R3" s="1407"/>
      <c r="S3" s="1407"/>
      <c r="T3" s="1407"/>
      <c r="U3" s="1409"/>
    </row>
    <row r="4" spans="1:51">
      <c r="A4" s="1915"/>
      <c r="B4" s="1411"/>
      <c r="C4" s="1412"/>
      <c r="D4" s="1412"/>
      <c r="E4" s="1413"/>
      <c r="F4" s="1448" t="str">
        <f>'2. DL invest.n.pl.BEZ pr.'!E4</f>
        <v>0 / 1</v>
      </c>
      <c r="G4" s="1448">
        <f>'2. DL invest.n.pl.BEZ pr.'!F4</f>
        <v>2</v>
      </c>
      <c r="H4" s="1448">
        <f>'2. DL invest.n.pl.BEZ pr.'!G4</f>
        <v>3</v>
      </c>
      <c r="I4" s="1448">
        <f>'2. DL invest.n.pl.BEZ pr.'!H4</f>
        <v>4</v>
      </c>
      <c r="J4" s="1448">
        <f>'2. DL invest.n.pl.BEZ pr.'!I4</f>
        <v>5</v>
      </c>
      <c r="K4" s="1448">
        <f>'2. DL invest.n.pl.BEZ pr.'!J4</f>
        <v>6</v>
      </c>
      <c r="L4" s="1448">
        <f>'2. DL invest.n.pl.BEZ pr.'!K4</f>
        <v>7</v>
      </c>
      <c r="M4" s="1448">
        <f>'2. DL invest.n.pl.BEZ pr.'!L4</f>
        <v>8</v>
      </c>
      <c r="N4" s="1448">
        <f>'2. DL invest.n.pl.BEZ pr.'!M4</f>
        <v>9</v>
      </c>
      <c r="O4" s="1448">
        <f>'2. DL invest.n.pl.BEZ pr.'!N4</f>
        <v>10</v>
      </c>
      <c r="P4" s="1448">
        <f>'2. DL invest.n.pl.BEZ pr.'!O4</f>
        <v>11</v>
      </c>
      <c r="Q4" s="1448">
        <f>'2. DL invest.n.pl.BEZ pr.'!P4</f>
        <v>12</v>
      </c>
      <c r="R4" s="1448">
        <f>'2. DL invest.n.pl.BEZ pr.'!Q4</f>
        <v>13</v>
      </c>
      <c r="S4" s="1448">
        <f>'2. DL invest.n.pl.BEZ pr.'!R4</f>
        <v>14</v>
      </c>
      <c r="T4" s="1448">
        <f>'2. DL invest.n.pl.BEZ pr.'!S4</f>
        <v>15</v>
      </c>
      <c r="U4" s="1414"/>
    </row>
    <row r="5" spans="1:51">
      <c r="A5" s="1916"/>
      <c r="B5" s="1416"/>
      <c r="C5" s="1416"/>
      <c r="D5" s="1416"/>
      <c r="E5" s="1417" t="s">
        <v>1</v>
      </c>
      <c r="F5" s="1450">
        <f>'2. DL invest.n.pl.BEZ pr.'!E5</f>
        <v>2017</v>
      </c>
      <c r="G5" s="1450">
        <f>'2. DL invest.n.pl.BEZ pr.'!F5</f>
        <v>2018</v>
      </c>
      <c r="H5" s="1450">
        <f>'2. DL invest.n.pl.BEZ pr.'!G5</f>
        <v>2019</v>
      </c>
      <c r="I5" s="1450">
        <f>'2. DL invest.n.pl.BEZ pr.'!H5</f>
        <v>2020</v>
      </c>
      <c r="J5" s="1450">
        <f>'2. DL invest.n.pl.BEZ pr.'!I5</f>
        <v>2021</v>
      </c>
      <c r="K5" s="1450">
        <f>'2. DL invest.n.pl.BEZ pr.'!J5</f>
        <v>2022</v>
      </c>
      <c r="L5" s="1450">
        <f>'2. DL invest.n.pl.BEZ pr.'!K5</f>
        <v>2023</v>
      </c>
      <c r="M5" s="1450">
        <f>'2. DL invest.n.pl.BEZ pr.'!L5</f>
        <v>2024</v>
      </c>
      <c r="N5" s="1450">
        <f>'2. DL invest.n.pl.BEZ pr.'!M5</f>
        <v>2025</v>
      </c>
      <c r="O5" s="1450">
        <f>'2. DL invest.n.pl.BEZ pr.'!N5</f>
        <v>2026</v>
      </c>
      <c r="P5" s="1450">
        <f>'2. DL invest.n.pl.BEZ pr.'!O5</f>
        <v>2027</v>
      </c>
      <c r="Q5" s="1450">
        <f>'2. DL invest.n.pl.BEZ pr.'!P5</f>
        <v>2028</v>
      </c>
      <c r="R5" s="1450">
        <f>'2. DL invest.n.pl.BEZ pr.'!Q5</f>
        <v>2029</v>
      </c>
      <c r="S5" s="1450">
        <f>'2. DL invest.n.pl.BEZ pr.'!R5</f>
        <v>2030</v>
      </c>
      <c r="T5" s="1450">
        <f>'2. DL invest.n.pl.BEZ pr.'!S5</f>
        <v>2031</v>
      </c>
      <c r="U5" s="1419" t="s">
        <v>2</v>
      </c>
    </row>
    <row r="6" spans="1:51">
      <c r="A6" s="1917"/>
      <c r="B6" s="1917"/>
      <c r="C6" s="1917"/>
      <c r="D6" s="1917"/>
      <c r="E6" s="1918"/>
      <c r="F6" s="1919"/>
      <c r="G6" s="1919"/>
      <c r="H6" s="1919"/>
      <c r="I6" s="1919"/>
      <c r="J6" s="1919"/>
      <c r="K6" s="1919"/>
      <c r="L6" s="1919"/>
      <c r="M6" s="1919"/>
      <c r="N6" s="1919"/>
      <c r="O6" s="1919"/>
      <c r="P6" s="1919"/>
      <c r="Q6" s="1919"/>
      <c r="R6" s="1919"/>
      <c r="S6" s="1919"/>
      <c r="T6" s="1919"/>
      <c r="U6" s="1919"/>
    </row>
    <row r="7" spans="1:51">
      <c r="A7" s="1920"/>
      <c r="B7" s="1921" t="s">
        <v>126</v>
      </c>
      <c r="C7" s="1921"/>
      <c r="D7" s="1921"/>
      <c r="E7" s="1921"/>
      <c r="F7" s="1922"/>
      <c r="G7" s="1922"/>
      <c r="H7" s="1922"/>
      <c r="I7" s="1922"/>
      <c r="J7" s="1922"/>
      <c r="K7" s="1922"/>
      <c r="L7" s="1922"/>
      <c r="M7" s="1922"/>
      <c r="N7" s="1922"/>
      <c r="O7" s="1922"/>
      <c r="P7" s="1922"/>
      <c r="Q7" s="1922"/>
      <c r="R7" s="1922"/>
      <c r="S7" s="1922"/>
      <c r="T7" s="1922"/>
      <c r="U7" s="1923"/>
    </row>
    <row r="8" spans="1:51" ht="13.5" thickBot="1">
      <c r="A8" s="1917"/>
      <c r="B8" s="1917"/>
      <c r="C8" s="1917"/>
      <c r="D8" s="1917"/>
      <c r="E8" s="1918"/>
      <c r="F8" s="1919"/>
      <c r="G8" s="1919"/>
      <c r="H8" s="1919"/>
      <c r="I8" s="1919"/>
      <c r="J8" s="1919"/>
      <c r="K8" s="1919"/>
      <c r="L8" s="1919"/>
      <c r="M8" s="1919"/>
      <c r="N8" s="1919"/>
      <c r="O8" s="1919"/>
      <c r="P8" s="1919"/>
      <c r="Q8" s="1919"/>
      <c r="R8" s="1919"/>
      <c r="S8" s="1919"/>
      <c r="T8" s="1919"/>
      <c r="U8" s="1919"/>
      <c r="V8" s="1924"/>
    </row>
    <row r="9" spans="1:51" ht="13.5" customHeight="1">
      <c r="A9" s="1925"/>
      <c r="B9" s="1926">
        <v>1</v>
      </c>
      <c r="C9" s="1892" t="s">
        <v>1029</v>
      </c>
      <c r="D9" s="1892"/>
      <c r="E9" s="1893" t="s">
        <v>873</v>
      </c>
      <c r="F9" s="1927">
        <f>SUM(F10:F15)</f>
        <v>360</v>
      </c>
      <c r="G9" s="1927">
        <f t="shared" ref="G9:R9" si="0">SUM(G10:G15)</f>
        <v>360</v>
      </c>
      <c r="H9" s="1927">
        <f t="shared" si="0"/>
        <v>360</v>
      </c>
      <c r="I9" s="1927">
        <f t="shared" si="0"/>
        <v>360</v>
      </c>
      <c r="J9" s="1927">
        <f t="shared" si="0"/>
        <v>360</v>
      </c>
      <c r="K9" s="1927">
        <f t="shared" si="0"/>
        <v>360</v>
      </c>
      <c r="L9" s="1927">
        <f t="shared" si="0"/>
        <v>360</v>
      </c>
      <c r="M9" s="1927">
        <f t="shared" si="0"/>
        <v>360</v>
      </c>
      <c r="N9" s="1927">
        <f t="shared" si="0"/>
        <v>360</v>
      </c>
      <c r="O9" s="1927">
        <f t="shared" si="0"/>
        <v>360</v>
      </c>
      <c r="P9" s="1927">
        <f t="shared" si="0"/>
        <v>360</v>
      </c>
      <c r="Q9" s="1927">
        <f t="shared" si="0"/>
        <v>360</v>
      </c>
      <c r="R9" s="1927">
        <f t="shared" si="0"/>
        <v>360</v>
      </c>
      <c r="S9" s="1927">
        <f t="shared" ref="S9:T9" si="1">SUM(S10:S15)</f>
        <v>360</v>
      </c>
      <c r="T9" s="1927">
        <f t="shared" si="1"/>
        <v>360</v>
      </c>
      <c r="U9" s="1928">
        <f t="shared" ref="U9:U32" si="2">SUM(F9:T9)</f>
        <v>5400</v>
      </c>
      <c r="V9" s="1924" t="b">
        <f>U9='12. RL Investīciju n.pl.'!T6</f>
        <v>1</v>
      </c>
    </row>
    <row r="10" spans="1:51" ht="10.5" customHeight="1">
      <c r="A10" s="1896"/>
      <c r="B10" s="1929" t="s">
        <v>3</v>
      </c>
      <c r="C10" s="1954" t="s">
        <v>1155</v>
      </c>
      <c r="D10" s="757"/>
      <c r="E10" s="1899" t="s">
        <v>873</v>
      </c>
      <c r="F10" s="1653">
        <v>360</v>
      </c>
      <c r="G10" s="1653">
        <v>360</v>
      </c>
      <c r="H10" s="1653">
        <v>360</v>
      </c>
      <c r="I10" s="1653">
        <v>360</v>
      </c>
      <c r="J10" s="1653">
        <v>360</v>
      </c>
      <c r="K10" s="1653">
        <v>360</v>
      </c>
      <c r="L10" s="1653">
        <v>360</v>
      </c>
      <c r="M10" s="1653">
        <v>360</v>
      </c>
      <c r="N10" s="1653">
        <v>360</v>
      </c>
      <c r="O10" s="1653">
        <v>360</v>
      </c>
      <c r="P10" s="1653">
        <v>360</v>
      </c>
      <c r="Q10" s="1653">
        <v>360</v>
      </c>
      <c r="R10" s="1653">
        <v>360</v>
      </c>
      <c r="S10" s="1653">
        <v>360</v>
      </c>
      <c r="T10" s="1653">
        <v>360</v>
      </c>
      <c r="U10" s="1930">
        <f t="shared" si="2"/>
        <v>5400</v>
      </c>
      <c r="V10" s="1924"/>
    </row>
    <row r="11" spans="1:51" ht="13.5" customHeight="1">
      <c r="A11" s="1896"/>
      <c r="B11" s="1929" t="s">
        <v>5</v>
      </c>
      <c r="C11" s="1954" t="s">
        <v>1155</v>
      </c>
      <c r="D11" s="751"/>
      <c r="E11" s="1899" t="s">
        <v>873</v>
      </c>
      <c r="F11" s="1653"/>
      <c r="G11" s="1653"/>
      <c r="H11" s="1653"/>
      <c r="I11" s="1653"/>
      <c r="J11" s="1653"/>
      <c r="K11" s="1653"/>
      <c r="L11" s="1653"/>
      <c r="M11" s="1653"/>
      <c r="N11" s="1653"/>
      <c r="O11" s="1653"/>
      <c r="P11" s="1653"/>
      <c r="Q11" s="1653"/>
      <c r="R11" s="1653"/>
      <c r="S11" s="1653"/>
      <c r="T11" s="1653"/>
      <c r="U11" s="1930">
        <f t="shared" si="2"/>
        <v>0</v>
      </c>
      <c r="V11" s="1924"/>
    </row>
    <row r="12" spans="1:51" ht="15.75" customHeight="1">
      <c r="A12" s="1896"/>
      <c r="B12" s="1929" t="s">
        <v>7</v>
      </c>
      <c r="C12" s="1954" t="s">
        <v>1155</v>
      </c>
      <c r="D12" s="757"/>
      <c r="E12" s="1899" t="s">
        <v>873</v>
      </c>
      <c r="F12" s="1653"/>
      <c r="G12" s="1653"/>
      <c r="H12" s="1653"/>
      <c r="I12" s="1653"/>
      <c r="J12" s="1653"/>
      <c r="K12" s="1653"/>
      <c r="L12" s="1653"/>
      <c r="M12" s="1653"/>
      <c r="N12" s="1653"/>
      <c r="O12" s="1653"/>
      <c r="P12" s="1653"/>
      <c r="Q12" s="1653"/>
      <c r="R12" s="1653"/>
      <c r="S12" s="1653"/>
      <c r="T12" s="1653"/>
      <c r="U12" s="1930">
        <f t="shared" si="2"/>
        <v>0</v>
      </c>
      <c r="V12" s="1924"/>
    </row>
    <row r="13" spans="1:51" ht="13.5" customHeight="1">
      <c r="A13" s="1896"/>
      <c r="B13" s="1929" t="s">
        <v>9</v>
      </c>
      <c r="C13" s="1954" t="s">
        <v>1155</v>
      </c>
      <c r="D13" s="757"/>
      <c r="E13" s="1899" t="s">
        <v>873</v>
      </c>
      <c r="F13" s="1653"/>
      <c r="G13" s="1653"/>
      <c r="H13" s="1653"/>
      <c r="I13" s="1653"/>
      <c r="J13" s="1653"/>
      <c r="K13" s="1653"/>
      <c r="L13" s="1653"/>
      <c r="M13" s="1653"/>
      <c r="N13" s="1653"/>
      <c r="O13" s="1653"/>
      <c r="P13" s="1653"/>
      <c r="Q13" s="1653"/>
      <c r="R13" s="1653"/>
      <c r="S13" s="1653"/>
      <c r="T13" s="1653"/>
      <c r="U13" s="1930">
        <f t="shared" si="2"/>
        <v>0</v>
      </c>
      <c r="V13" s="1924"/>
    </row>
    <row r="14" spans="1:51" ht="13.5" customHeight="1">
      <c r="A14" s="1896"/>
      <c r="B14" s="1929" t="s">
        <v>11</v>
      </c>
      <c r="C14" s="1954" t="s">
        <v>1112</v>
      </c>
      <c r="D14" s="757"/>
      <c r="E14" s="1899" t="s">
        <v>873</v>
      </c>
      <c r="F14" s="1653"/>
      <c r="G14" s="1653"/>
      <c r="H14" s="1653"/>
      <c r="I14" s="1653"/>
      <c r="J14" s="1653"/>
      <c r="K14" s="1653"/>
      <c r="L14" s="1653"/>
      <c r="M14" s="1653"/>
      <c r="N14" s="1653"/>
      <c r="O14" s="1653"/>
      <c r="P14" s="1653"/>
      <c r="Q14" s="1653"/>
      <c r="R14" s="1653"/>
      <c r="S14" s="1653"/>
      <c r="T14" s="1653"/>
      <c r="U14" s="1930">
        <f t="shared" si="2"/>
        <v>0</v>
      </c>
      <c r="V14" s="1924"/>
    </row>
    <row r="15" spans="1:51" ht="13.5" customHeight="1">
      <c r="A15" s="1896"/>
      <c r="B15" s="1929" t="s">
        <v>47</v>
      </c>
      <c r="C15" s="1954" t="s">
        <v>1112</v>
      </c>
      <c r="D15" s="757"/>
      <c r="E15" s="1899" t="s">
        <v>873</v>
      </c>
      <c r="F15" s="1653"/>
      <c r="G15" s="1653"/>
      <c r="H15" s="1653"/>
      <c r="I15" s="1653"/>
      <c r="J15" s="1653"/>
      <c r="K15" s="1653"/>
      <c r="L15" s="1653"/>
      <c r="M15" s="1653"/>
      <c r="N15" s="1653"/>
      <c r="O15" s="1653"/>
      <c r="P15" s="1653"/>
      <c r="Q15" s="1653"/>
      <c r="R15" s="1653"/>
      <c r="S15" s="1653"/>
      <c r="T15" s="1653"/>
      <c r="U15" s="1930">
        <f t="shared" si="2"/>
        <v>0</v>
      </c>
      <c r="V15" s="1924"/>
    </row>
    <row r="16" spans="1:51" ht="13.5" customHeight="1">
      <c r="A16" s="1896"/>
      <c r="B16" s="1342">
        <v>2</v>
      </c>
      <c r="C16" s="1931" t="s">
        <v>1027</v>
      </c>
      <c r="D16" s="757"/>
      <c r="E16" s="1901" t="s">
        <v>873</v>
      </c>
      <c r="F16" s="1489">
        <f>SUM(F17:F22)</f>
        <v>-400</v>
      </c>
      <c r="G16" s="1489">
        <f t="shared" ref="G16:T16" si="3">SUM(G17:G22)</f>
        <v>-400</v>
      </c>
      <c r="H16" s="1489">
        <f t="shared" si="3"/>
        <v>-400</v>
      </c>
      <c r="I16" s="1489">
        <f t="shared" si="3"/>
        <v>-400</v>
      </c>
      <c r="J16" s="1489">
        <f t="shared" si="3"/>
        <v>-400</v>
      </c>
      <c r="K16" s="1489">
        <f t="shared" si="3"/>
        <v>-400</v>
      </c>
      <c r="L16" s="1489">
        <f t="shared" si="3"/>
        <v>-400</v>
      </c>
      <c r="M16" s="1489">
        <f t="shared" si="3"/>
        <v>-400</v>
      </c>
      <c r="N16" s="1489">
        <f t="shared" si="3"/>
        <v>-400</v>
      </c>
      <c r="O16" s="1489">
        <f t="shared" si="3"/>
        <v>-400</v>
      </c>
      <c r="P16" s="1489">
        <f t="shared" si="3"/>
        <v>-400</v>
      </c>
      <c r="Q16" s="1489">
        <f t="shared" si="3"/>
        <v>-400</v>
      </c>
      <c r="R16" s="1489">
        <f t="shared" si="3"/>
        <v>-400</v>
      </c>
      <c r="S16" s="1489">
        <f t="shared" si="3"/>
        <v>-400</v>
      </c>
      <c r="T16" s="1489">
        <f t="shared" si="3"/>
        <v>-400</v>
      </c>
      <c r="U16" s="1930">
        <f t="shared" si="2"/>
        <v>-6000</v>
      </c>
      <c r="V16" s="1932"/>
    </row>
    <row r="17" spans="1:23" ht="13.5" customHeight="1">
      <c r="A17" s="1896"/>
      <c r="B17" s="1929" t="s">
        <v>14</v>
      </c>
      <c r="C17" s="1955" t="s">
        <v>876</v>
      </c>
      <c r="D17" s="751"/>
      <c r="E17" s="1899" t="s">
        <v>873</v>
      </c>
      <c r="F17" s="1653">
        <v>-300</v>
      </c>
      <c r="G17" s="1653">
        <v>-300</v>
      </c>
      <c r="H17" s="1653">
        <v>-300</v>
      </c>
      <c r="I17" s="1653">
        <v>-300</v>
      </c>
      <c r="J17" s="1653">
        <v>-300</v>
      </c>
      <c r="K17" s="1653">
        <v>-300</v>
      </c>
      <c r="L17" s="1653">
        <v>-300</v>
      </c>
      <c r="M17" s="1653">
        <v>-300</v>
      </c>
      <c r="N17" s="1653">
        <v>-300</v>
      </c>
      <c r="O17" s="1653">
        <v>-300</v>
      </c>
      <c r="P17" s="1653">
        <v>-300</v>
      </c>
      <c r="Q17" s="1653">
        <v>-300</v>
      </c>
      <c r="R17" s="1653">
        <v>-300</v>
      </c>
      <c r="S17" s="1653">
        <v>-300</v>
      </c>
      <c r="T17" s="1653">
        <v>-300</v>
      </c>
      <c r="U17" s="1930">
        <f t="shared" si="2"/>
        <v>-4500</v>
      </c>
      <c r="V17" s="1924"/>
    </row>
    <row r="18" spans="1:23" ht="15" customHeight="1">
      <c r="A18" s="1896"/>
      <c r="B18" s="1929" t="s">
        <v>16</v>
      </c>
      <c r="C18" s="1955" t="s">
        <v>876</v>
      </c>
      <c r="D18" s="751"/>
      <c r="E18" s="1899" t="s">
        <v>873</v>
      </c>
      <c r="F18" s="1653">
        <v>-100</v>
      </c>
      <c r="G18" s="1653">
        <v>-100</v>
      </c>
      <c r="H18" s="1653">
        <v>-100</v>
      </c>
      <c r="I18" s="1653">
        <v>-100</v>
      </c>
      <c r="J18" s="1653">
        <v>-100</v>
      </c>
      <c r="K18" s="1653">
        <v>-100</v>
      </c>
      <c r="L18" s="1653">
        <v>-100</v>
      </c>
      <c r="M18" s="1653">
        <v>-100</v>
      </c>
      <c r="N18" s="1653">
        <v>-100</v>
      </c>
      <c r="O18" s="1653">
        <v>-100</v>
      </c>
      <c r="P18" s="1653">
        <v>-100</v>
      </c>
      <c r="Q18" s="1653">
        <v>-100</v>
      </c>
      <c r="R18" s="1653">
        <v>-100</v>
      </c>
      <c r="S18" s="1653">
        <v>-100</v>
      </c>
      <c r="T18" s="1653">
        <v>-100</v>
      </c>
      <c r="U18" s="1930">
        <f t="shared" si="2"/>
        <v>-1500</v>
      </c>
      <c r="V18" s="1924"/>
    </row>
    <row r="19" spans="1:23" ht="17.25" customHeight="1">
      <c r="A19" s="1896"/>
      <c r="B19" s="1929" t="s">
        <v>19</v>
      </c>
      <c r="C19" s="1955" t="s">
        <v>876</v>
      </c>
      <c r="D19" s="751"/>
      <c r="E19" s="1899" t="s">
        <v>873</v>
      </c>
      <c r="F19" s="1653"/>
      <c r="G19" s="1653"/>
      <c r="H19" s="1653"/>
      <c r="I19" s="1653"/>
      <c r="J19" s="1653"/>
      <c r="K19" s="1653"/>
      <c r="L19" s="1653"/>
      <c r="M19" s="1653"/>
      <c r="N19" s="1653"/>
      <c r="O19" s="1653"/>
      <c r="P19" s="1653"/>
      <c r="Q19" s="1653"/>
      <c r="R19" s="1653"/>
      <c r="S19" s="1653"/>
      <c r="T19" s="1653"/>
      <c r="U19" s="1930">
        <f t="shared" si="2"/>
        <v>0</v>
      </c>
      <c r="V19" s="1924"/>
    </row>
    <row r="20" spans="1:23" ht="15.75" customHeight="1">
      <c r="A20" s="1896"/>
      <c r="B20" s="1929" t="s">
        <v>22</v>
      </c>
      <c r="C20" s="1955" t="s">
        <v>876</v>
      </c>
      <c r="D20" s="751"/>
      <c r="E20" s="1899" t="s">
        <v>873</v>
      </c>
      <c r="F20" s="1653"/>
      <c r="G20" s="1653"/>
      <c r="H20" s="1653"/>
      <c r="I20" s="1653"/>
      <c r="J20" s="1653"/>
      <c r="K20" s="1653"/>
      <c r="L20" s="1653"/>
      <c r="M20" s="1653"/>
      <c r="N20" s="1653"/>
      <c r="O20" s="1653"/>
      <c r="P20" s="1653"/>
      <c r="Q20" s="1653"/>
      <c r="R20" s="1653"/>
      <c r="S20" s="1653"/>
      <c r="T20" s="1653"/>
      <c r="U20" s="1930">
        <f t="shared" si="2"/>
        <v>0</v>
      </c>
      <c r="V20" s="1924"/>
    </row>
    <row r="21" spans="1:23" ht="15.75" customHeight="1">
      <c r="A21" s="1896"/>
      <c r="B21" s="1929" t="s">
        <v>23</v>
      </c>
      <c r="C21" s="1955" t="s">
        <v>876</v>
      </c>
      <c r="D21" s="751"/>
      <c r="E21" s="1899" t="s">
        <v>873</v>
      </c>
      <c r="F21" s="1653"/>
      <c r="G21" s="1653"/>
      <c r="H21" s="1653"/>
      <c r="I21" s="1653"/>
      <c r="J21" s="1653"/>
      <c r="K21" s="1653"/>
      <c r="L21" s="1653"/>
      <c r="M21" s="1653"/>
      <c r="N21" s="1653"/>
      <c r="O21" s="1653"/>
      <c r="P21" s="1653"/>
      <c r="Q21" s="1653"/>
      <c r="R21" s="1653"/>
      <c r="S21" s="1653"/>
      <c r="T21" s="1653"/>
      <c r="U21" s="1930">
        <f t="shared" si="2"/>
        <v>0</v>
      </c>
      <c r="V21" s="1924"/>
    </row>
    <row r="22" spans="1:23" s="799" customFormat="1" ht="27" customHeight="1">
      <c r="A22" s="1903"/>
      <c r="B22" s="1929" t="s">
        <v>24</v>
      </c>
      <c r="C22" s="1933" t="s">
        <v>1002</v>
      </c>
      <c r="D22" s="1492"/>
      <c r="E22" s="1899" t="s">
        <v>873</v>
      </c>
      <c r="F22" s="1653"/>
      <c r="G22" s="1653"/>
      <c r="H22" s="1653"/>
      <c r="I22" s="1653"/>
      <c r="J22" s="1653"/>
      <c r="K22" s="1653"/>
      <c r="L22" s="1653"/>
      <c r="M22" s="1653"/>
      <c r="N22" s="1653"/>
      <c r="O22" s="1653"/>
      <c r="P22" s="1653"/>
      <c r="Q22" s="1653"/>
      <c r="R22" s="1653"/>
      <c r="S22" s="1653"/>
      <c r="T22" s="1653"/>
      <c r="U22" s="1930">
        <f t="shared" si="2"/>
        <v>0</v>
      </c>
      <c r="V22" s="1934"/>
    </row>
    <row r="23" spans="1:23" ht="13.5" customHeight="1">
      <c r="A23" s="1896"/>
      <c r="B23" s="1901">
        <v>3</v>
      </c>
      <c r="C23" s="757" t="s">
        <v>1028</v>
      </c>
      <c r="D23" s="757"/>
      <c r="E23" s="1901" t="s">
        <v>873</v>
      </c>
      <c r="F23" s="1489">
        <f>F24+F28</f>
        <v>-34950</v>
      </c>
      <c r="G23" s="1489">
        <f>G24+G28</f>
        <v>-9465</v>
      </c>
      <c r="H23" s="1489">
        <f>H24+H28</f>
        <v>-28700</v>
      </c>
      <c r="I23" s="1935"/>
      <c r="J23" s="1935"/>
      <c r="K23" s="1935"/>
      <c r="L23" s="1935"/>
      <c r="M23" s="1935"/>
      <c r="N23" s="1935"/>
      <c r="O23" s="1935"/>
      <c r="P23" s="1935"/>
      <c r="Q23" s="1935"/>
      <c r="R23" s="1935"/>
      <c r="S23" s="1935"/>
      <c r="T23" s="1935"/>
      <c r="U23" s="1930">
        <f t="shared" si="2"/>
        <v>-73115</v>
      </c>
      <c r="V23" s="1936"/>
      <c r="W23" s="821"/>
    </row>
    <row r="24" spans="1:23" s="1941" customFormat="1" ht="13.5" customHeight="1">
      <c r="A24" s="1937"/>
      <c r="B24" s="1938" t="s">
        <v>33</v>
      </c>
      <c r="C24" s="757" t="s">
        <v>67</v>
      </c>
      <c r="D24" s="1939"/>
      <c r="E24" s="1901" t="s">
        <v>873</v>
      </c>
      <c r="F24" s="1489">
        <f>SUM(F25:F25)</f>
        <v>-31450</v>
      </c>
      <c r="G24" s="1489">
        <f>SUM(G25:G25)</f>
        <v>-5965</v>
      </c>
      <c r="H24" s="1489">
        <f>SUM(H25:H25)</f>
        <v>-25200</v>
      </c>
      <c r="I24" s="1935"/>
      <c r="J24" s="1935"/>
      <c r="K24" s="1935"/>
      <c r="L24" s="1935"/>
      <c r="M24" s="1935"/>
      <c r="N24" s="1935"/>
      <c r="O24" s="1935"/>
      <c r="P24" s="1935"/>
      <c r="Q24" s="1935"/>
      <c r="R24" s="1935"/>
      <c r="S24" s="1935"/>
      <c r="T24" s="1935"/>
      <c r="U24" s="1930">
        <f t="shared" si="2"/>
        <v>-62615</v>
      </c>
      <c r="V24" s="1940"/>
    </row>
    <row r="25" spans="1:23" ht="13.5" customHeight="1">
      <c r="A25" s="1896"/>
      <c r="B25" s="1929" t="s">
        <v>103</v>
      </c>
      <c r="C25" s="751" t="s">
        <v>67</v>
      </c>
      <c r="D25" s="751"/>
      <c r="E25" s="1942" t="s">
        <v>873</v>
      </c>
      <c r="F25" s="1425">
        <f>SUM(F26:F27)</f>
        <v>-31450</v>
      </c>
      <c r="G25" s="1425">
        <f t="shared" ref="G25:H25" si="4">SUM(G26:G27)</f>
        <v>-5965</v>
      </c>
      <c r="H25" s="1425">
        <f t="shared" si="4"/>
        <v>-25200</v>
      </c>
      <c r="I25" s="1935"/>
      <c r="J25" s="1935"/>
      <c r="K25" s="1935"/>
      <c r="L25" s="1935"/>
      <c r="M25" s="1935"/>
      <c r="N25" s="1935"/>
      <c r="O25" s="1935"/>
      <c r="P25" s="1935"/>
      <c r="Q25" s="1935"/>
      <c r="R25" s="1935"/>
      <c r="S25" s="1935"/>
      <c r="T25" s="1935"/>
      <c r="U25" s="1943">
        <f t="shared" si="2"/>
        <v>-62615</v>
      </c>
      <c r="V25" s="1944"/>
    </row>
    <row r="26" spans="1:23" ht="13.5" customHeight="1">
      <c r="A26" s="1896"/>
      <c r="B26" s="1929" t="s">
        <v>1190</v>
      </c>
      <c r="C26" s="751" t="s">
        <v>1191</v>
      </c>
      <c r="D26" s="751"/>
      <c r="E26" s="1942" t="s">
        <v>873</v>
      </c>
      <c r="F26" s="1425">
        <f>-('8. AL budžets kopā'!I16+'8. AL budžets kopā'!K16-'8. AL budžets kopā'!I14-'8. AL budžets kopā'!K14)</f>
        <v>-30750</v>
      </c>
      <c r="G26" s="1425">
        <f>-('8. AL budžets kopā'!M16-'8. AL budžets kopā'!M14)</f>
        <v>-5765</v>
      </c>
      <c r="H26" s="1425">
        <f>-('8. AL budžets kopā'!O16-'8. AL budžets kopā'!O14)</f>
        <v>-25000</v>
      </c>
      <c r="I26" s="1935"/>
      <c r="J26" s="1935"/>
      <c r="K26" s="1935"/>
      <c r="L26" s="1935"/>
      <c r="M26" s="1935"/>
      <c r="N26" s="1935"/>
      <c r="O26" s="1935"/>
      <c r="P26" s="1935"/>
      <c r="Q26" s="1935"/>
      <c r="R26" s="1935"/>
      <c r="S26" s="1935"/>
      <c r="T26" s="1935"/>
      <c r="U26" s="1943">
        <f t="shared" si="2"/>
        <v>-61515</v>
      </c>
      <c r="V26" s="1944"/>
    </row>
    <row r="27" spans="1:23" ht="13.5" customHeight="1">
      <c r="A27" s="1896"/>
      <c r="B27" s="1929" t="s">
        <v>1192</v>
      </c>
      <c r="C27" s="751" t="s">
        <v>1193</v>
      </c>
      <c r="D27" s="751"/>
      <c r="E27" s="1942" t="s">
        <v>873</v>
      </c>
      <c r="F27" s="1425">
        <f>-('8. AL budžets kopā'!J16+'8. AL budžets kopā'!L16-'8. AL budžets kopā'!L14-'8. AL budžets kopā'!J14)</f>
        <v>-700</v>
      </c>
      <c r="G27" s="1425">
        <f>-('8. AL budžets kopā'!N16-'8. AL budžets kopā'!N14)</f>
        <v>-200</v>
      </c>
      <c r="H27" s="1425">
        <f>-('8. AL budžets kopā'!P16-'8. AL budžets kopā'!P14)</f>
        <v>-200</v>
      </c>
      <c r="I27" s="1935"/>
      <c r="J27" s="1935"/>
      <c r="K27" s="1935"/>
      <c r="L27" s="1935"/>
      <c r="M27" s="1935"/>
      <c r="N27" s="1935"/>
      <c r="O27" s="1935"/>
      <c r="P27" s="1935"/>
      <c r="Q27" s="1935"/>
      <c r="R27" s="1935"/>
      <c r="S27" s="1935"/>
      <c r="T27" s="1935"/>
      <c r="U27" s="1943">
        <f t="shared" si="2"/>
        <v>-1100</v>
      </c>
      <c r="V27" s="1944"/>
    </row>
    <row r="28" spans="1:23" s="1941" customFormat="1" ht="13.5" customHeight="1">
      <c r="A28" s="1937"/>
      <c r="B28" s="1938" t="s">
        <v>34</v>
      </c>
      <c r="C28" s="757" t="s">
        <v>694</v>
      </c>
      <c r="D28" s="1939"/>
      <c r="E28" s="1901" t="s">
        <v>873</v>
      </c>
      <c r="F28" s="1489">
        <f>F29</f>
        <v>-3500</v>
      </c>
      <c r="G28" s="1489">
        <f t="shared" ref="G28:H28" si="5">G29</f>
        <v>-3500</v>
      </c>
      <c r="H28" s="1489">
        <f t="shared" si="5"/>
        <v>-3500</v>
      </c>
      <c r="I28" s="1935"/>
      <c r="J28" s="1935"/>
      <c r="K28" s="1935"/>
      <c r="L28" s="1935"/>
      <c r="M28" s="1935"/>
      <c r="N28" s="1935"/>
      <c r="O28" s="1935"/>
      <c r="P28" s="1935"/>
      <c r="Q28" s="1935"/>
      <c r="R28" s="1935"/>
      <c r="S28" s="1935"/>
      <c r="T28" s="1935"/>
      <c r="U28" s="1930">
        <f t="shared" si="2"/>
        <v>-10500</v>
      </c>
      <c r="V28" s="1940"/>
    </row>
    <row r="29" spans="1:23" ht="13.5" customHeight="1">
      <c r="A29" s="1896"/>
      <c r="B29" s="1929" t="s">
        <v>104</v>
      </c>
      <c r="C29" s="751" t="s">
        <v>92</v>
      </c>
      <c r="D29" s="751"/>
      <c r="E29" s="1942" t="s">
        <v>873</v>
      </c>
      <c r="F29" s="1425">
        <f>-('8. AL budžets kopā'!I14+'8. AL budžets kopā'!J14+'8. AL budžets kopā'!K14+'8. AL budžets kopā'!L14)</f>
        <v>-3500</v>
      </c>
      <c r="G29" s="1425">
        <f>-('8. AL budžets kopā'!M14+'8. AL budžets kopā'!N14)</f>
        <v>-3500</v>
      </c>
      <c r="H29" s="1425">
        <f>-('8. AL budžets kopā'!O14+'8. AL budžets kopā'!P14)</f>
        <v>-3500</v>
      </c>
      <c r="I29" s="1935"/>
      <c r="J29" s="1935"/>
      <c r="K29" s="1935"/>
      <c r="L29" s="1935"/>
      <c r="M29" s="1935"/>
      <c r="N29" s="1935"/>
      <c r="O29" s="1935"/>
      <c r="P29" s="1935"/>
      <c r="Q29" s="1935"/>
      <c r="R29" s="1935"/>
      <c r="S29" s="1935"/>
      <c r="T29" s="1935"/>
      <c r="U29" s="1943">
        <f t="shared" si="2"/>
        <v>-10500</v>
      </c>
      <c r="V29" s="1944"/>
    </row>
    <row r="30" spans="1:23" ht="13.5" customHeight="1">
      <c r="A30" s="1896"/>
      <c r="B30" s="1945">
        <v>4</v>
      </c>
      <c r="C30" s="757" t="s">
        <v>1030</v>
      </c>
      <c r="D30" s="757"/>
      <c r="E30" s="1901" t="s">
        <v>873</v>
      </c>
      <c r="F30" s="1935"/>
      <c r="G30" s="1935"/>
      <c r="H30" s="1935"/>
      <c r="I30" s="1935"/>
      <c r="J30" s="1935"/>
      <c r="K30" s="1935"/>
      <c r="L30" s="1935"/>
      <c r="M30" s="1935"/>
      <c r="N30" s="1489">
        <f t="shared" ref="N30:T30" si="6">N31</f>
        <v>0</v>
      </c>
      <c r="O30" s="1489">
        <f t="shared" si="6"/>
        <v>0</v>
      </c>
      <c r="P30" s="1489">
        <f t="shared" si="6"/>
        <v>0</v>
      </c>
      <c r="Q30" s="1489">
        <f t="shared" si="6"/>
        <v>0</v>
      </c>
      <c r="R30" s="1489">
        <f t="shared" si="6"/>
        <v>0</v>
      </c>
      <c r="S30" s="1489">
        <f t="shared" si="6"/>
        <v>0</v>
      </c>
      <c r="T30" s="1489">
        <f t="shared" si="6"/>
        <v>1000</v>
      </c>
      <c r="U30" s="1930">
        <f t="shared" si="2"/>
        <v>1000</v>
      </c>
      <c r="V30" s="1944"/>
    </row>
    <row r="31" spans="1:23" ht="13.5" customHeight="1">
      <c r="A31" s="1896"/>
      <c r="B31" s="1946" t="s">
        <v>39</v>
      </c>
      <c r="C31" s="1898" t="s">
        <v>10</v>
      </c>
      <c r="D31" s="757"/>
      <c r="E31" s="1899" t="s">
        <v>873</v>
      </c>
      <c r="F31" s="1935"/>
      <c r="G31" s="1935"/>
      <c r="H31" s="1935"/>
      <c r="I31" s="1935"/>
      <c r="J31" s="1935"/>
      <c r="K31" s="1935"/>
      <c r="L31" s="1947"/>
      <c r="M31" s="1947"/>
      <c r="N31" s="1947"/>
      <c r="O31" s="1947"/>
      <c r="P31" s="1947"/>
      <c r="Q31" s="1947"/>
      <c r="R31" s="1947"/>
      <c r="S31" s="1947"/>
      <c r="T31" s="1654">
        <v>1000</v>
      </c>
      <c r="U31" s="1930">
        <f t="shared" si="2"/>
        <v>1000</v>
      </c>
      <c r="V31" s="1944"/>
    </row>
    <row r="32" spans="1:23" s="789" customFormat="1" ht="13.5" customHeight="1" thickBot="1">
      <c r="A32" s="1948"/>
      <c r="B32" s="1949">
        <v>5</v>
      </c>
      <c r="C32" s="1906" t="s">
        <v>12</v>
      </c>
      <c r="D32" s="1906"/>
      <c r="E32" s="1907" t="s">
        <v>873</v>
      </c>
      <c r="F32" s="1950">
        <f t="shared" ref="F32:T32" si="7">SUM(F9,F16,F23,F30)</f>
        <v>-34990</v>
      </c>
      <c r="G32" s="1950">
        <f t="shared" si="7"/>
        <v>-9505</v>
      </c>
      <c r="H32" s="1950">
        <f t="shared" si="7"/>
        <v>-28740</v>
      </c>
      <c r="I32" s="1950">
        <f t="shared" si="7"/>
        <v>-40</v>
      </c>
      <c r="J32" s="1950">
        <f t="shared" si="7"/>
        <v>-40</v>
      </c>
      <c r="K32" s="1950">
        <f t="shared" si="7"/>
        <v>-40</v>
      </c>
      <c r="L32" s="1950">
        <f t="shared" si="7"/>
        <v>-40</v>
      </c>
      <c r="M32" s="1950">
        <f t="shared" si="7"/>
        <v>-40</v>
      </c>
      <c r="N32" s="1950">
        <f t="shared" si="7"/>
        <v>-40</v>
      </c>
      <c r="O32" s="1950">
        <f t="shared" si="7"/>
        <v>-40</v>
      </c>
      <c r="P32" s="1950">
        <f t="shared" si="7"/>
        <v>-40</v>
      </c>
      <c r="Q32" s="1950">
        <f t="shared" si="7"/>
        <v>-40</v>
      </c>
      <c r="R32" s="1950">
        <f t="shared" si="7"/>
        <v>-40</v>
      </c>
      <c r="S32" s="1950">
        <f t="shared" si="7"/>
        <v>-40</v>
      </c>
      <c r="T32" s="1950">
        <f t="shared" si="7"/>
        <v>960</v>
      </c>
      <c r="U32" s="1951">
        <f t="shared" si="2"/>
        <v>-72715</v>
      </c>
      <c r="V32" s="1501"/>
    </row>
    <row r="33" spans="1:22">
      <c r="V33" s="1924"/>
    </row>
    <row r="34" spans="1:22">
      <c r="A34" s="1921"/>
      <c r="B34" s="1921"/>
      <c r="C34" s="1921"/>
      <c r="D34" s="1921"/>
      <c r="E34" s="1921"/>
      <c r="F34" s="1922"/>
      <c r="G34" s="1922"/>
      <c r="H34" s="1922"/>
      <c r="I34" s="1922"/>
      <c r="J34" s="1922"/>
      <c r="K34" s="1922"/>
      <c r="L34" s="1922"/>
      <c r="M34" s="1922"/>
      <c r="N34" s="1922"/>
      <c r="O34" s="1922"/>
      <c r="P34" s="1922"/>
      <c r="Q34" s="1922"/>
      <c r="R34" s="1922"/>
      <c r="S34" s="1922"/>
      <c r="T34" s="1922"/>
      <c r="U34" s="1923"/>
    </row>
    <row r="35" spans="1:22">
      <c r="A35" s="808"/>
      <c r="B35" s="808"/>
      <c r="C35" s="808"/>
      <c r="D35" s="1952"/>
      <c r="E35" s="808"/>
      <c r="F35" s="1953"/>
      <c r="G35" s="808"/>
      <c r="H35" s="808"/>
      <c r="I35" s="808"/>
      <c r="J35" s="808"/>
      <c r="K35" s="808"/>
      <c r="L35" s="808"/>
      <c r="M35" s="808"/>
      <c r="N35" s="808"/>
      <c r="O35" s="808"/>
      <c r="P35" s="808"/>
      <c r="Q35" s="808"/>
      <c r="R35" s="808"/>
      <c r="S35" s="808"/>
      <c r="T35" s="808"/>
    </row>
    <row r="36" spans="1:22">
      <c r="A36" s="808"/>
      <c r="B36" s="808"/>
      <c r="C36" s="808"/>
      <c r="D36" s="1952"/>
      <c r="E36" s="808"/>
      <c r="F36" s="1953"/>
      <c r="G36" s="808"/>
      <c r="H36" s="808"/>
      <c r="I36" s="808"/>
      <c r="J36" s="808"/>
      <c r="K36" s="808"/>
      <c r="L36" s="808"/>
      <c r="M36" s="808"/>
      <c r="N36" s="808"/>
      <c r="O36" s="808"/>
      <c r="P36" s="808"/>
      <c r="Q36" s="808"/>
      <c r="R36" s="808"/>
      <c r="S36" s="808"/>
      <c r="T36" s="808"/>
    </row>
    <row r="37" spans="1:22">
      <c r="A37" s="808"/>
      <c r="B37" s="808"/>
      <c r="C37" s="808"/>
      <c r="D37" s="1952"/>
      <c r="E37" s="808"/>
      <c r="F37" s="1953"/>
      <c r="G37" s="808"/>
      <c r="H37" s="808"/>
      <c r="I37" s="808"/>
      <c r="J37" s="808"/>
      <c r="K37" s="808"/>
      <c r="L37" s="808"/>
      <c r="M37" s="808"/>
      <c r="N37" s="808"/>
      <c r="O37" s="808"/>
      <c r="P37" s="808"/>
      <c r="Q37" s="808"/>
      <c r="R37" s="808"/>
      <c r="S37" s="808"/>
      <c r="T37" s="808"/>
    </row>
    <row r="38" spans="1:22">
      <c r="A38" s="808"/>
      <c r="B38" s="808"/>
      <c r="C38" s="808"/>
      <c r="D38" s="808"/>
      <c r="E38" s="808"/>
      <c r="F38" s="1883"/>
      <c r="G38" s="1883"/>
      <c r="H38" s="1883"/>
      <c r="I38" s="1883"/>
      <c r="J38" s="1883"/>
      <c r="K38" s="1883"/>
      <c r="L38" s="1883"/>
      <c r="M38" s="1883"/>
      <c r="N38" s="1883"/>
      <c r="O38" s="1883"/>
      <c r="P38" s="1883"/>
      <c r="Q38" s="1883"/>
      <c r="R38" s="1883"/>
      <c r="S38" s="1883"/>
      <c r="T38" s="1883"/>
    </row>
    <row r="39" spans="1:22">
      <c r="A39" s="808"/>
      <c r="B39" s="808"/>
      <c r="C39" s="808"/>
      <c r="D39" s="808"/>
      <c r="E39" s="808"/>
      <c r="F39" s="808"/>
      <c r="G39" s="808"/>
      <c r="H39" s="808"/>
      <c r="I39" s="808"/>
      <c r="J39" s="808"/>
      <c r="K39" s="808"/>
      <c r="L39" s="808"/>
      <c r="M39" s="808"/>
      <c r="N39" s="808"/>
      <c r="O39" s="808"/>
      <c r="P39" s="808"/>
      <c r="Q39" s="808"/>
      <c r="R39" s="808"/>
      <c r="S39" s="808"/>
      <c r="T39" s="808"/>
    </row>
    <row r="40" spans="1:22">
      <c r="A40" s="808"/>
      <c r="B40" s="808"/>
      <c r="C40" s="808"/>
      <c r="D40" s="808"/>
      <c r="E40" s="808"/>
      <c r="F40" s="808"/>
      <c r="G40" s="808"/>
      <c r="H40" s="808"/>
      <c r="I40" s="808"/>
      <c r="J40" s="808"/>
      <c r="K40" s="808"/>
      <c r="L40" s="808"/>
      <c r="M40" s="808"/>
      <c r="N40" s="808"/>
      <c r="O40" s="808"/>
      <c r="P40" s="808"/>
      <c r="Q40" s="808"/>
      <c r="R40" s="808"/>
      <c r="S40" s="808"/>
      <c r="T40" s="808"/>
    </row>
    <row r="41" spans="1:22" ht="15.75">
      <c r="A41" s="808"/>
      <c r="B41" s="808"/>
      <c r="C41" s="808"/>
      <c r="D41" s="808"/>
      <c r="E41" s="808"/>
      <c r="F41" s="808"/>
      <c r="G41" s="1886"/>
      <c r="H41" s="808"/>
      <c r="I41" s="808"/>
      <c r="J41" s="808"/>
      <c r="K41" s="808"/>
      <c r="L41" s="808"/>
      <c r="M41" s="808"/>
      <c r="N41" s="808"/>
      <c r="O41" s="808"/>
      <c r="P41" s="808"/>
      <c r="Q41" s="808"/>
      <c r="R41" s="808"/>
      <c r="S41" s="808"/>
      <c r="T41" s="808"/>
    </row>
    <row r="42" spans="1:22">
      <c r="A42" s="808"/>
      <c r="B42" s="808"/>
      <c r="C42" s="808"/>
      <c r="D42" s="808"/>
      <c r="E42" s="808"/>
      <c r="F42" s="808"/>
      <c r="G42" s="808"/>
      <c r="H42" s="808"/>
      <c r="I42" s="808"/>
      <c r="J42" s="808"/>
      <c r="K42" s="808"/>
      <c r="L42" s="808"/>
      <c r="M42" s="808"/>
      <c r="N42" s="808"/>
      <c r="O42" s="808"/>
      <c r="P42" s="808"/>
      <c r="Q42" s="808"/>
      <c r="R42" s="808"/>
      <c r="S42" s="808"/>
      <c r="T42" s="808"/>
    </row>
    <row r="43" spans="1:22">
      <c r="A43" s="808"/>
      <c r="B43" s="808"/>
      <c r="C43" s="808"/>
      <c r="D43" s="808"/>
      <c r="E43" s="808"/>
      <c r="F43" s="808"/>
      <c r="G43" s="808"/>
      <c r="H43" s="808"/>
      <c r="I43" s="808"/>
      <c r="J43" s="808"/>
      <c r="K43" s="808"/>
      <c r="L43" s="808"/>
      <c r="M43" s="1883"/>
      <c r="N43" s="808"/>
      <c r="O43" s="808"/>
      <c r="P43" s="808"/>
      <c r="Q43" s="808"/>
      <c r="R43" s="808"/>
      <c r="S43" s="808"/>
      <c r="T43" s="808"/>
    </row>
    <row r="44" spans="1:22">
      <c r="A44" s="808"/>
      <c r="B44" s="808"/>
      <c r="C44" s="808"/>
      <c r="D44" s="808"/>
      <c r="E44" s="808"/>
      <c r="F44" s="808"/>
      <c r="G44" s="808"/>
      <c r="H44" s="808"/>
      <c r="I44" s="808"/>
      <c r="J44" s="808"/>
      <c r="K44" s="808"/>
      <c r="L44" s="808"/>
      <c r="M44" s="808"/>
      <c r="N44" s="808"/>
      <c r="O44" s="808"/>
      <c r="P44" s="808"/>
      <c r="Q44" s="808"/>
      <c r="R44" s="808"/>
      <c r="S44" s="808"/>
      <c r="T44" s="808"/>
    </row>
    <row r="45" spans="1:22">
      <c r="A45" s="808"/>
      <c r="B45" s="808"/>
      <c r="C45" s="808"/>
      <c r="D45" s="808"/>
      <c r="E45" s="808"/>
      <c r="F45" s="808"/>
      <c r="G45" s="808"/>
      <c r="H45" s="808"/>
      <c r="I45" s="808"/>
      <c r="J45" s="808"/>
      <c r="K45" s="808"/>
      <c r="L45" s="808"/>
      <c r="M45" s="808"/>
      <c r="N45" s="808"/>
      <c r="O45" s="808"/>
      <c r="P45" s="808"/>
      <c r="Q45" s="808"/>
      <c r="R45" s="808"/>
      <c r="S45" s="808"/>
      <c r="T45" s="808"/>
    </row>
    <row r="46" spans="1:22">
      <c r="A46" s="808"/>
      <c r="B46" s="808"/>
      <c r="C46" s="808"/>
      <c r="D46" s="808"/>
      <c r="E46" s="808"/>
      <c r="F46" s="808"/>
      <c r="G46" s="808"/>
      <c r="H46" s="808"/>
      <c r="I46" s="808"/>
      <c r="J46" s="808"/>
      <c r="K46" s="808"/>
      <c r="L46" s="808"/>
      <c r="M46" s="808"/>
      <c r="N46" s="808"/>
      <c r="O46" s="808"/>
      <c r="P46" s="808"/>
      <c r="Q46" s="808"/>
      <c r="R46" s="808"/>
      <c r="S46" s="808"/>
      <c r="T46" s="808"/>
    </row>
    <row r="47" spans="1:22">
      <c r="A47" s="808"/>
      <c r="B47" s="808"/>
      <c r="C47" s="808"/>
      <c r="D47" s="808"/>
      <c r="E47" s="808"/>
      <c r="F47" s="808"/>
      <c r="G47" s="808"/>
      <c r="H47" s="808"/>
      <c r="I47" s="808"/>
      <c r="J47" s="808"/>
      <c r="K47" s="808"/>
      <c r="L47" s="808"/>
      <c r="M47" s="808"/>
      <c r="N47" s="808"/>
      <c r="O47" s="808"/>
      <c r="P47" s="808"/>
      <c r="Q47" s="808"/>
      <c r="R47" s="808"/>
      <c r="S47" s="808"/>
      <c r="T47" s="808"/>
    </row>
    <row r="48" spans="1:22">
      <c r="A48" s="808"/>
      <c r="B48" s="808"/>
      <c r="C48" s="808"/>
      <c r="D48" s="808"/>
      <c r="E48" s="808"/>
      <c r="F48" s="808"/>
      <c r="G48" s="808"/>
      <c r="H48" s="808"/>
      <c r="I48" s="808"/>
      <c r="J48" s="808"/>
      <c r="K48" s="808"/>
      <c r="L48" s="808"/>
      <c r="M48" s="808"/>
      <c r="N48" s="808"/>
      <c r="O48" s="808"/>
      <c r="P48" s="808"/>
      <c r="Q48" s="808"/>
      <c r="R48" s="808"/>
      <c r="S48" s="808"/>
      <c r="T48" s="808"/>
    </row>
    <row r="49" spans="1:20">
      <c r="A49" s="808"/>
      <c r="B49" s="808"/>
      <c r="C49" s="808"/>
      <c r="D49" s="808"/>
      <c r="E49" s="808"/>
      <c r="F49" s="808"/>
      <c r="G49" s="808"/>
      <c r="H49" s="808"/>
      <c r="I49" s="808"/>
      <c r="J49" s="808"/>
      <c r="K49" s="808"/>
      <c r="L49" s="808"/>
      <c r="M49" s="808"/>
      <c r="N49" s="808"/>
      <c r="O49" s="808"/>
      <c r="P49" s="808"/>
      <c r="Q49" s="808"/>
      <c r="R49" s="808"/>
      <c r="S49" s="808"/>
      <c r="T49" s="808"/>
    </row>
    <row r="50" spans="1:20">
      <c r="A50" s="808"/>
      <c r="B50" s="808"/>
      <c r="C50" s="808"/>
      <c r="D50" s="808"/>
      <c r="E50" s="808"/>
      <c r="F50" s="808"/>
      <c r="G50" s="808"/>
      <c r="H50" s="808"/>
      <c r="I50" s="808"/>
      <c r="J50" s="808"/>
      <c r="K50" s="808"/>
      <c r="L50" s="808"/>
      <c r="M50" s="808"/>
      <c r="N50" s="808"/>
      <c r="O50" s="808"/>
      <c r="P50" s="808"/>
      <c r="Q50" s="808"/>
      <c r="R50" s="808"/>
      <c r="S50" s="808"/>
      <c r="T50" s="808"/>
    </row>
    <row r="51" spans="1:20">
      <c r="A51" s="808"/>
      <c r="B51" s="808"/>
      <c r="C51" s="808"/>
      <c r="D51" s="808"/>
      <c r="E51" s="808"/>
      <c r="F51" s="808"/>
      <c r="G51" s="808"/>
      <c r="H51" s="808"/>
      <c r="I51" s="808"/>
      <c r="J51" s="808"/>
      <c r="K51" s="808"/>
      <c r="L51" s="808"/>
      <c r="M51" s="808"/>
      <c r="N51" s="808"/>
      <c r="O51" s="808"/>
      <c r="P51" s="808"/>
      <c r="Q51" s="808"/>
      <c r="R51" s="808"/>
      <c r="S51" s="808"/>
      <c r="T51" s="808"/>
    </row>
    <row r="52" spans="1:20">
      <c r="A52" s="808"/>
      <c r="B52" s="808"/>
      <c r="C52" s="808"/>
      <c r="D52" s="808"/>
      <c r="E52" s="808"/>
      <c r="F52" s="808"/>
      <c r="G52" s="808"/>
      <c r="H52" s="808"/>
      <c r="I52" s="808"/>
      <c r="J52" s="808"/>
      <c r="K52" s="808"/>
      <c r="L52" s="808"/>
      <c r="M52" s="808"/>
      <c r="N52" s="808"/>
      <c r="O52" s="808"/>
      <c r="P52" s="808"/>
      <c r="Q52" s="808"/>
      <c r="R52" s="808"/>
      <c r="S52" s="808"/>
      <c r="T52" s="808"/>
    </row>
    <row r="53" spans="1:20">
      <c r="A53" s="808"/>
      <c r="B53" s="808"/>
      <c r="C53" s="808"/>
      <c r="D53" s="808"/>
      <c r="E53" s="808"/>
      <c r="F53" s="808"/>
      <c r="G53" s="808"/>
      <c r="H53" s="808"/>
      <c r="I53" s="808"/>
      <c r="J53" s="808"/>
      <c r="K53" s="808"/>
      <c r="L53" s="808"/>
      <c r="M53" s="808"/>
      <c r="N53" s="808"/>
      <c r="O53" s="808"/>
      <c r="P53" s="808"/>
      <c r="Q53" s="808"/>
      <c r="R53" s="808"/>
      <c r="S53" s="808"/>
      <c r="T53" s="808"/>
    </row>
    <row r="54" spans="1:20">
      <c r="A54" s="808"/>
      <c r="B54" s="808"/>
      <c r="C54" s="808"/>
      <c r="D54" s="808"/>
      <c r="E54" s="808"/>
      <c r="F54" s="808"/>
      <c r="G54" s="808"/>
      <c r="H54" s="808"/>
      <c r="I54" s="808"/>
      <c r="J54" s="808"/>
      <c r="K54" s="808"/>
      <c r="L54" s="808"/>
      <c r="M54" s="808"/>
      <c r="N54" s="808"/>
      <c r="O54" s="808"/>
      <c r="P54" s="808"/>
      <c r="Q54" s="808"/>
      <c r="R54" s="808"/>
      <c r="S54" s="808"/>
      <c r="T54" s="808"/>
    </row>
  </sheetData>
  <sheetProtection algorithmName="SHA-512" hashValue="FUz5inwmrS0SIFRd/ziHgc2dpTM40CNELbw6f/4F5aVDzCodwj194H/jhBswTDqEzNilQ37YBWHuemHdnBhpyg==" saltValue="mktLSTQpKMXN3ZhweMvXmw==" spinCount="100000" sheet="1" objects="1" scenarios="1"/>
  <mergeCells count="2">
    <mergeCell ref="A1:D1"/>
    <mergeCell ref="A2:G2"/>
  </mergeCells>
  <phoneticPr fontId="3" type="noConversion"/>
  <printOptions horizontalCentered="1"/>
  <pageMargins left="3.937007874015748E-2" right="3.937007874015748E-2" top="0.98425196850393704" bottom="0.98425196850393704" header="0.51181102362204722" footer="0.51181102362204722"/>
  <pageSetup paperSize="8" scale="48" orientation="landscape" r:id="rId1"/>
  <headerFooter alignWithMargins="0">
    <oddHeader>&amp;CInvestīciju naudas plūsmas aprēķināšana&amp;R3.pielikums</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theme="6"/>
    <pageSetUpPr fitToPage="1"/>
  </sheetPr>
  <dimension ref="A1:AY31"/>
  <sheetViews>
    <sheetView zoomScale="85" zoomScaleNormal="85" workbookViewId="0">
      <selection activeCell="I13" sqref="I13"/>
    </sheetView>
  </sheetViews>
  <sheetFormatPr defaultRowHeight="12.75"/>
  <cols>
    <col min="1" max="1" width="1.7109375" style="761" customWidth="1"/>
    <col min="2" max="2" width="3.28515625" style="761" customWidth="1"/>
    <col min="3" max="3" width="39.140625" style="761" customWidth="1"/>
    <col min="4" max="4" width="33.140625" style="761" hidden="1" customWidth="1"/>
    <col min="5" max="5" width="4.7109375" style="761" bestFit="1" customWidth="1"/>
    <col min="6" max="21" width="11.140625" style="761" customWidth="1"/>
    <col min="22" max="16384" width="9.140625" style="761"/>
  </cols>
  <sheetData>
    <row r="1" spans="1:51" s="1766" customFormat="1" ht="27" customHeight="1">
      <c r="A1" s="2182" t="s">
        <v>982</v>
      </c>
      <c r="B1" s="2182"/>
      <c r="C1" s="2182"/>
      <c r="D1" s="2182"/>
      <c r="E1" s="1912"/>
      <c r="F1" s="1913"/>
      <c r="G1" s="1913"/>
      <c r="H1" s="1913"/>
      <c r="I1" s="1913"/>
      <c r="J1" s="1913"/>
      <c r="K1" s="1913"/>
      <c r="L1" s="1913"/>
      <c r="M1" s="1913"/>
      <c r="N1" s="1913"/>
      <c r="O1" s="1913"/>
      <c r="P1" s="1913"/>
      <c r="Q1" s="1913"/>
      <c r="R1" s="1913"/>
      <c r="S1" s="1913"/>
      <c r="T1" s="1913"/>
      <c r="U1" s="1913"/>
      <c r="V1" s="1765"/>
      <c r="W1" s="1765"/>
      <c r="X1" s="1765"/>
      <c r="Y1" s="1765"/>
      <c r="Z1" s="1765"/>
      <c r="AA1" s="1765"/>
      <c r="AB1" s="1765"/>
      <c r="AC1" s="1765"/>
      <c r="AD1" s="1765"/>
      <c r="AE1" s="1765"/>
      <c r="AF1" s="1765"/>
      <c r="AG1" s="1765"/>
      <c r="AH1" s="1765"/>
      <c r="AI1" s="1765"/>
      <c r="AJ1" s="1765"/>
      <c r="AK1" s="1765"/>
      <c r="AL1" s="1765"/>
      <c r="AM1" s="1765"/>
      <c r="AN1" s="1765"/>
      <c r="AO1" s="1765"/>
      <c r="AP1" s="1765"/>
      <c r="AQ1" s="1765"/>
      <c r="AR1" s="1765"/>
      <c r="AS1" s="1765"/>
      <c r="AT1" s="1765"/>
      <c r="AU1" s="1765"/>
      <c r="AV1" s="1765"/>
      <c r="AW1" s="1765"/>
      <c r="AX1" s="1765"/>
      <c r="AY1" s="1765"/>
    </row>
    <row r="2" spans="1:51" s="751" customFormat="1" ht="21">
      <c r="A2" s="1428" t="s">
        <v>998</v>
      </c>
      <c r="B2" s="804"/>
      <c r="C2" s="804"/>
      <c r="D2" s="804"/>
      <c r="E2" s="804"/>
      <c r="F2" s="804"/>
      <c r="G2" s="804"/>
      <c r="H2" s="804"/>
      <c r="I2" s="804"/>
      <c r="J2" s="804"/>
      <c r="K2" s="804"/>
      <c r="L2" s="804"/>
      <c r="M2" s="804"/>
      <c r="N2" s="804"/>
      <c r="O2" s="804"/>
      <c r="P2" s="804"/>
      <c r="Q2" s="804"/>
      <c r="R2" s="804"/>
      <c r="S2" s="804"/>
      <c r="T2" s="804"/>
      <c r="U2" s="804"/>
      <c r="V2" s="804"/>
      <c r="W2" s="775"/>
      <c r="X2" s="775"/>
      <c r="Y2" s="775"/>
      <c r="Z2" s="775"/>
      <c r="AA2" s="775"/>
      <c r="AB2" s="775"/>
      <c r="AC2" s="775"/>
      <c r="AD2" s="775"/>
    </row>
    <row r="3" spans="1:51">
      <c r="A3" s="1704"/>
      <c r="B3" s="1539"/>
      <c r="C3" s="1407"/>
      <c r="D3" s="1407"/>
      <c r="E3" s="1572"/>
      <c r="F3" s="1551" t="str">
        <f>'13. RL Sociālekonomiskā an.'!F3</f>
        <v>0 / 1</v>
      </c>
      <c r="G3" s="1551">
        <f>'13. RL Sociālekonomiskā an.'!G3</f>
        <v>2</v>
      </c>
      <c r="H3" s="1551">
        <f>'13. RL Sociālekonomiskā an.'!H3</f>
        <v>3</v>
      </c>
      <c r="I3" s="1551">
        <f>'13. RL Sociālekonomiskā an.'!I3</f>
        <v>4</v>
      </c>
      <c r="J3" s="1551">
        <f>'13. RL Sociālekonomiskā an.'!J3</f>
        <v>5</v>
      </c>
      <c r="K3" s="1551">
        <f>'13. RL Sociālekonomiskā an.'!K3</f>
        <v>6</v>
      </c>
      <c r="L3" s="1551">
        <f>'13. RL Sociālekonomiskā an.'!L3</f>
        <v>7</v>
      </c>
      <c r="M3" s="1551">
        <f>'13. RL Sociālekonomiskā an.'!M3</f>
        <v>8</v>
      </c>
      <c r="N3" s="1551">
        <f>'13. RL Sociālekonomiskā an.'!N3</f>
        <v>9</v>
      </c>
      <c r="O3" s="1551">
        <f>'13. RL Sociālekonomiskā an.'!O3</f>
        <v>10</v>
      </c>
      <c r="P3" s="1551">
        <f>'13. RL Sociālekonomiskā an.'!P3</f>
        <v>11</v>
      </c>
      <c r="Q3" s="1551">
        <f>'13. RL Sociālekonomiskā an.'!Q3</f>
        <v>12</v>
      </c>
      <c r="R3" s="1551">
        <f>'13. RL Sociālekonomiskā an.'!R3</f>
        <v>13</v>
      </c>
      <c r="S3" s="1551">
        <f>'13. RL Sociālekonomiskā an.'!S3</f>
        <v>14</v>
      </c>
      <c r="T3" s="1551">
        <f>'13. RL Sociālekonomiskā an.'!T3</f>
        <v>15</v>
      </c>
      <c r="U3" s="1409"/>
    </row>
    <row r="4" spans="1:51">
      <c r="A4" s="1415"/>
      <c r="B4" s="1416"/>
      <c r="C4" s="1416"/>
      <c r="D4" s="1417"/>
      <c r="E4" s="1417" t="s">
        <v>1</v>
      </c>
      <c r="F4" s="1418">
        <f>'13. RL Sociālekonomiskā an.'!F4</f>
        <v>2017</v>
      </c>
      <c r="G4" s="1418">
        <f>'13. RL Sociālekonomiskā an.'!G4</f>
        <v>2018</v>
      </c>
      <c r="H4" s="1418">
        <f>'13. RL Sociālekonomiskā an.'!H4</f>
        <v>2019</v>
      </c>
      <c r="I4" s="1418">
        <f>'13. RL Sociālekonomiskā an.'!I4</f>
        <v>2020</v>
      </c>
      <c r="J4" s="1418">
        <f>'13. RL Sociālekonomiskā an.'!J4</f>
        <v>2021</v>
      </c>
      <c r="K4" s="1418">
        <f>'13. RL Sociālekonomiskā an.'!K4</f>
        <v>2022</v>
      </c>
      <c r="L4" s="1418">
        <f>'13. RL Sociālekonomiskā an.'!L4</f>
        <v>2023</v>
      </c>
      <c r="M4" s="1418">
        <f>'13. RL Sociālekonomiskā an.'!M4</f>
        <v>2024</v>
      </c>
      <c r="N4" s="1418">
        <f>'13. RL Sociālekonomiskā an.'!N4</f>
        <v>2025</v>
      </c>
      <c r="O4" s="1418">
        <f>'13. RL Sociālekonomiskā an.'!O4</f>
        <v>2026</v>
      </c>
      <c r="P4" s="1418">
        <f>'13. RL Sociālekonomiskā an.'!P4</f>
        <v>2027</v>
      </c>
      <c r="Q4" s="1418">
        <f>'13. RL Sociālekonomiskā an.'!Q4</f>
        <v>2028</v>
      </c>
      <c r="R4" s="1418">
        <f>'13. RL Sociālekonomiskā an.'!R4</f>
        <v>2029</v>
      </c>
      <c r="S4" s="1418">
        <f>'13. RL Sociālekonomiskā an.'!S4</f>
        <v>2030</v>
      </c>
      <c r="T4" s="1418">
        <f>'13. RL Sociālekonomiskā an.'!T4</f>
        <v>2031</v>
      </c>
      <c r="U4" s="1419" t="s">
        <v>2</v>
      </c>
    </row>
    <row r="5" spans="1:51">
      <c r="A5" s="762"/>
      <c r="B5" s="762"/>
      <c r="C5" s="762"/>
      <c r="D5" s="762"/>
      <c r="E5" s="763"/>
      <c r="F5" s="764"/>
      <c r="G5" s="764"/>
      <c r="H5" s="764"/>
      <c r="I5" s="764"/>
      <c r="J5" s="764"/>
      <c r="K5" s="764"/>
      <c r="L5" s="764"/>
      <c r="M5" s="764"/>
      <c r="N5" s="764"/>
      <c r="O5" s="764"/>
      <c r="P5" s="764"/>
      <c r="Q5" s="764"/>
      <c r="R5" s="764"/>
      <c r="S5" s="764"/>
      <c r="T5" s="764"/>
      <c r="U5" s="764"/>
    </row>
    <row r="6" spans="1:51">
      <c r="A6" s="1420"/>
      <c r="B6" s="1421" t="s">
        <v>126</v>
      </c>
      <c r="C6" s="1421"/>
      <c r="D6" s="1421"/>
      <c r="E6" s="1421"/>
      <c r="F6" s="1422"/>
      <c r="G6" s="1422"/>
      <c r="H6" s="1422"/>
      <c r="I6" s="1422"/>
      <c r="J6" s="1422"/>
      <c r="K6" s="1422"/>
      <c r="L6" s="1422"/>
      <c r="M6" s="1422"/>
      <c r="N6" s="1422"/>
      <c r="O6" s="1422"/>
      <c r="P6" s="1422"/>
      <c r="Q6" s="1422"/>
      <c r="R6" s="1422"/>
      <c r="S6" s="1422"/>
      <c r="T6" s="1422"/>
      <c r="U6" s="1423"/>
    </row>
    <row r="7" spans="1:51">
      <c r="A7" s="1411" t="s">
        <v>1005</v>
      </c>
      <c r="B7" s="1411"/>
      <c r="C7" s="1411"/>
      <c r="D7" s="1411"/>
      <c r="E7" s="1567"/>
      <c r="F7" s="1604">
        <f t="shared" ref="F7:T7" si="0">SUM(F8:F12)</f>
        <v>28991.990999588259</v>
      </c>
      <c r="G7" s="1487">
        <f t="shared" si="0"/>
        <v>7795.8341070041806</v>
      </c>
      <c r="H7" s="1487">
        <f t="shared" si="0"/>
        <v>24113.948088547299</v>
      </c>
      <c r="I7" s="1487">
        <f t="shared" si="0"/>
        <v>360</v>
      </c>
      <c r="J7" s="1487">
        <f t="shared" si="0"/>
        <v>360</v>
      </c>
      <c r="K7" s="1487">
        <f t="shared" si="0"/>
        <v>360</v>
      </c>
      <c r="L7" s="1487">
        <f t="shared" si="0"/>
        <v>360</v>
      </c>
      <c r="M7" s="1487">
        <f t="shared" si="0"/>
        <v>360</v>
      </c>
      <c r="N7" s="1487">
        <f t="shared" si="0"/>
        <v>360</v>
      </c>
      <c r="O7" s="1487">
        <f t="shared" si="0"/>
        <v>360</v>
      </c>
      <c r="P7" s="1487">
        <f t="shared" si="0"/>
        <v>360</v>
      </c>
      <c r="Q7" s="1487">
        <f t="shared" si="0"/>
        <v>360</v>
      </c>
      <c r="R7" s="1487">
        <f t="shared" si="0"/>
        <v>360</v>
      </c>
      <c r="S7" s="1487">
        <f t="shared" si="0"/>
        <v>360</v>
      </c>
      <c r="T7" s="1487">
        <f t="shared" si="0"/>
        <v>1360</v>
      </c>
      <c r="U7" s="1605">
        <f t="shared" ref="U7:U18" si="1">SUM(F7:T7)</f>
        <v>66221.773195139744</v>
      </c>
    </row>
    <row r="8" spans="1:51">
      <c r="A8" s="751"/>
      <c r="B8" s="800" t="s">
        <v>3</v>
      </c>
      <c r="C8" s="751" t="s">
        <v>974</v>
      </c>
      <c r="D8" s="751"/>
      <c r="E8" s="812" t="s">
        <v>873</v>
      </c>
      <c r="F8" s="1456">
        <f>'12. RL Investīciju n.pl.'!E6</f>
        <v>360</v>
      </c>
      <c r="G8" s="1457">
        <f>'12. RL Investīciju n.pl.'!F6</f>
        <v>360</v>
      </c>
      <c r="H8" s="1457">
        <f>'12. RL Investīciju n.pl.'!G6</f>
        <v>360</v>
      </c>
      <c r="I8" s="1457">
        <f>'12. RL Investīciju n.pl.'!H6</f>
        <v>360</v>
      </c>
      <c r="J8" s="1457">
        <f>'12. RL Investīciju n.pl.'!I6</f>
        <v>360</v>
      </c>
      <c r="K8" s="1457">
        <f>'12. RL Investīciju n.pl.'!J6</f>
        <v>360</v>
      </c>
      <c r="L8" s="1457">
        <f>'12. RL Investīciju n.pl.'!K6</f>
        <v>360</v>
      </c>
      <c r="M8" s="1457">
        <f>'12. RL Investīciju n.pl.'!L6</f>
        <v>360</v>
      </c>
      <c r="N8" s="1457">
        <f>'12. RL Investīciju n.pl.'!M6</f>
        <v>360</v>
      </c>
      <c r="O8" s="1457">
        <f>'12. RL Investīciju n.pl.'!N6</f>
        <v>360</v>
      </c>
      <c r="P8" s="1457">
        <f>'12. RL Investīciju n.pl.'!O6</f>
        <v>360</v>
      </c>
      <c r="Q8" s="1457">
        <f>'12. RL Investīciju n.pl.'!P6</f>
        <v>360</v>
      </c>
      <c r="R8" s="1457">
        <f>'12. RL Investīciju n.pl.'!Q6</f>
        <v>360</v>
      </c>
      <c r="S8" s="1457">
        <f>'12. RL Investīciju n.pl.'!R6</f>
        <v>360</v>
      </c>
      <c r="T8" s="1457">
        <f>'12. RL Investīciju n.pl.'!S6</f>
        <v>360</v>
      </c>
      <c r="U8" s="1956">
        <f t="shared" si="1"/>
        <v>5400</v>
      </c>
    </row>
    <row r="9" spans="1:51">
      <c r="A9" s="751"/>
      <c r="B9" s="817" t="s">
        <v>5</v>
      </c>
      <c r="C9" s="751" t="s">
        <v>83</v>
      </c>
      <c r="D9" s="751"/>
      <c r="E9" s="812" t="s">
        <v>873</v>
      </c>
      <c r="F9" s="1655"/>
      <c r="G9" s="1656"/>
      <c r="H9" s="1656"/>
      <c r="I9" s="1656"/>
      <c r="J9" s="1656"/>
      <c r="K9" s="1656"/>
      <c r="L9" s="1656"/>
      <c r="M9" s="1656"/>
      <c r="N9" s="1656"/>
      <c r="O9" s="1656"/>
      <c r="P9" s="1656"/>
      <c r="Q9" s="1656"/>
      <c r="R9" s="1656"/>
      <c r="S9" s="1656"/>
      <c r="T9" s="1656"/>
      <c r="U9" s="1956">
        <f t="shared" si="1"/>
        <v>0</v>
      </c>
    </row>
    <row r="10" spans="1:51">
      <c r="A10" s="751"/>
      <c r="B10" s="800" t="s">
        <v>7</v>
      </c>
      <c r="C10" s="759" t="s">
        <v>1160</v>
      </c>
      <c r="D10" s="751"/>
      <c r="E10" s="812" t="s">
        <v>873</v>
      </c>
      <c r="F10" s="1712"/>
      <c r="G10" s="1653"/>
      <c r="H10" s="1653"/>
      <c r="I10" s="1653"/>
      <c r="J10" s="1653"/>
      <c r="K10" s="1653"/>
      <c r="L10" s="1653"/>
      <c r="M10" s="1653"/>
      <c r="N10" s="1653"/>
      <c r="O10" s="1653"/>
      <c r="P10" s="1653"/>
      <c r="Q10" s="1653"/>
      <c r="R10" s="1653"/>
      <c r="S10" s="1653"/>
      <c r="T10" s="1653"/>
      <c r="U10" s="1956">
        <f t="shared" si="1"/>
        <v>0</v>
      </c>
    </row>
    <row r="11" spans="1:51">
      <c r="A11" s="751"/>
      <c r="B11" s="800" t="s">
        <v>11</v>
      </c>
      <c r="C11" s="751" t="s">
        <v>1161</v>
      </c>
      <c r="D11" s="751"/>
      <c r="E11" s="812" t="s">
        <v>873</v>
      </c>
      <c r="F11" s="1456">
        <f>'15. PIV 2.pielikums Fin. plāns'!B5+'15. PIV 2.pielikums Fin. plāns'!C5</f>
        <v>28631.990999588259</v>
      </c>
      <c r="G11" s="1457">
        <f>'15. PIV 2.pielikums Fin. plāns'!D5</f>
        <v>7435.8341070041806</v>
      </c>
      <c r="H11" s="1457">
        <f>'15. PIV 2.pielikums Fin. plāns'!E5</f>
        <v>23753.948088547299</v>
      </c>
      <c r="I11" s="1957"/>
      <c r="J11" s="1957"/>
      <c r="K11" s="1957"/>
      <c r="L11" s="1957"/>
      <c r="M11" s="1957"/>
      <c r="N11" s="1957"/>
      <c r="O11" s="1957"/>
      <c r="P11" s="1957"/>
      <c r="Q11" s="1957"/>
      <c r="R11" s="1957"/>
      <c r="S11" s="1957"/>
      <c r="T11" s="1957"/>
      <c r="U11" s="1956">
        <f t="shared" si="1"/>
        <v>59821.773195139744</v>
      </c>
      <c r="V11" s="761" t="b">
        <f>U11='8. AL budžets kopā'!H16</f>
        <v>1</v>
      </c>
    </row>
    <row r="12" spans="1:51">
      <c r="A12" s="751"/>
      <c r="B12" s="800" t="s">
        <v>47</v>
      </c>
      <c r="C12" s="759" t="s">
        <v>10</v>
      </c>
      <c r="D12" s="751"/>
      <c r="E12" s="812" t="s">
        <v>873</v>
      </c>
      <c r="F12" s="1958">
        <f>'12. RL Investīciju n.pl.'!E12</f>
        <v>0</v>
      </c>
      <c r="G12" s="1959">
        <f>'12. RL Investīciju n.pl.'!F12</f>
        <v>0</v>
      </c>
      <c r="H12" s="1959">
        <f>'12. RL Investīciju n.pl.'!G12</f>
        <v>0</v>
      </c>
      <c r="I12" s="1959">
        <f>'12. RL Investīciju n.pl.'!H12</f>
        <v>0</v>
      </c>
      <c r="J12" s="1959">
        <f>'12. RL Investīciju n.pl.'!I12</f>
        <v>0</v>
      </c>
      <c r="K12" s="1959">
        <f>'12. RL Investīciju n.pl.'!J12</f>
        <v>0</v>
      </c>
      <c r="L12" s="1959">
        <f>'12. RL Investīciju n.pl.'!K12</f>
        <v>0</v>
      </c>
      <c r="M12" s="1959">
        <f>'12. RL Investīciju n.pl.'!L12</f>
        <v>0</v>
      </c>
      <c r="N12" s="1959">
        <f>'12. RL Investīciju n.pl.'!M12</f>
        <v>0</v>
      </c>
      <c r="O12" s="1959">
        <f>'12. RL Investīciju n.pl.'!N12</f>
        <v>0</v>
      </c>
      <c r="P12" s="1959">
        <f>'12. RL Investīciju n.pl.'!O12</f>
        <v>0</v>
      </c>
      <c r="Q12" s="1959">
        <f>'12. RL Investīciju n.pl.'!P12</f>
        <v>0</v>
      </c>
      <c r="R12" s="1959">
        <f>'12. RL Investīciju n.pl.'!Q12</f>
        <v>0</v>
      </c>
      <c r="S12" s="1959">
        <f>'12. RL Investīciju n.pl.'!R12</f>
        <v>0</v>
      </c>
      <c r="T12" s="1457">
        <f>'12. RL Investīciju n.pl.'!S12</f>
        <v>1000</v>
      </c>
      <c r="U12" s="1956">
        <f t="shared" si="1"/>
        <v>1000</v>
      </c>
    </row>
    <row r="13" spans="1:51">
      <c r="A13" s="1411" t="s">
        <v>1006</v>
      </c>
      <c r="B13" s="1411"/>
      <c r="C13" s="1411"/>
      <c r="D13" s="1411"/>
      <c r="E13" s="1567"/>
      <c r="F13" s="1604">
        <f>SUM(F14:F18)</f>
        <v>-35350</v>
      </c>
      <c r="G13" s="1487">
        <f t="shared" ref="G13:T13" si="2">SUM(G14:G18)</f>
        <v>-9865</v>
      </c>
      <c r="H13" s="1487">
        <f t="shared" si="2"/>
        <v>-29100</v>
      </c>
      <c r="I13" s="1487">
        <f t="shared" si="2"/>
        <v>-400</v>
      </c>
      <c r="J13" s="1487">
        <f t="shared" si="2"/>
        <v>-400</v>
      </c>
      <c r="K13" s="1487">
        <f t="shared" si="2"/>
        <v>-400</v>
      </c>
      <c r="L13" s="1487">
        <f t="shared" si="2"/>
        <v>-400</v>
      </c>
      <c r="M13" s="1487">
        <f t="shared" si="2"/>
        <v>-400</v>
      </c>
      <c r="N13" s="1487">
        <f t="shared" si="2"/>
        <v>-400</v>
      </c>
      <c r="O13" s="1487">
        <f t="shared" si="2"/>
        <v>-400</v>
      </c>
      <c r="P13" s="1487">
        <f t="shared" si="2"/>
        <v>-400</v>
      </c>
      <c r="Q13" s="1487">
        <f t="shared" si="2"/>
        <v>-400</v>
      </c>
      <c r="R13" s="1487">
        <f t="shared" si="2"/>
        <v>-400</v>
      </c>
      <c r="S13" s="1487">
        <f t="shared" si="2"/>
        <v>-400</v>
      </c>
      <c r="T13" s="1487">
        <f t="shared" si="2"/>
        <v>-400</v>
      </c>
      <c r="U13" s="1605">
        <f t="shared" si="1"/>
        <v>-79115</v>
      </c>
    </row>
    <row r="14" spans="1:51">
      <c r="A14" s="751"/>
      <c r="B14" s="800" t="s">
        <v>14</v>
      </c>
      <c r="C14" s="751" t="s">
        <v>1108</v>
      </c>
      <c r="D14" s="751"/>
      <c r="E14" s="812" t="s">
        <v>873</v>
      </c>
      <c r="F14" s="1456">
        <f>'3. DL invest.n.pl.AR pr.'!F16</f>
        <v>-400</v>
      </c>
      <c r="G14" s="1457">
        <f>'3. DL invest.n.pl.AR pr.'!G16</f>
        <v>-400</v>
      </c>
      <c r="H14" s="1457">
        <f>'3. DL invest.n.pl.AR pr.'!H16</f>
        <v>-400</v>
      </c>
      <c r="I14" s="1457">
        <f>'3. DL invest.n.pl.AR pr.'!I16</f>
        <v>-400</v>
      </c>
      <c r="J14" s="1457">
        <f>'3. DL invest.n.pl.AR pr.'!J16</f>
        <v>-400</v>
      </c>
      <c r="K14" s="1457">
        <f>'3. DL invest.n.pl.AR pr.'!K16</f>
        <v>-400</v>
      </c>
      <c r="L14" s="1457">
        <f>'3. DL invest.n.pl.AR pr.'!L16</f>
        <v>-400</v>
      </c>
      <c r="M14" s="1457">
        <f>'3. DL invest.n.pl.AR pr.'!M16</f>
        <v>-400</v>
      </c>
      <c r="N14" s="1457">
        <f>'3. DL invest.n.pl.AR pr.'!N16</f>
        <v>-400</v>
      </c>
      <c r="O14" s="1457">
        <f>'3. DL invest.n.pl.AR pr.'!O16</f>
        <v>-400</v>
      </c>
      <c r="P14" s="1457">
        <f>'3. DL invest.n.pl.AR pr.'!P16</f>
        <v>-400</v>
      </c>
      <c r="Q14" s="1457">
        <f>'3. DL invest.n.pl.AR pr.'!Q16</f>
        <v>-400</v>
      </c>
      <c r="R14" s="1457">
        <f>'3. DL invest.n.pl.AR pr.'!R16</f>
        <v>-400</v>
      </c>
      <c r="S14" s="1457">
        <f>'3. DL invest.n.pl.AR pr.'!S16</f>
        <v>-400</v>
      </c>
      <c r="T14" s="1457">
        <f>'3. DL invest.n.pl.AR pr.'!T16</f>
        <v>-400</v>
      </c>
      <c r="U14" s="1956">
        <f t="shared" si="1"/>
        <v>-6000</v>
      </c>
    </row>
    <row r="15" spans="1:51">
      <c r="A15" s="751"/>
      <c r="B15" s="800" t="s">
        <v>16</v>
      </c>
      <c r="C15" s="751" t="s">
        <v>8</v>
      </c>
      <c r="D15" s="751"/>
      <c r="E15" s="812" t="s">
        <v>873</v>
      </c>
      <c r="F15" s="1456">
        <f>'12. RL Investīciju n.pl.'!E8</f>
        <v>-34950</v>
      </c>
      <c r="G15" s="1457">
        <f>'12. RL Investīciju n.pl.'!F8</f>
        <v>-9465</v>
      </c>
      <c r="H15" s="1457">
        <f>'12. RL Investīciju n.pl.'!G8</f>
        <v>-28700</v>
      </c>
      <c r="I15" s="1457">
        <f>'12. RL Investīciju n.pl.'!H8</f>
        <v>0</v>
      </c>
      <c r="J15" s="1457">
        <f>'12. RL Investīciju n.pl.'!I8</f>
        <v>0</v>
      </c>
      <c r="K15" s="1457">
        <f>'12. RL Investīciju n.pl.'!J8</f>
        <v>0</v>
      </c>
      <c r="L15" s="1457">
        <f>'12. RL Investīciju n.pl.'!K8</f>
        <v>0</v>
      </c>
      <c r="M15" s="1457">
        <f>'12. RL Investīciju n.pl.'!L8</f>
        <v>0</v>
      </c>
      <c r="N15" s="1457">
        <f>'12. RL Investīciju n.pl.'!M8</f>
        <v>0</v>
      </c>
      <c r="O15" s="1457">
        <f>'12. RL Investīciju n.pl.'!N8</f>
        <v>0</v>
      </c>
      <c r="P15" s="1457">
        <f>'12. RL Investīciju n.pl.'!O8</f>
        <v>0</v>
      </c>
      <c r="Q15" s="1457">
        <f>'12. RL Investīciju n.pl.'!P8</f>
        <v>0</v>
      </c>
      <c r="R15" s="1457">
        <f>'12. RL Investīciju n.pl.'!Q8</f>
        <v>0</v>
      </c>
      <c r="S15" s="1457">
        <f>'12. RL Investīciju n.pl.'!R8</f>
        <v>0</v>
      </c>
      <c r="T15" s="1457">
        <f>'12. RL Investīciju n.pl.'!S8</f>
        <v>0</v>
      </c>
      <c r="U15" s="1956">
        <f t="shared" si="1"/>
        <v>-73115</v>
      </c>
    </row>
    <row r="16" spans="1:51">
      <c r="A16" s="751"/>
      <c r="B16" s="800" t="s">
        <v>19</v>
      </c>
      <c r="C16" s="751" t="s">
        <v>45</v>
      </c>
      <c r="D16" s="751"/>
      <c r="E16" s="812" t="s">
        <v>873</v>
      </c>
      <c r="F16" s="1655"/>
      <c r="G16" s="1656"/>
      <c r="H16" s="1656"/>
      <c r="I16" s="1656"/>
      <c r="J16" s="1656"/>
      <c r="K16" s="1656"/>
      <c r="L16" s="1656"/>
      <c r="M16" s="1656"/>
      <c r="N16" s="1656"/>
      <c r="O16" s="1656"/>
      <c r="P16" s="1656"/>
      <c r="Q16" s="1656"/>
      <c r="R16" s="1656"/>
      <c r="S16" s="1656"/>
      <c r="T16" s="1656"/>
      <c r="U16" s="1956">
        <f t="shared" si="1"/>
        <v>0</v>
      </c>
    </row>
    <row r="17" spans="1:21">
      <c r="A17" s="751"/>
      <c r="B17" s="800" t="s">
        <v>22</v>
      </c>
      <c r="C17" s="751" t="s">
        <v>1098</v>
      </c>
      <c r="D17" s="751"/>
      <c r="E17" s="812" t="s">
        <v>873</v>
      </c>
      <c r="F17" s="1655"/>
      <c r="G17" s="1656"/>
      <c r="H17" s="1656"/>
      <c r="I17" s="1656"/>
      <c r="J17" s="1656"/>
      <c r="K17" s="1656"/>
      <c r="L17" s="1656"/>
      <c r="M17" s="1656"/>
      <c r="N17" s="1656"/>
      <c r="O17" s="1656"/>
      <c r="P17" s="1656"/>
      <c r="Q17" s="1656"/>
      <c r="R17" s="1656"/>
      <c r="S17" s="1656"/>
      <c r="T17" s="1656"/>
      <c r="U17" s="1956">
        <f t="shared" si="1"/>
        <v>0</v>
      </c>
    </row>
    <row r="18" spans="1:21">
      <c r="A18" s="751"/>
      <c r="B18" s="800" t="s">
        <v>23</v>
      </c>
      <c r="C18" s="751" t="s">
        <v>1099</v>
      </c>
      <c r="D18" s="751"/>
      <c r="E18" s="812"/>
      <c r="F18" s="1655"/>
      <c r="G18" s="1656"/>
      <c r="H18" s="1656"/>
      <c r="I18" s="1656"/>
      <c r="J18" s="1656"/>
      <c r="K18" s="1656"/>
      <c r="L18" s="1656"/>
      <c r="M18" s="1656"/>
      <c r="N18" s="1656"/>
      <c r="O18" s="1656"/>
      <c r="P18" s="1656"/>
      <c r="Q18" s="1656"/>
      <c r="R18" s="1656"/>
      <c r="S18" s="1656"/>
      <c r="T18" s="1656"/>
      <c r="U18" s="1956">
        <f t="shared" si="1"/>
        <v>0</v>
      </c>
    </row>
    <row r="19" spans="1:21">
      <c r="A19" s="757"/>
      <c r="B19" s="792">
        <v>3</v>
      </c>
      <c r="C19" s="757" t="s">
        <v>12</v>
      </c>
      <c r="D19" s="757"/>
      <c r="E19" s="1603" t="s">
        <v>873</v>
      </c>
      <c r="F19" s="1960">
        <f t="shared" ref="F19:U19" si="3">SUM(F7,F13)</f>
        <v>-6358.009000411741</v>
      </c>
      <c r="G19" s="1489">
        <f t="shared" si="3"/>
        <v>-2069.1658929958194</v>
      </c>
      <c r="H19" s="1489">
        <f t="shared" si="3"/>
        <v>-4986.0519114527015</v>
      </c>
      <c r="I19" s="1489">
        <f t="shared" si="3"/>
        <v>-40</v>
      </c>
      <c r="J19" s="1489">
        <f t="shared" si="3"/>
        <v>-40</v>
      </c>
      <c r="K19" s="1489">
        <f t="shared" si="3"/>
        <v>-40</v>
      </c>
      <c r="L19" s="1489">
        <f t="shared" si="3"/>
        <v>-40</v>
      </c>
      <c r="M19" s="1489">
        <f t="shared" si="3"/>
        <v>-40</v>
      </c>
      <c r="N19" s="1489">
        <f t="shared" si="3"/>
        <v>-40</v>
      </c>
      <c r="O19" s="1489">
        <f t="shared" si="3"/>
        <v>-40</v>
      </c>
      <c r="P19" s="1489">
        <f t="shared" si="3"/>
        <v>-40</v>
      </c>
      <c r="Q19" s="1489">
        <f t="shared" si="3"/>
        <v>-40</v>
      </c>
      <c r="R19" s="1489">
        <f t="shared" si="3"/>
        <v>-40</v>
      </c>
      <c r="S19" s="1489">
        <f t="shared" si="3"/>
        <v>-40</v>
      </c>
      <c r="T19" s="1489">
        <f t="shared" si="3"/>
        <v>960</v>
      </c>
      <c r="U19" s="1961">
        <f t="shared" si="3"/>
        <v>-12893.226804860256</v>
      </c>
    </row>
    <row r="20" spans="1:21">
      <c r="A20" s="1421"/>
      <c r="B20" s="1470"/>
      <c r="C20" s="1470"/>
      <c r="D20" s="1470"/>
      <c r="E20" s="1470"/>
      <c r="F20" s="1451"/>
      <c r="G20" s="1451"/>
      <c r="H20" s="1451"/>
      <c r="I20" s="1451"/>
      <c r="J20" s="1451"/>
      <c r="K20" s="1451"/>
      <c r="L20" s="1451"/>
      <c r="M20" s="1451"/>
      <c r="N20" s="1451"/>
      <c r="O20" s="1451"/>
      <c r="P20" s="1451"/>
      <c r="Q20" s="1451"/>
      <c r="R20" s="1451"/>
      <c r="S20" s="1451"/>
      <c r="T20" s="1451"/>
      <c r="U20" s="1452"/>
    </row>
    <row r="21" spans="1:21">
      <c r="D21" s="750"/>
      <c r="E21" s="750"/>
    </row>
    <row r="22" spans="1:21">
      <c r="B22" s="808"/>
      <c r="C22" s="808"/>
      <c r="D22" s="804"/>
      <c r="E22" s="804"/>
      <c r="F22" s="808"/>
      <c r="G22" s="808"/>
      <c r="H22" s="808"/>
      <c r="I22" s="808"/>
      <c r="J22" s="808"/>
      <c r="K22" s="808"/>
    </row>
    <row r="23" spans="1:21">
      <c r="B23" s="808"/>
      <c r="C23" s="1849"/>
      <c r="D23" s="804"/>
      <c r="E23" s="804"/>
      <c r="F23" s="808"/>
      <c r="G23" s="808"/>
      <c r="H23" s="808"/>
      <c r="I23" s="808"/>
      <c r="J23" s="808"/>
      <c r="K23" s="808"/>
    </row>
    <row r="24" spans="1:21">
      <c r="B24" s="808"/>
      <c r="C24" s="808"/>
      <c r="D24" s="804"/>
      <c r="E24" s="804"/>
      <c r="F24" s="808"/>
      <c r="G24" s="808"/>
      <c r="H24" s="808"/>
      <c r="I24" s="808"/>
      <c r="J24" s="808"/>
      <c r="K24" s="808"/>
    </row>
    <row r="25" spans="1:21">
      <c r="B25" s="808"/>
      <c r="C25" s="808"/>
      <c r="D25" s="804"/>
      <c r="E25" s="804"/>
      <c r="F25" s="808"/>
      <c r="G25" s="808"/>
      <c r="H25" s="808"/>
      <c r="I25" s="808"/>
      <c r="J25" s="808"/>
      <c r="K25" s="808"/>
    </row>
    <row r="26" spans="1:21">
      <c r="B26" s="808"/>
      <c r="C26" s="808"/>
      <c r="D26" s="804"/>
      <c r="E26" s="804"/>
      <c r="F26" s="808"/>
      <c r="G26" s="808"/>
      <c r="H26" s="808"/>
      <c r="I26" s="808"/>
      <c r="J26" s="808"/>
      <c r="K26" s="808"/>
    </row>
    <row r="27" spans="1:21">
      <c r="B27" s="808"/>
      <c r="C27" s="808"/>
      <c r="D27" s="808"/>
      <c r="E27" s="808"/>
      <c r="F27" s="808"/>
      <c r="G27" s="808"/>
      <c r="H27" s="808"/>
      <c r="I27" s="808"/>
      <c r="J27" s="808"/>
      <c r="K27" s="808"/>
    </row>
    <row r="28" spans="1:21">
      <c r="B28" s="1962"/>
      <c r="C28" s="1963"/>
      <c r="D28" s="808"/>
      <c r="E28" s="808"/>
      <c r="F28" s="808"/>
      <c r="G28" s="808"/>
      <c r="H28" s="808"/>
      <c r="I28" s="808"/>
      <c r="J28" s="808"/>
      <c r="K28" s="808"/>
    </row>
    <row r="29" spans="1:21">
      <c r="B29" s="1963"/>
      <c r="C29" s="1963"/>
      <c r="D29" s="808"/>
      <c r="E29" s="808"/>
      <c r="F29" s="808"/>
      <c r="G29" s="808"/>
      <c r="H29" s="808"/>
      <c r="I29" s="808"/>
      <c r="J29" s="808"/>
      <c r="K29" s="808"/>
    </row>
    <row r="30" spans="1:21">
      <c r="B30" s="1964"/>
      <c r="C30" s="808"/>
      <c r="D30" s="808"/>
      <c r="E30" s="808"/>
      <c r="F30" s="808"/>
      <c r="G30" s="808"/>
      <c r="H30" s="808"/>
      <c r="I30" s="808"/>
      <c r="J30" s="808"/>
      <c r="K30" s="808"/>
    </row>
    <row r="31" spans="1:21">
      <c r="B31" s="808"/>
      <c r="C31" s="808"/>
      <c r="D31" s="808"/>
      <c r="E31" s="808"/>
      <c r="F31" s="808"/>
      <c r="G31" s="808"/>
      <c r="H31" s="808"/>
      <c r="I31" s="808"/>
      <c r="J31" s="808"/>
      <c r="K31" s="808"/>
    </row>
  </sheetData>
  <sheetProtection algorithmName="SHA-512" hashValue="CnmwMqKoqcTAPQBV2+jsg9eHqKlgOVA/zP8LvyVundJRw3CPpKPHZKzKcFYNPn0tfobSBd7mMO9Npuf+FfBXaA==" saltValue="DDc8mytcW+apbesaQdU6wg==" spinCount="100000" sheet="1" objects="1" scenarios="1"/>
  <mergeCells count="1">
    <mergeCell ref="A1:D1"/>
  </mergeCells>
  <phoneticPr fontId="3" type="noConversion"/>
  <pageMargins left="0.75" right="0.75" top="1" bottom="1" header="0.5" footer="0.5"/>
  <pageSetup paperSize="8" scale="45" orientation="landscape" r:id="rId1"/>
  <headerFooter alignWithMargins="0">
    <oddHeader>&amp;CProjekta finansiālā ilgtspēja&amp;R6.pielikums</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6"/>
    <pageSetUpPr fitToPage="1"/>
  </sheetPr>
  <dimension ref="A1:BL396"/>
  <sheetViews>
    <sheetView zoomScale="85" zoomScaleNormal="85" workbookViewId="0">
      <selection activeCell="K40" sqref="K40"/>
    </sheetView>
  </sheetViews>
  <sheetFormatPr defaultRowHeight="12.75"/>
  <cols>
    <col min="1" max="1" width="6.42578125" style="777" customWidth="1"/>
    <col min="2" max="2" width="48.5703125" style="777" customWidth="1"/>
    <col min="3" max="3" width="7.140625" style="777" customWidth="1"/>
    <col min="4" max="4" width="11.42578125" style="777" customWidth="1"/>
    <col min="5" max="18" width="8.85546875" style="777" customWidth="1"/>
    <col min="19" max="19" width="11" style="777" customWidth="1"/>
    <col min="20" max="64" width="9.140625" style="808"/>
    <col min="65" max="16384" width="9.140625" style="777"/>
  </cols>
  <sheetData>
    <row r="1" spans="1:64" s="1766" customFormat="1" ht="27" customHeight="1">
      <c r="A1" s="2178" t="s">
        <v>983</v>
      </c>
      <c r="B1" s="2178"/>
      <c r="C1" s="2178"/>
      <c r="D1" s="1765"/>
      <c r="E1" s="1847"/>
      <c r="F1" s="1765"/>
      <c r="G1" s="1765"/>
      <c r="H1" s="1765"/>
      <c r="I1" s="1765"/>
      <c r="J1" s="1765"/>
      <c r="K1" s="1765"/>
      <c r="L1" s="1765"/>
      <c r="M1" s="1765"/>
      <c r="N1" s="1765"/>
      <c r="O1" s="1765"/>
      <c r="P1" s="1765"/>
      <c r="Q1" s="1765"/>
      <c r="R1" s="1765"/>
      <c r="S1" s="1765"/>
      <c r="T1" s="1765"/>
      <c r="U1" s="1765"/>
      <c r="V1" s="1765"/>
      <c r="W1" s="1765"/>
      <c r="X1" s="1765"/>
      <c r="Y1" s="1765"/>
      <c r="Z1" s="1765"/>
      <c r="AA1" s="1765"/>
      <c r="AB1" s="1765"/>
      <c r="AC1" s="1765"/>
      <c r="AD1" s="1765"/>
      <c r="AE1" s="1765"/>
      <c r="AF1" s="1765"/>
      <c r="AG1" s="1765"/>
      <c r="AH1" s="1765"/>
      <c r="AI1" s="1765"/>
      <c r="AJ1" s="1765"/>
      <c r="AK1" s="1765"/>
      <c r="AL1" s="1765"/>
      <c r="AM1" s="1765"/>
      <c r="AN1" s="1765"/>
      <c r="AO1" s="1765"/>
      <c r="AP1" s="1765"/>
      <c r="AQ1" s="1765"/>
      <c r="AR1" s="1765"/>
      <c r="AS1" s="1765"/>
      <c r="AT1" s="1765"/>
      <c r="AU1" s="1765"/>
      <c r="AV1" s="1765"/>
      <c r="AW1" s="1765"/>
      <c r="AX1" s="1765"/>
      <c r="AY1" s="1765"/>
      <c r="AZ1" s="1765"/>
      <c r="BA1" s="1765"/>
      <c r="BB1" s="1765"/>
      <c r="BC1" s="1765"/>
      <c r="BD1" s="1765"/>
      <c r="BE1" s="1765"/>
      <c r="BF1" s="1765"/>
      <c r="BG1" s="1765"/>
      <c r="BH1" s="1765"/>
      <c r="BI1" s="1765"/>
      <c r="BJ1" s="1765"/>
      <c r="BK1" s="1765"/>
      <c r="BL1" s="1765"/>
    </row>
    <row r="2" spans="1:64" s="1766" customFormat="1" ht="24.95" customHeight="1">
      <c r="A2" s="2184" t="s">
        <v>995</v>
      </c>
      <c r="B2" s="2184"/>
      <c r="C2" s="2184"/>
      <c r="D2" s="2184"/>
      <c r="E2" s="2184"/>
      <c r="F2" s="2184"/>
      <c r="G2" s="2184"/>
      <c r="H2" s="2184"/>
      <c r="I2" s="1765"/>
      <c r="J2" s="1765"/>
      <c r="K2" s="1765"/>
      <c r="L2" s="1765"/>
      <c r="M2" s="1765"/>
      <c r="N2" s="1765"/>
      <c r="O2" s="1765"/>
      <c r="P2" s="1765"/>
      <c r="Q2" s="1765"/>
      <c r="R2" s="1765"/>
      <c r="S2" s="1765"/>
      <c r="T2" s="1765"/>
      <c r="U2" s="1765"/>
      <c r="V2" s="1765"/>
      <c r="W2" s="1765"/>
      <c r="X2" s="1765"/>
      <c r="Y2" s="1765"/>
      <c r="Z2" s="1765"/>
      <c r="AA2" s="1765"/>
      <c r="AB2" s="1765"/>
      <c r="AC2" s="1765"/>
      <c r="AD2" s="1765"/>
      <c r="AE2" s="1765"/>
      <c r="AF2" s="1765"/>
      <c r="AG2" s="1765"/>
      <c r="AH2" s="1765"/>
      <c r="AI2" s="1765"/>
      <c r="AJ2" s="1765"/>
      <c r="AK2" s="1765"/>
      <c r="AL2" s="1765"/>
      <c r="AM2" s="1765"/>
      <c r="AN2" s="1765"/>
      <c r="AO2" s="1765"/>
      <c r="AP2" s="1765"/>
      <c r="AQ2" s="1765"/>
      <c r="AR2" s="1765"/>
      <c r="AS2" s="1765"/>
      <c r="AT2" s="1765"/>
      <c r="AU2" s="1765"/>
      <c r="AV2" s="1765"/>
      <c r="AW2" s="1765"/>
      <c r="AX2" s="1765"/>
      <c r="AY2" s="1765"/>
      <c r="AZ2" s="1765"/>
      <c r="BA2" s="1765"/>
      <c r="BB2" s="1765"/>
      <c r="BC2" s="1765"/>
      <c r="BD2" s="1765"/>
      <c r="BE2" s="1765"/>
      <c r="BF2" s="1765"/>
      <c r="BG2" s="1765"/>
      <c r="BH2" s="1765"/>
      <c r="BI2" s="1765"/>
      <c r="BJ2" s="1765"/>
      <c r="BK2" s="1765"/>
      <c r="BL2" s="1765"/>
    </row>
    <row r="3" spans="1:64" s="761" customFormat="1" ht="15.75">
      <c r="A3" s="1406"/>
      <c r="B3" s="1407"/>
      <c r="C3" s="1407"/>
      <c r="D3" s="1448" t="str">
        <f>'4.DL Finansiālā ilgtspēja'!F3</f>
        <v>0 / 1</v>
      </c>
      <c r="E3" s="1448">
        <f>'4.DL Finansiālā ilgtspēja'!G3</f>
        <v>2</v>
      </c>
      <c r="F3" s="1448">
        <f>'4.DL Finansiālā ilgtspēja'!H3</f>
        <v>3</v>
      </c>
      <c r="G3" s="1448">
        <f>'4.DL Finansiālā ilgtspēja'!I3</f>
        <v>4</v>
      </c>
      <c r="H3" s="1448">
        <f>'4.DL Finansiālā ilgtspēja'!J3</f>
        <v>5</v>
      </c>
      <c r="I3" s="1448">
        <f>'4.DL Finansiālā ilgtspēja'!K3</f>
        <v>6</v>
      </c>
      <c r="J3" s="1448">
        <f>'4.DL Finansiālā ilgtspēja'!L3</f>
        <v>7</v>
      </c>
      <c r="K3" s="1448">
        <f>'4.DL Finansiālā ilgtspēja'!M3</f>
        <v>8</v>
      </c>
      <c r="L3" s="1448">
        <f>'4.DL Finansiālā ilgtspēja'!N3</f>
        <v>9</v>
      </c>
      <c r="M3" s="1448">
        <f>'4.DL Finansiālā ilgtspēja'!O3</f>
        <v>10</v>
      </c>
      <c r="N3" s="1448">
        <f>'4.DL Finansiālā ilgtspēja'!P3</f>
        <v>11</v>
      </c>
      <c r="O3" s="1448">
        <f>'4.DL Finansiālā ilgtspēja'!Q3</f>
        <v>12</v>
      </c>
      <c r="P3" s="1448">
        <f>'4.DL Finansiālā ilgtspēja'!R3</f>
        <v>13</v>
      </c>
      <c r="Q3" s="1448">
        <f>'4.DL Finansiālā ilgtspēja'!S3</f>
        <v>14</v>
      </c>
      <c r="R3" s="1448">
        <f>'4.DL Finansiālā ilgtspēja'!T3</f>
        <v>15</v>
      </c>
      <c r="S3" s="1409"/>
      <c r="T3" s="808"/>
      <c r="U3" s="808"/>
      <c r="V3" s="808"/>
      <c r="W3" s="808"/>
      <c r="X3" s="808"/>
      <c r="Y3" s="808"/>
      <c r="Z3" s="808"/>
      <c r="AA3" s="808"/>
      <c r="AB3" s="808"/>
      <c r="AC3" s="808"/>
      <c r="AD3" s="808"/>
      <c r="AE3" s="808"/>
      <c r="AF3" s="808"/>
      <c r="AG3" s="808"/>
      <c r="AH3" s="808"/>
      <c r="AI3" s="808"/>
      <c r="AJ3" s="808"/>
      <c r="AK3" s="808"/>
      <c r="AL3" s="808"/>
      <c r="AM3" s="808"/>
      <c r="AN3" s="808"/>
      <c r="AO3" s="808"/>
      <c r="AP3" s="808"/>
      <c r="AQ3" s="808"/>
      <c r="AR3" s="808"/>
      <c r="AS3" s="808"/>
      <c r="AT3" s="808"/>
      <c r="AU3" s="808"/>
      <c r="AV3" s="808"/>
      <c r="AW3" s="808"/>
      <c r="AX3" s="808"/>
      <c r="AY3" s="808"/>
      <c r="AZ3" s="808"/>
      <c r="BA3" s="808"/>
      <c r="BB3" s="808"/>
      <c r="BC3" s="808"/>
      <c r="BD3" s="808"/>
      <c r="BE3" s="808"/>
      <c r="BF3" s="808"/>
      <c r="BG3" s="808"/>
      <c r="BH3" s="808"/>
      <c r="BI3" s="808"/>
      <c r="BJ3" s="808"/>
      <c r="BK3" s="808"/>
      <c r="BL3" s="808"/>
    </row>
    <row r="4" spans="1:64" s="761" customFormat="1">
      <c r="A4" s="1410"/>
      <c r="B4" s="1411"/>
      <c r="C4" s="1411" t="s">
        <v>263</v>
      </c>
      <c r="D4" s="1448">
        <f>'4.DL Finansiālā ilgtspēja'!F4</f>
        <v>2017</v>
      </c>
      <c r="E4" s="1448">
        <f>'4.DL Finansiālā ilgtspēja'!G4</f>
        <v>2018</v>
      </c>
      <c r="F4" s="1448">
        <f>'4.DL Finansiālā ilgtspēja'!H4</f>
        <v>2019</v>
      </c>
      <c r="G4" s="1448">
        <f>'4.DL Finansiālā ilgtspēja'!I4</f>
        <v>2020</v>
      </c>
      <c r="H4" s="1448">
        <f>'4.DL Finansiālā ilgtspēja'!J4</f>
        <v>2021</v>
      </c>
      <c r="I4" s="1448">
        <f>'4.DL Finansiālā ilgtspēja'!K4</f>
        <v>2022</v>
      </c>
      <c r="J4" s="1448">
        <f>'4.DL Finansiālā ilgtspēja'!L4</f>
        <v>2023</v>
      </c>
      <c r="K4" s="1448">
        <f>'4.DL Finansiālā ilgtspēja'!M4</f>
        <v>2024</v>
      </c>
      <c r="L4" s="1448">
        <f>'4.DL Finansiālā ilgtspēja'!N4</f>
        <v>2025</v>
      </c>
      <c r="M4" s="1448">
        <f>'4.DL Finansiālā ilgtspēja'!O4</f>
        <v>2026</v>
      </c>
      <c r="N4" s="1448">
        <f>'4.DL Finansiālā ilgtspēja'!P4</f>
        <v>2027</v>
      </c>
      <c r="O4" s="1448">
        <f>'4.DL Finansiālā ilgtspēja'!Q4</f>
        <v>2028</v>
      </c>
      <c r="P4" s="1448">
        <f>'4.DL Finansiālā ilgtspēja'!R4</f>
        <v>2029</v>
      </c>
      <c r="Q4" s="1448">
        <f>'4.DL Finansiālā ilgtspēja'!S4</f>
        <v>2030</v>
      </c>
      <c r="R4" s="1448">
        <f>'4.DL Finansiālā ilgtspēja'!T4</f>
        <v>2031</v>
      </c>
      <c r="S4" s="1444" t="s">
        <v>2</v>
      </c>
      <c r="T4" s="808"/>
      <c r="U4" s="808"/>
      <c r="V4" s="808"/>
      <c r="W4" s="808"/>
      <c r="X4" s="808"/>
      <c r="Y4" s="808"/>
      <c r="Z4" s="808"/>
      <c r="AA4" s="808"/>
      <c r="AB4" s="808"/>
      <c r="AC4" s="808"/>
      <c r="AD4" s="808"/>
      <c r="AE4" s="808"/>
      <c r="AF4" s="808"/>
      <c r="AG4" s="808"/>
      <c r="AH4" s="808"/>
      <c r="AI4" s="808"/>
      <c r="AJ4" s="808"/>
      <c r="AK4" s="808"/>
      <c r="AL4" s="808"/>
      <c r="AM4" s="808"/>
      <c r="AN4" s="808"/>
      <c r="AO4" s="808"/>
      <c r="AP4" s="808"/>
      <c r="AQ4" s="808"/>
      <c r="AR4" s="808"/>
      <c r="AS4" s="808"/>
      <c r="AT4" s="808"/>
      <c r="AU4" s="808"/>
      <c r="AV4" s="808"/>
      <c r="AW4" s="808"/>
      <c r="AX4" s="808"/>
      <c r="AY4" s="808"/>
      <c r="AZ4" s="808"/>
      <c r="BA4" s="808"/>
      <c r="BB4" s="808"/>
      <c r="BC4" s="808"/>
      <c r="BD4" s="808"/>
      <c r="BE4" s="808"/>
      <c r="BF4" s="808"/>
      <c r="BG4" s="808"/>
      <c r="BH4" s="808"/>
      <c r="BI4" s="808"/>
      <c r="BJ4" s="808"/>
      <c r="BK4" s="808"/>
      <c r="BL4" s="808"/>
    </row>
    <row r="5" spans="1:64" s="772" customFormat="1">
      <c r="A5" s="1433"/>
      <c r="B5" s="778"/>
      <c r="C5" s="775"/>
      <c r="D5" s="778"/>
      <c r="E5" s="1434"/>
      <c r="F5" s="778"/>
      <c r="G5" s="778"/>
      <c r="H5" s="778"/>
      <c r="I5" s="778"/>
      <c r="J5" s="778"/>
      <c r="K5" s="778"/>
      <c r="L5" s="778"/>
      <c r="M5" s="778"/>
      <c r="N5" s="778"/>
      <c r="O5" s="778"/>
      <c r="P5" s="778"/>
      <c r="Q5" s="778"/>
      <c r="R5" s="778"/>
      <c r="S5" s="778"/>
      <c r="T5" s="808"/>
      <c r="U5" s="808"/>
      <c r="V5" s="808"/>
      <c r="W5" s="808"/>
      <c r="X5" s="808"/>
      <c r="Y5" s="808"/>
      <c r="Z5" s="808"/>
      <c r="AA5" s="808"/>
      <c r="AB5" s="808"/>
      <c r="AC5" s="808"/>
      <c r="AD5" s="808"/>
      <c r="AE5" s="808"/>
      <c r="AF5" s="808"/>
      <c r="AG5" s="808"/>
      <c r="AH5" s="808"/>
      <c r="AI5" s="808"/>
      <c r="AJ5" s="808"/>
      <c r="AK5" s="808"/>
      <c r="AL5" s="808"/>
      <c r="AM5" s="808"/>
      <c r="AN5" s="808"/>
      <c r="AO5" s="808"/>
      <c r="AP5" s="808"/>
      <c r="AQ5" s="808"/>
      <c r="AR5" s="808"/>
      <c r="AS5" s="808"/>
      <c r="AT5" s="808"/>
      <c r="AU5" s="808"/>
      <c r="AV5" s="808"/>
      <c r="AW5" s="808"/>
      <c r="AX5" s="808"/>
      <c r="AY5" s="808"/>
      <c r="AZ5" s="808"/>
      <c r="BA5" s="808"/>
      <c r="BB5" s="808"/>
      <c r="BC5" s="808"/>
      <c r="BD5" s="808"/>
      <c r="BE5" s="808"/>
      <c r="BF5" s="808"/>
      <c r="BG5" s="808"/>
      <c r="BH5" s="808"/>
      <c r="BI5" s="808"/>
      <c r="BJ5" s="808"/>
      <c r="BK5" s="808"/>
      <c r="BL5" s="808"/>
    </row>
    <row r="6" spans="1:64" s="1344" customFormat="1">
      <c r="A6" s="1435">
        <v>1</v>
      </c>
      <c r="B6" s="1436" t="s">
        <v>1033</v>
      </c>
      <c r="C6" s="1437" t="s">
        <v>873</v>
      </c>
      <c r="D6" s="1965">
        <f t="shared" ref="D6:R6" si="0">SUM(D7:D15)</f>
        <v>9000</v>
      </c>
      <c r="E6" s="1965">
        <f t="shared" si="0"/>
        <v>9000</v>
      </c>
      <c r="F6" s="1965">
        <f t="shared" si="0"/>
        <v>9000</v>
      </c>
      <c r="G6" s="1965">
        <f t="shared" si="0"/>
        <v>9000</v>
      </c>
      <c r="H6" s="1965">
        <f t="shared" si="0"/>
        <v>9000</v>
      </c>
      <c r="I6" s="1965">
        <f t="shared" si="0"/>
        <v>9000</v>
      </c>
      <c r="J6" s="1965">
        <f t="shared" si="0"/>
        <v>9000</v>
      </c>
      <c r="K6" s="1965">
        <f t="shared" si="0"/>
        <v>9000</v>
      </c>
      <c r="L6" s="1965">
        <f t="shared" si="0"/>
        <v>9000</v>
      </c>
      <c r="M6" s="1965">
        <f t="shared" si="0"/>
        <v>9000</v>
      </c>
      <c r="N6" s="1965">
        <f t="shared" si="0"/>
        <v>9000</v>
      </c>
      <c r="O6" s="1965">
        <f t="shared" si="0"/>
        <v>9000</v>
      </c>
      <c r="P6" s="1965">
        <f t="shared" si="0"/>
        <v>9000</v>
      </c>
      <c r="Q6" s="1965">
        <f t="shared" si="0"/>
        <v>9000</v>
      </c>
      <c r="R6" s="1965">
        <f t="shared" si="0"/>
        <v>9000</v>
      </c>
      <c r="S6" s="1966">
        <f t="shared" ref="S6:S15" si="1">SUM(D6:R6)</f>
        <v>135000</v>
      </c>
      <c r="T6" s="808"/>
      <c r="U6" s="1352"/>
      <c r="V6" s="1352"/>
      <c r="W6" s="1352"/>
      <c r="X6" s="1352"/>
      <c r="Y6" s="1352"/>
      <c r="Z6" s="1352"/>
      <c r="AA6" s="1352"/>
      <c r="AB6" s="1352"/>
      <c r="AC6" s="1352"/>
      <c r="AD6" s="1352"/>
      <c r="AE6" s="1352"/>
      <c r="AF6" s="1352"/>
      <c r="AG6" s="1352"/>
      <c r="AH6" s="1352"/>
      <c r="AI6" s="1352"/>
      <c r="AJ6" s="1352"/>
      <c r="AK6" s="1352"/>
      <c r="AL6" s="1352"/>
      <c r="AM6" s="1352"/>
      <c r="AN6" s="1352"/>
      <c r="AO6" s="1352"/>
      <c r="AP6" s="1352"/>
      <c r="AQ6" s="1352"/>
      <c r="AR6" s="1352"/>
      <c r="AS6" s="1352"/>
      <c r="AT6" s="1352"/>
      <c r="AU6" s="1352"/>
      <c r="AV6" s="1352"/>
      <c r="AW6" s="1352"/>
      <c r="AX6" s="1352"/>
      <c r="AY6" s="1352"/>
      <c r="AZ6" s="1352"/>
      <c r="BA6" s="1352"/>
      <c r="BB6" s="1352"/>
      <c r="BC6" s="1352"/>
      <c r="BD6" s="1352"/>
      <c r="BE6" s="1352"/>
      <c r="BF6" s="1352"/>
      <c r="BG6" s="1352"/>
      <c r="BH6" s="1352"/>
      <c r="BI6" s="1352"/>
      <c r="BJ6" s="1352"/>
      <c r="BK6" s="1352"/>
      <c r="BL6" s="1352"/>
    </row>
    <row r="7" spans="1:64">
      <c r="A7" s="1387" t="s">
        <v>3</v>
      </c>
      <c r="B7" s="1973" t="s">
        <v>1020</v>
      </c>
      <c r="C7" s="1343" t="s">
        <v>873</v>
      </c>
      <c r="D7" s="1653">
        <v>3000</v>
      </c>
      <c r="E7" s="1653">
        <v>3000</v>
      </c>
      <c r="F7" s="1653">
        <v>3000</v>
      </c>
      <c r="G7" s="1653">
        <v>3000</v>
      </c>
      <c r="H7" s="1653">
        <v>3000</v>
      </c>
      <c r="I7" s="1653">
        <v>3000</v>
      </c>
      <c r="J7" s="1653">
        <v>3000</v>
      </c>
      <c r="K7" s="1653">
        <v>3000</v>
      </c>
      <c r="L7" s="1653">
        <v>3000</v>
      </c>
      <c r="M7" s="1653">
        <v>3000</v>
      </c>
      <c r="N7" s="1653">
        <v>3000</v>
      </c>
      <c r="O7" s="1653">
        <v>3000</v>
      </c>
      <c r="P7" s="1653">
        <v>3000</v>
      </c>
      <c r="Q7" s="1653">
        <v>3000</v>
      </c>
      <c r="R7" s="1653">
        <v>3000</v>
      </c>
      <c r="S7" s="1967">
        <f t="shared" si="1"/>
        <v>45000</v>
      </c>
    </row>
    <row r="8" spans="1:64">
      <c r="A8" s="1387" t="s">
        <v>5</v>
      </c>
      <c r="B8" s="1973" t="s">
        <v>1020</v>
      </c>
      <c r="C8" s="1343" t="s">
        <v>873</v>
      </c>
      <c r="D8" s="1653">
        <v>3000</v>
      </c>
      <c r="E8" s="1653">
        <v>3000</v>
      </c>
      <c r="F8" s="1653">
        <v>3000</v>
      </c>
      <c r="G8" s="1653">
        <v>3000</v>
      </c>
      <c r="H8" s="1653">
        <v>3000</v>
      </c>
      <c r="I8" s="1653">
        <v>3000</v>
      </c>
      <c r="J8" s="1653">
        <v>3000</v>
      </c>
      <c r="K8" s="1653">
        <v>3000</v>
      </c>
      <c r="L8" s="1653">
        <v>3000</v>
      </c>
      <c r="M8" s="1653">
        <v>3000</v>
      </c>
      <c r="N8" s="1653">
        <v>3000</v>
      </c>
      <c r="O8" s="1653">
        <v>3000</v>
      </c>
      <c r="P8" s="1653">
        <v>3000</v>
      </c>
      <c r="Q8" s="1653">
        <v>3000</v>
      </c>
      <c r="R8" s="1653">
        <v>3000</v>
      </c>
      <c r="S8" s="1967">
        <f t="shared" si="1"/>
        <v>45000</v>
      </c>
    </row>
    <row r="9" spans="1:64">
      <c r="A9" s="1387" t="s">
        <v>7</v>
      </c>
      <c r="B9" s="1973" t="s">
        <v>1020</v>
      </c>
      <c r="C9" s="1343" t="s">
        <v>873</v>
      </c>
      <c r="D9" s="1653">
        <v>3000</v>
      </c>
      <c r="E9" s="1653">
        <v>3000</v>
      </c>
      <c r="F9" s="1653">
        <v>3000</v>
      </c>
      <c r="G9" s="1653">
        <v>3000</v>
      </c>
      <c r="H9" s="1653">
        <v>3000</v>
      </c>
      <c r="I9" s="1653">
        <v>3000</v>
      </c>
      <c r="J9" s="1653">
        <v>3000</v>
      </c>
      <c r="K9" s="1653">
        <v>3000</v>
      </c>
      <c r="L9" s="1653">
        <v>3000</v>
      </c>
      <c r="M9" s="1653">
        <v>3000</v>
      </c>
      <c r="N9" s="1653">
        <v>3000</v>
      </c>
      <c r="O9" s="1653">
        <v>3000</v>
      </c>
      <c r="P9" s="1653">
        <v>3000</v>
      </c>
      <c r="Q9" s="1653">
        <v>3000</v>
      </c>
      <c r="R9" s="1653">
        <v>3000</v>
      </c>
      <c r="S9" s="1967">
        <f t="shared" si="1"/>
        <v>45000</v>
      </c>
    </row>
    <row r="10" spans="1:64">
      <c r="A10" s="1387" t="s">
        <v>9</v>
      </c>
      <c r="B10" s="1973" t="s">
        <v>1020</v>
      </c>
      <c r="C10" s="1343" t="s">
        <v>873</v>
      </c>
      <c r="D10" s="1653"/>
      <c r="E10" s="1653"/>
      <c r="F10" s="1653"/>
      <c r="G10" s="1653"/>
      <c r="H10" s="1653"/>
      <c r="I10" s="1653"/>
      <c r="J10" s="1653"/>
      <c r="K10" s="1653"/>
      <c r="L10" s="1653"/>
      <c r="M10" s="1653"/>
      <c r="N10" s="1653"/>
      <c r="O10" s="1653"/>
      <c r="P10" s="1653"/>
      <c r="Q10" s="1653"/>
      <c r="R10" s="1653"/>
      <c r="S10" s="1967">
        <f t="shared" si="1"/>
        <v>0</v>
      </c>
    </row>
    <row r="11" spans="1:64">
      <c r="A11" s="1387" t="s">
        <v>11</v>
      </c>
      <c r="B11" s="1973" t="s">
        <v>1020</v>
      </c>
      <c r="C11" s="1343" t="s">
        <v>873</v>
      </c>
      <c r="D11" s="1653"/>
      <c r="E11" s="1653"/>
      <c r="F11" s="1653"/>
      <c r="G11" s="1653"/>
      <c r="H11" s="1653"/>
      <c r="I11" s="1653"/>
      <c r="J11" s="1653"/>
      <c r="K11" s="1653"/>
      <c r="L11" s="1653"/>
      <c r="M11" s="1653"/>
      <c r="N11" s="1653"/>
      <c r="O11" s="1653"/>
      <c r="P11" s="1653"/>
      <c r="Q11" s="1653"/>
      <c r="R11" s="1653"/>
      <c r="S11" s="1967">
        <f t="shared" si="1"/>
        <v>0</v>
      </c>
    </row>
    <row r="12" spans="1:64">
      <c r="A12" s="1387" t="s">
        <v>47</v>
      </c>
      <c r="B12" s="1973" t="s">
        <v>1020</v>
      </c>
      <c r="C12" s="1343" t="s">
        <v>873</v>
      </c>
      <c r="D12" s="1653"/>
      <c r="E12" s="1653"/>
      <c r="F12" s="1653"/>
      <c r="G12" s="1653"/>
      <c r="H12" s="1653"/>
      <c r="I12" s="1653"/>
      <c r="J12" s="1653"/>
      <c r="K12" s="1653"/>
      <c r="L12" s="1653"/>
      <c r="M12" s="1653"/>
      <c r="N12" s="1653"/>
      <c r="O12" s="1653"/>
      <c r="P12" s="1653"/>
      <c r="Q12" s="1653"/>
      <c r="R12" s="1653"/>
      <c r="S12" s="1967">
        <f t="shared" si="1"/>
        <v>0</v>
      </c>
    </row>
    <row r="13" spans="1:64">
      <c r="A13" s="1387" t="s">
        <v>48</v>
      </c>
      <c r="B13" s="1973" t="s">
        <v>1020</v>
      </c>
      <c r="C13" s="1343" t="s">
        <v>873</v>
      </c>
      <c r="D13" s="1653"/>
      <c r="E13" s="1653"/>
      <c r="F13" s="1653"/>
      <c r="G13" s="1653"/>
      <c r="H13" s="1653"/>
      <c r="I13" s="1653"/>
      <c r="J13" s="1653"/>
      <c r="K13" s="1653"/>
      <c r="L13" s="1653"/>
      <c r="M13" s="1653"/>
      <c r="N13" s="1653"/>
      <c r="O13" s="1653"/>
      <c r="P13" s="1653"/>
      <c r="Q13" s="1653"/>
      <c r="R13" s="1653"/>
      <c r="S13" s="1967">
        <f t="shared" si="1"/>
        <v>0</v>
      </c>
    </row>
    <row r="14" spans="1:64">
      <c r="A14" s="1387" t="s">
        <v>49</v>
      </c>
      <c r="B14" s="1973" t="s">
        <v>1020</v>
      </c>
      <c r="C14" s="1343" t="s">
        <v>873</v>
      </c>
      <c r="D14" s="1653"/>
      <c r="E14" s="1653"/>
      <c r="F14" s="1653"/>
      <c r="G14" s="1653"/>
      <c r="H14" s="1653"/>
      <c r="I14" s="1653"/>
      <c r="J14" s="1653"/>
      <c r="K14" s="1653"/>
      <c r="L14" s="1653"/>
      <c r="M14" s="1653"/>
      <c r="N14" s="1653"/>
      <c r="O14" s="1653"/>
      <c r="P14" s="1653"/>
      <c r="Q14" s="1653"/>
      <c r="R14" s="1653"/>
      <c r="S14" s="1967">
        <f t="shared" si="1"/>
        <v>0</v>
      </c>
    </row>
    <row r="15" spans="1:64">
      <c r="A15" s="1387" t="s">
        <v>134</v>
      </c>
      <c r="B15" s="1973" t="s">
        <v>1020</v>
      </c>
      <c r="C15" s="1343" t="s">
        <v>873</v>
      </c>
      <c r="D15" s="1974"/>
      <c r="E15" s="1974"/>
      <c r="F15" s="1974"/>
      <c r="G15" s="1974"/>
      <c r="H15" s="1974"/>
      <c r="I15" s="1974"/>
      <c r="J15" s="1974"/>
      <c r="K15" s="1974"/>
      <c r="L15" s="1974"/>
      <c r="M15" s="1974"/>
      <c r="N15" s="1974"/>
      <c r="O15" s="1974"/>
      <c r="P15" s="1974"/>
      <c r="Q15" s="1974"/>
      <c r="R15" s="1974"/>
      <c r="S15" s="1967">
        <f t="shared" si="1"/>
        <v>0</v>
      </c>
    </row>
    <row r="16" spans="1:64" s="1344" customFormat="1">
      <c r="A16" s="1435">
        <v>2</v>
      </c>
      <c r="B16" s="1436" t="s">
        <v>1034</v>
      </c>
      <c r="C16" s="1437" t="s">
        <v>873</v>
      </c>
      <c r="D16" s="1965">
        <f>SUM(D17:D25)</f>
        <v>-150</v>
      </c>
      <c r="E16" s="1965">
        <f t="shared" ref="E16:O16" si="2">SUM(E17:E25)</f>
        <v>-150</v>
      </c>
      <c r="F16" s="1965">
        <f t="shared" si="2"/>
        <v>-150</v>
      </c>
      <c r="G16" s="1965">
        <f t="shared" si="2"/>
        <v>-150</v>
      </c>
      <c r="H16" s="1965">
        <f t="shared" si="2"/>
        <v>-150</v>
      </c>
      <c r="I16" s="1965">
        <f t="shared" si="2"/>
        <v>-150</v>
      </c>
      <c r="J16" s="1965">
        <f t="shared" si="2"/>
        <v>-150</v>
      </c>
      <c r="K16" s="1965">
        <f t="shared" si="2"/>
        <v>-150</v>
      </c>
      <c r="L16" s="1965">
        <f>SUM(L17:L25)</f>
        <v>-150</v>
      </c>
      <c r="M16" s="1965">
        <f t="shared" si="2"/>
        <v>-150</v>
      </c>
      <c r="N16" s="1965">
        <f t="shared" si="2"/>
        <v>-150</v>
      </c>
      <c r="O16" s="1965">
        <f t="shared" si="2"/>
        <v>-150</v>
      </c>
      <c r="P16" s="1965">
        <f t="shared" ref="P16:R16" si="3">SUM(P17:P25)</f>
        <v>-150</v>
      </c>
      <c r="Q16" s="1965">
        <f t="shared" si="3"/>
        <v>-150</v>
      </c>
      <c r="R16" s="1965">
        <f t="shared" si="3"/>
        <v>-150</v>
      </c>
      <c r="S16" s="1967">
        <f>SUM(G16:R16)</f>
        <v>-1800</v>
      </c>
      <c r="T16" s="808"/>
      <c r="U16" s="1352"/>
      <c r="V16" s="1352"/>
      <c r="W16" s="1352"/>
      <c r="X16" s="1352"/>
      <c r="Y16" s="1352"/>
      <c r="Z16" s="1352"/>
      <c r="AA16" s="1352"/>
      <c r="AB16" s="1352"/>
      <c r="AC16" s="1352"/>
      <c r="AD16" s="1352"/>
      <c r="AE16" s="1352"/>
      <c r="AF16" s="1352"/>
      <c r="AG16" s="1352"/>
      <c r="AH16" s="1352"/>
      <c r="AI16" s="1352"/>
      <c r="AJ16" s="1352"/>
      <c r="AK16" s="1352"/>
      <c r="AL16" s="1352"/>
      <c r="AM16" s="1352"/>
      <c r="AN16" s="1352"/>
      <c r="AO16" s="1352"/>
      <c r="AP16" s="1352"/>
      <c r="AQ16" s="1352"/>
      <c r="AR16" s="1352"/>
      <c r="AS16" s="1352"/>
      <c r="AT16" s="1352"/>
      <c r="AU16" s="1352"/>
      <c r="AV16" s="1352"/>
      <c r="AW16" s="1352"/>
      <c r="AX16" s="1352"/>
      <c r="AY16" s="1352"/>
      <c r="AZ16" s="1352"/>
      <c r="BA16" s="1352"/>
      <c r="BB16" s="1352"/>
      <c r="BC16" s="1352"/>
      <c r="BD16" s="1352"/>
      <c r="BE16" s="1352"/>
      <c r="BF16" s="1352"/>
      <c r="BG16" s="1352"/>
      <c r="BH16" s="1352"/>
      <c r="BI16" s="1352"/>
      <c r="BJ16" s="1352"/>
      <c r="BK16" s="1352"/>
      <c r="BL16" s="1352"/>
    </row>
    <row r="17" spans="1:64">
      <c r="A17" s="1387" t="s">
        <v>14</v>
      </c>
      <c r="B17" s="1973" t="s">
        <v>1021</v>
      </c>
      <c r="C17" s="1343" t="s">
        <v>873</v>
      </c>
      <c r="D17" s="1657">
        <v>-150</v>
      </c>
      <c r="E17" s="1657">
        <v>-150</v>
      </c>
      <c r="F17" s="1657">
        <v>-150</v>
      </c>
      <c r="G17" s="1657">
        <v>-150</v>
      </c>
      <c r="H17" s="1657">
        <v>-150</v>
      </c>
      <c r="I17" s="1657">
        <v>-150</v>
      </c>
      <c r="J17" s="1657">
        <v>-150</v>
      </c>
      <c r="K17" s="1657">
        <v>-150</v>
      </c>
      <c r="L17" s="1657">
        <v>-150</v>
      </c>
      <c r="M17" s="1657">
        <v>-150</v>
      </c>
      <c r="N17" s="1657">
        <v>-150</v>
      </c>
      <c r="O17" s="1657">
        <v>-150</v>
      </c>
      <c r="P17" s="1657">
        <v>-150</v>
      </c>
      <c r="Q17" s="1657">
        <v>-150</v>
      </c>
      <c r="R17" s="1657">
        <v>-150</v>
      </c>
      <c r="S17" s="1967">
        <f>SUM(G17:R17)</f>
        <v>-1800</v>
      </c>
    </row>
    <row r="18" spans="1:64">
      <c r="A18" s="1387" t="s">
        <v>16</v>
      </c>
      <c r="B18" s="1973" t="s">
        <v>1021</v>
      </c>
      <c r="C18" s="1343" t="s">
        <v>873</v>
      </c>
      <c r="D18" s="1656"/>
      <c r="E18" s="1656"/>
      <c r="F18" s="1656"/>
      <c r="G18" s="1656"/>
      <c r="H18" s="1656"/>
      <c r="I18" s="1656"/>
      <c r="J18" s="1656"/>
      <c r="K18" s="1656"/>
      <c r="L18" s="1656"/>
      <c r="M18" s="1656"/>
      <c r="N18" s="1656"/>
      <c r="O18" s="1656"/>
      <c r="P18" s="1656"/>
      <c r="Q18" s="1656"/>
      <c r="R18" s="1656"/>
      <c r="S18" s="1967">
        <f t="shared" ref="S18:S25" si="4">SUM(D18:R18)</f>
        <v>0</v>
      </c>
    </row>
    <row r="19" spans="1:64">
      <c r="A19" s="1387" t="s">
        <v>19</v>
      </c>
      <c r="B19" s="1973" t="s">
        <v>1021</v>
      </c>
      <c r="C19" s="1343" t="s">
        <v>873</v>
      </c>
      <c r="D19" s="1656"/>
      <c r="E19" s="1656"/>
      <c r="F19" s="1656"/>
      <c r="G19" s="1656"/>
      <c r="H19" s="1656"/>
      <c r="I19" s="1656"/>
      <c r="J19" s="1656"/>
      <c r="K19" s="1656"/>
      <c r="L19" s="1656"/>
      <c r="M19" s="1656"/>
      <c r="N19" s="1656"/>
      <c r="O19" s="1656"/>
      <c r="P19" s="1656"/>
      <c r="Q19" s="1656"/>
      <c r="R19" s="1656"/>
      <c r="S19" s="1967">
        <f t="shared" si="4"/>
        <v>0</v>
      </c>
    </row>
    <row r="20" spans="1:64">
      <c r="A20" s="1387" t="s">
        <v>22</v>
      </c>
      <c r="B20" s="1973" t="s">
        <v>1021</v>
      </c>
      <c r="C20" s="1343" t="s">
        <v>873</v>
      </c>
      <c r="D20" s="1656"/>
      <c r="E20" s="1656"/>
      <c r="F20" s="1656"/>
      <c r="G20" s="1656"/>
      <c r="H20" s="1656"/>
      <c r="I20" s="1656"/>
      <c r="J20" s="1656"/>
      <c r="K20" s="1656"/>
      <c r="L20" s="1656"/>
      <c r="M20" s="1656"/>
      <c r="N20" s="1656"/>
      <c r="O20" s="1656"/>
      <c r="P20" s="1656"/>
      <c r="Q20" s="1656"/>
      <c r="R20" s="1656"/>
      <c r="S20" s="1967">
        <f t="shared" si="4"/>
        <v>0</v>
      </c>
    </row>
    <row r="21" spans="1:64">
      <c r="A21" s="1387" t="s">
        <v>23</v>
      </c>
      <c r="B21" s="1973" t="s">
        <v>1021</v>
      </c>
      <c r="C21" s="1343" t="s">
        <v>873</v>
      </c>
      <c r="D21" s="1656"/>
      <c r="E21" s="1656"/>
      <c r="F21" s="1656"/>
      <c r="G21" s="1656"/>
      <c r="H21" s="1656"/>
      <c r="I21" s="1656"/>
      <c r="J21" s="1656"/>
      <c r="K21" s="1656"/>
      <c r="L21" s="1656"/>
      <c r="M21" s="1656"/>
      <c r="N21" s="1656"/>
      <c r="O21" s="1656"/>
      <c r="P21" s="1656"/>
      <c r="Q21" s="1656"/>
      <c r="R21" s="1656"/>
      <c r="S21" s="1967">
        <f t="shared" si="4"/>
        <v>0</v>
      </c>
    </row>
    <row r="22" spans="1:64">
      <c r="A22" s="1387" t="s">
        <v>24</v>
      </c>
      <c r="B22" s="1973" t="s">
        <v>1021</v>
      </c>
      <c r="C22" s="1343" t="s">
        <v>873</v>
      </c>
      <c r="D22" s="1656"/>
      <c r="E22" s="1656"/>
      <c r="F22" s="1656"/>
      <c r="G22" s="1656"/>
      <c r="H22" s="1656"/>
      <c r="I22" s="1656"/>
      <c r="J22" s="1656"/>
      <c r="K22" s="1656"/>
      <c r="L22" s="1656"/>
      <c r="M22" s="1656"/>
      <c r="N22" s="1656"/>
      <c r="O22" s="1656"/>
      <c r="P22" s="1656"/>
      <c r="Q22" s="1656"/>
      <c r="R22" s="1656"/>
      <c r="S22" s="1967">
        <f t="shared" si="4"/>
        <v>0</v>
      </c>
    </row>
    <row r="23" spans="1:64">
      <c r="A23" s="1387" t="s">
        <v>26</v>
      </c>
      <c r="B23" s="1973" t="s">
        <v>1021</v>
      </c>
      <c r="C23" s="1343" t="s">
        <v>873</v>
      </c>
      <c r="D23" s="1656"/>
      <c r="E23" s="1656"/>
      <c r="F23" s="1656"/>
      <c r="G23" s="1656"/>
      <c r="H23" s="1656"/>
      <c r="I23" s="1656"/>
      <c r="J23" s="1656"/>
      <c r="K23" s="1656"/>
      <c r="L23" s="1656"/>
      <c r="M23" s="1656"/>
      <c r="N23" s="1656"/>
      <c r="O23" s="1656"/>
      <c r="P23" s="1656"/>
      <c r="Q23" s="1656"/>
      <c r="R23" s="1656"/>
      <c r="S23" s="1967">
        <f t="shared" si="4"/>
        <v>0</v>
      </c>
    </row>
    <row r="24" spans="1:64">
      <c r="A24" s="1387" t="s">
        <v>28</v>
      </c>
      <c r="B24" s="1973" t="s">
        <v>1021</v>
      </c>
      <c r="C24" s="1343" t="s">
        <v>873</v>
      </c>
      <c r="D24" s="1656"/>
      <c r="E24" s="1656"/>
      <c r="F24" s="1656"/>
      <c r="G24" s="1656"/>
      <c r="H24" s="1656"/>
      <c r="I24" s="1656"/>
      <c r="J24" s="1656"/>
      <c r="K24" s="1656"/>
      <c r="L24" s="1656"/>
      <c r="M24" s="1656"/>
      <c r="N24" s="1656"/>
      <c r="O24" s="1656"/>
      <c r="P24" s="1656"/>
      <c r="Q24" s="1656"/>
      <c r="R24" s="1656"/>
      <c r="S24" s="1967">
        <f t="shared" si="4"/>
        <v>0</v>
      </c>
    </row>
    <row r="25" spans="1:64">
      <c r="A25" s="1387" t="s">
        <v>79</v>
      </c>
      <c r="B25" s="1973" t="s">
        <v>1021</v>
      </c>
      <c r="C25" s="1343" t="s">
        <v>873</v>
      </c>
      <c r="D25" s="1658"/>
      <c r="E25" s="1658"/>
      <c r="F25" s="1658"/>
      <c r="G25" s="1658"/>
      <c r="H25" s="1658"/>
      <c r="I25" s="1658"/>
      <c r="J25" s="1658"/>
      <c r="K25" s="1658"/>
      <c r="L25" s="1658"/>
      <c r="M25" s="1658"/>
      <c r="N25" s="1658"/>
      <c r="O25" s="1658"/>
      <c r="P25" s="1658"/>
      <c r="Q25" s="1658"/>
      <c r="R25" s="1658"/>
      <c r="S25" s="1967">
        <f t="shared" si="4"/>
        <v>0</v>
      </c>
    </row>
    <row r="26" spans="1:64" s="1344" customFormat="1">
      <c r="A26" s="1435">
        <v>3</v>
      </c>
      <c r="B26" s="1436" t="s">
        <v>1091</v>
      </c>
      <c r="C26" s="1437" t="s">
        <v>873</v>
      </c>
      <c r="D26" s="1965"/>
      <c r="E26" s="1965"/>
      <c r="F26" s="1965"/>
      <c r="G26" s="1965"/>
      <c r="H26" s="1965"/>
      <c r="I26" s="1965"/>
      <c r="J26" s="1965"/>
      <c r="K26" s="1965"/>
      <c r="L26" s="1965"/>
      <c r="M26" s="1965"/>
      <c r="N26" s="1965"/>
      <c r="O26" s="1965"/>
      <c r="P26" s="1965"/>
      <c r="Q26" s="1965"/>
      <c r="R26" s="1965"/>
      <c r="S26" s="1967"/>
      <c r="T26" s="808"/>
      <c r="U26" s="1352"/>
      <c r="V26" s="1352"/>
      <c r="W26" s="1352"/>
      <c r="X26" s="1352"/>
      <c r="Y26" s="1352"/>
      <c r="Z26" s="1352"/>
      <c r="AA26" s="1352"/>
      <c r="AB26" s="1352"/>
      <c r="AC26" s="1352"/>
      <c r="AD26" s="1352"/>
      <c r="AE26" s="1352"/>
      <c r="AF26" s="1352"/>
      <c r="AG26" s="1352"/>
      <c r="AH26" s="1352"/>
      <c r="AI26" s="1352"/>
      <c r="AJ26" s="1352"/>
      <c r="AK26" s="1352"/>
      <c r="AL26" s="1352"/>
      <c r="AM26" s="1352"/>
      <c r="AN26" s="1352"/>
      <c r="AO26" s="1352"/>
      <c r="AP26" s="1352"/>
      <c r="AQ26" s="1352"/>
      <c r="AR26" s="1352"/>
      <c r="AS26" s="1352"/>
      <c r="AT26" s="1352"/>
      <c r="AU26" s="1352"/>
      <c r="AV26" s="1352"/>
      <c r="AW26" s="1352"/>
      <c r="AX26" s="1352"/>
      <c r="AY26" s="1352"/>
      <c r="AZ26" s="1352"/>
      <c r="BA26" s="1352"/>
      <c r="BB26" s="1352"/>
      <c r="BC26" s="1352"/>
      <c r="BD26" s="1352"/>
      <c r="BE26" s="1352"/>
      <c r="BF26" s="1352"/>
      <c r="BG26" s="1352"/>
      <c r="BH26" s="1352"/>
      <c r="BI26" s="1352"/>
      <c r="BJ26" s="1352"/>
      <c r="BK26" s="1352"/>
      <c r="BL26" s="1352"/>
    </row>
    <row r="27" spans="1:64">
      <c r="A27" s="1387" t="s">
        <v>33</v>
      </c>
      <c r="B27" s="808" t="s">
        <v>1092</v>
      </c>
      <c r="C27" s="1343" t="s">
        <v>873</v>
      </c>
      <c r="D27" s="1657"/>
      <c r="E27" s="1657"/>
      <c r="F27" s="1657"/>
      <c r="G27" s="1657"/>
      <c r="H27" s="1657"/>
      <c r="I27" s="1657"/>
      <c r="J27" s="1657"/>
      <c r="K27" s="1657"/>
      <c r="L27" s="1657"/>
      <c r="M27" s="1657"/>
      <c r="N27" s="1657"/>
      <c r="O27" s="1657"/>
      <c r="P27" s="1657"/>
      <c r="Q27" s="1657"/>
      <c r="R27" s="1657"/>
      <c r="S27" s="1967">
        <f>SUM(D27:R27)</f>
        <v>0</v>
      </c>
    </row>
    <row r="28" spans="1:64">
      <c r="A28" s="1387" t="s">
        <v>34</v>
      </c>
      <c r="B28" s="808" t="s">
        <v>1093</v>
      </c>
      <c r="C28" s="1343" t="s">
        <v>873</v>
      </c>
      <c r="D28" s="1656"/>
      <c r="E28" s="1656"/>
      <c r="F28" s="1656"/>
      <c r="G28" s="1656"/>
      <c r="H28" s="1656"/>
      <c r="I28" s="1656"/>
      <c r="J28" s="1656"/>
      <c r="K28" s="1656"/>
      <c r="L28" s="1656"/>
      <c r="M28" s="1656"/>
      <c r="N28" s="1656"/>
      <c r="O28" s="1656"/>
      <c r="P28" s="1656"/>
      <c r="Q28" s="1656"/>
      <c r="R28" s="1656"/>
      <c r="S28" s="1967">
        <f>SUM(D28:R28)</f>
        <v>0</v>
      </c>
    </row>
    <row r="29" spans="1:64">
      <c r="A29" s="1387" t="s">
        <v>35</v>
      </c>
      <c r="B29" s="808" t="s">
        <v>1094</v>
      </c>
      <c r="C29" s="1343" t="s">
        <v>873</v>
      </c>
      <c r="D29" s="1658">
        <v>50</v>
      </c>
      <c r="E29" s="1658">
        <v>50</v>
      </c>
      <c r="F29" s="1658">
        <v>50</v>
      </c>
      <c r="G29" s="1658">
        <v>50</v>
      </c>
      <c r="H29" s="1658">
        <v>50</v>
      </c>
      <c r="I29" s="1658">
        <v>50</v>
      </c>
      <c r="J29" s="1658">
        <v>50</v>
      </c>
      <c r="K29" s="1658">
        <v>50</v>
      </c>
      <c r="L29" s="1658">
        <v>50</v>
      </c>
      <c r="M29" s="1658">
        <v>50</v>
      </c>
      <c r="N29" s="1658">
        <v>50</v>
      </c>
      <c r="O29" s="1658">
        <v>50</v>
      </c>
      <c r="P29" s="1658">
        <v>50</v>
      </c>
      <c r="Q29" s="1658">
        <v>50</v>
      </c>
      <c r="R29" s="1658">
        <v>50</v>
      </c>
      <c r="S29" s="1967">
        <f>SUM(D29:R29)</f>
        <v>750</v>
      </c>
    </row>
    <row r="30" spans="1:64" s="1344" customFormat="1">
      <c r="A30" s="1435">
        <v>4</v>
      </c>
      <c r="B30" s="1436" t="s">
        <v>976</v>
      </c>
      <c r="C30" s="1437"/>
      <c r="D30" s="1965"/>
      <c r="E30" s="1965"/>
      <c r="F30" s="1965"/>
      <c r="G30" s="1965"/>
      <c r="H30" s="1965"/>
      <c r="I30" s="1965"/>
      <c r="J30" s="1965"/>
      <c r="K30" s="1965"/>
      <c r="L30" s="1965"/>
      <c r="M30" s="1965"/>
      <c r="N30" s="1965"/>
      <c r="O30" s="1965"/>
      <c r="P30" s="1965"/>
      <c r="Q30" s="1965"/>
      <c r="R30" s="1965"/>
      <c r="S30" s="1968"/>
      <c r="T30" s="808"/>
      <c r="U30" s="1352"/>
      <c r="V30" s="1352"/>
      <c r="W30" s="1352"/>
      <c r="X30" s="1352"/>
      <c r="Y30" s="1352"/>
      <c r="Z30" s="1352"/>
      <c r="AA30" s="1352"/>
      <c r="AB30" s="1352"/>
      <c r="AC30" s="1352"/>
      <c r="AD30" s="1352"/>
      <c r="AE30" s="1352"/>
      <c r="AF30" s="1352"/>
      <c r="AG30" s="1352"/>
      <c r="AH30" s="1352"/>
      <c r="AI30" s="1352"/>
      <c r="AJ30" s="1352"/>
      <c r="AK30" s="1352"/>
      <c r="AL30" s="1352"/>
      <c r="AM30" s="1352"/>
      <c r="AN30" s="1352"/>
      <c r="AO30" s="1352"/>
      <c r="AP30" s="1352"/>
      <c r="AQ30" s="1352"/>
      <c r="AR30" s="1352"/>
      <c r="AS30" s="1352"/>
      <c r="AT30" s="1352"/>
      <c r="AU30" s="1352"/>
      <c r="AV30" s="1352"/>
      <c r="AW30" s="1352"/>
      <c r="AX30" s="1352"/>
      <c r="AY30" s="1352"/>
      <c r="AZ30" s="1352"/>
      <c r="BA30" s="1352"/>
      <c r="BB30" s="1352"/>
      <c r="BC30" s="1352"/>
      <c r="BD30" s="1352"/>
      <c r="BE30" s="1352"/>
      <c r="BF30" s="1352"/>
      <c r="BG30" s="1352"/>
      <c r="BH30" s="1352"/>
      <c r="BI30" s="1352"/>
      <c r="BJ30" s="1352"/>
      <c r="BK30" s="1352"/>
      <c r="BL30" s="1352"/>
    </row>
    <row r="31" spans="1:64" ht="25.5">
      <c r="A31" s="1689">
        <v>4</v>
      </c>
      <c r="B31" s="1969" t="s">
        <v>1144</v>
      </c>
      <c r="C31" s="1556" t="s">
        <v>897</v>
      </c>
      <c r="D31" s="1658"/>
      <c r="E31" s="1658">
        <v>15</v>
      </c>
      <c r="F31" s="1658"/>
      <c r="G31" s="1658"/>
      <c r="H31" s="1658"/>
      <c r="I31" s="1658"/>
      <c r="J31" s="1658"/>
      <c r="K31" s="1658"/>
      <c r="L31" s="1658"/>
      <c r="M31" s="1658"/>
      <c r="N31" s="1658"/>
      <c r="O31" s="1658"/>
      <c r="P31" s="1658"/>
      <c r="Q31" s="1658"/>
      <c r="R31" s="1658"/>
      <c r="S31" s="1970">
        <f>SUM(D31:R31)</f>
        <v>15</v>
      </c>
      <c r="AY31" s="777"/>
      <c r="AZ31" s="777"/>
      <c r="BA31" s="777"/>
      <c r="BB31" s="777"/>
      <c r="BC31" s="777"/>
      <c r="BD31" s="777"/>
      <c r="BE31" s="777"/>
      <c r="BF31" s="777"/>
      <c r="BG31" s="777"/>
      <c r="BH31" s="777"/>
      <c r="BI31" s="777"/>
      <c r="BJ31" s="777"/>
      <c r="BK31" s="777"/>
      <c r="BL31" s="777"/>
    </row>
    <row r="32" spans="1:64">
      <c r="A32" s="1387"/>
      <c r="B32" s="808"/>
      <c r="C32" s="1343"/>
      <c r="D32" s="1349"/>
      <c r="E32" s="1349"/>
      <c r="F32" s="1349"/>
      <c r="G32" s="1349"/>
      <c r="H32" s="1349"/>
      <c r="I32" s="1349"/>
      <c r="J32" s="1349"/>
      <c r="K32" s="1349"/>
      <c r="L32" s="1349"/>
      <c r="M32" s="1349"/>
      <c r="N32" s="1349"/>
      <c r="O32" s="1349"/>
      <c r="P32" s="1349"/>
      <c r="Q32" s="1349"/>
      <c r="R32" s="1349"/>
      <c r="S32" s="1971"/>
      <c r="T32" s="816"/>
      <c r="U32" s="816"/>
      <c r="V32" s="816"/>
    </row>
    <row r="33" spans="1:22">
      <c r="A33" s="1438"/>
      <c r="B33" s="1438"/>
      <c r="C33" s="1438"/>
      <c r="D33" s="1438"/>
      <c r="E33" s="1438"/>
      <c r="F33" s="1438"/>
      <c r="G33" s="1438"/>
      <c r="H33" s="1438"/>
      <c r="I33" s="1438"/>
      <c r="J33" s="1438"/>
      <c r="K33" s="1438"/>
      <c r="L33" s="1438"/>
      <c r="M33" s="1438"/>
      <c r="N33" s="1438"/>
      <c r="O33" s="1438"/>
      <c r="P33" s="1438"/>
      <c r="Q33" s="1438"/>
      <c r="R33" s="1438"/>
      <c r="S33" s="1446"/>
      <c r="T33" s="1439"/>
      <c r="U33" s="1439"/>
      <c r="V33" s="816"/>
    </row>
    <row r="34" spans="1:22" s="808" customFormat="1">
      <c r="A34" s="1849"/>
      <c r="D34" s="1972"/>
      <c r="T34" s="816"/>
      <c r="U34" s="816"/>
      <c r="V34" s="816"/>
    </row>
    <row r="35" spans="1:22" s="808" customFormat="1">
      <c r="A35" s="1849"/>
      <c r="D35" s="1972"/>
      <c r="T35" s="816"/>
      <c r="U35" s="816"/>
      <c r="V35" s="816"/>
    </row>
    <row r="36" spans="1:22" s="808" customFormat="1">
      <c r="T36" s="816"/>
      <c r="U36" s="816"/>
      <c r="V36" s="816"/>
    </row>
    <row r="37" spans="1:22" s="808" customFormat="1"/>
    <row r="38" spans="1:22" s="808" customFormat="1"/>
    <row r="39" spans="1:22" s="808" customFormat="1">
      <c r="B39" s="1849"/>
    </row>
    <row r="40" spans="1:22" s="808" customFormat="1">
      <c r="B40" s="1849"/>
    </row>
    <row r="41" spans="1:22" s="808" customFormat="1"/>
    <row r="42" spans="1:22" s="808" customFormat="1"/>
    <row r="43" spans="1:22" s="808" customFormat="1"/>
    <row r="44" spans="1:22" s="808" customFormat="1"/>
    <row r="45" spans="1:22" s="808" customFormat="1"/>
    <row r="46" spans="1:22" s="808" customFormat="1"/>
    <row r="47" spans="1:22" s="808" customFormat="1"/>
    <row r="48" spans="1:22" s="808" customFormat="1"/>
    <row r="49" s="808" customFormat="1"/>
    <row r="50" s="808" customFormat="1"/>
    <row r="51" s="808" customFormat="1"/>
    <row r="52" s="808" customFormat="1"/>
    <row r="53" s="808" customFormat="1"/>
    <row r="54" s="808" customFormat="1"/>
    <row r="55" s="808" customFormat="1"/>
    <row r="56" s="808" customFormat="1"/>
    <row r="57" s="808" customFormat="1"/>
    <row r="58" s="808" customFormat="1"/>
    <row r="59" s="808" customFormat="1"/>
    <row r="60" s="808" customFormat="1"/>
    <row r="61" s="808" customFormat="1"/>
    <row r="62" s="808" customFormat="1"/>
    <row r="63" s="808" customFormat="1"/>
    <row r="64" s="808" customFormat="1"/>
    <row r="65" s="808" customFormat="1"/>
    <row r="66" s="808" customFormat="1"/>
    <row r="67" s="808" customFormat="1"/>
    <row r="68" s="808" customFormat="1"/>
    <row r="69" s="808" customFormat="1"/>
    <row r="70" s="808" customFormat="1"/>
    <row r="71" s="808" customFormat="1"/>
    <row r="72" s="808" customFormat="1"/>
    <row r="73" s="808" customFormat="1"/>
    <row r="74" s="808" customFormat="1"/>
    <row r="75" s="808" customFormat="1"/>
    <row r="76" s="808" customFormat="1"/>
    <row r="77" s="808" customFormat="1"/>
    <row r="78" s="808" customFormat="1"/>
    <row r="79" s="808" customFormat="1"/>
    <row r="80" s="808" customFormat="1"/>
    <row r="81" s="808" customFormat="1"/>
    <row r="82" s="808" customFormat="1"/>
    <row r="83" s="808" customFormat="1"/>
    <row r="84" s="808" customFormat="1"/>
    <row r="85" s="808" customFormat="1"/>
    <row r="86" s="808" customFormat="1"/>
    <row r="87" s="808" customFormat="1"/>
    <row r="88" s="808" customFormat="1"/>
    <row r="89" s="808" customFormat="1"/>
    <row r="90" s="808" customFormat="1"/>
    <row r="91" s="808" customFormat="1"/>
    <row r="92" s="808" customFormat="1"/>
    <row r="93" s="808" customFormat="1"/>
    <row r="94" s="808" customFormat="1"/>
    <row r="95" s="808" customFormat="1"/>
    <row r="96" s="808" customFormat="1"/>
    <row r="97" s="808" customFormat="1"/>
    <row r="98" s="808" customFormat="1"/>
    <row r="99" s="808" customFormat="1"/>
    <row r="100" s="808" customFormat="1"/>
    <row r="101" s="808" customFormat="1"/>
    <row r="102" s="808" customFormat="1"/>
    <row r="103" s="808" customFormat="1"/>
    <row r="104" s="808" customFormat="1"/>
    <row r="105" s="808" customFormat="1"/>
    <row r="106" s="808" customFormat="1"/>
    <row r="107" s="808" customFormat="1"/>
    <row r="108" s="808" customFormat="1"/>
    <row r="109" s="808" customFormat="1"/>
    <row r="110" s="808" customFormat="1"/>
    <row r="111" s="808" customFormat="1"/>
    <row r="112" s="808" customFormat="1"/>
    <row r="113" s="808" customFormat="1"/>
    <row r="114" s="808" customFormat="1"/>
    <row r="115" s="808" customFormat="1"/>
    <row r="116" s="808" customFormat="1"/>
    <row r="117" s="808" customFormat="1"/>
    <row r="118" s="808" customFormat="1"/>
    <row r="119" s="808" customFormat="1"/>
    <row r="120" s="808" customFormat="1"/>
    <row r="121" s="808" customFormat="1"/>
    <row r="122" s="808" customFormat="1"/>
    <row r="123" s="808" customFormat="1"/>
    <row r="124" s="808" customFormat="1"/>
    <row r="125" s="808" customFormat="1"/>
    <row r="126" s="808" customFormat="1"/>
    <row r="127" s="808" customFormat="1"/>
    <row r="128" s="808" customFormat="1"/>
    <row r="129" s="808" customFormat="1"/>
    <row r="130" s="808" customFormat="1"/>
    <row r="131" s="808" customFormat="1"/>
    <row r="132" s="808" customFormat="1"/>
    <row r="133" s="808" customFormat="1"/>
    <row r="134" s="808" customFormat="1"/>
    <row r="135" s="808" customFormat="1"/>
    <row r="136" s="808" customFormat="1"/>
    <row r="137" s="808" customFormat="1"/>
    <row r="138" s="808" customFormat="1"/>
    <row r="139" s="808" customFormat="1"/>
    <row r="140" s="808" customFormat="1"/>
    <row r="141" s="808" customFormat="1"/>
    <row r="142" s="808" customFormat="1"/>
    <row r="143" s="808" customFormat="1"/>
    <row r="144" s="808" customFormat="1"/>
    <row r="145" s="808" customFormat="1"/>
    <row r="146" s="808" customFormat="1"/>
    <row r="147" s="808" customFormat="1"/>
    <row r="148" s="808" customFormat="1"/>
    <row r="149" s="808" customFormat="1"/>
    <row r="150" s="808" customFormat="1"/>
    <row r="151" s="808" customFormat="1"/>
    <row r="152" s="808" customFormat="1"/>
    <row r="153" s="808" customFormat="1"/>
    <row r="154" s="808" customFormat="1"/>
    <row r="155" s="808" customFormat="1"/>
    <row r="156" s="808" customFormat="1"/>
    <row r="157" s="808" customFormat="1"/>
    <row r="158" s="808" customFormat="1"/>
    <row r="159" s="808" customFormat="1"/>
    <row r="160" s="808" customFormat="1"/>
    <row r="161" s="808" customFormat="1"/>
    <row r="162" s="808" customFormat="1"/>
    <row r="163" s="808" customFormat="1"/>
    <row r="164" s="808" customFormat="1"/>
    <row r="165" s="808" customFormat="1"/>
    <row r="166" s="808" customFormat="1"/>
    <row r="167" s="808" customFormat="1"/>
    <row r="168" s="808" customFormat="1"/>
    <row r="169" s="808" customFormat="1"/>
    <row r="170" s="808" customFormat="1"/>
    <row r="171" s="808" customFormat="1"/>
    <row r="172" s="808" customFormat="1"/>
    <row r="173" s="808" customFormat="1"/>
    <row r="174" s="808" customFormat="1"/>
    <row r="175" s="808" customFormat="1"/>
    <row r="176" s="808" customFormat="1"/>
    <row r="177" s="808" customFormat="1"/>
    <row r="178" s="808" customFormat="1"/>
    <row r="179" s="808" customFormat="1"/>
    <row r="180" s="808" customFormat="1"/>
    <row r="181" s="808" customFormat="1"/>
    <row r="182" s="808" customFormat="1"/>
    <row r="183" s="808" customFormat="1"/>
    <row r="184" s="808" customFormat="1"/>
    <row r="185" s="808" customFormat="1"/>
    <row r="186" s="808" customFormat="1"/>
    <row r="187" s="808" customFormat="1"/>
    <row r="188" s="808" customFormat="1"/>
    <row r="189" s="808" customFormat="1"/>
    <row r="190" s="808" customFormat="1"/>
    <row r="191" s="808" customFormat="1"/>
    <row r="192" s="808" customFormat="1"/>
    <row r="193" s="808" customFormat="1"/>
    <row r="194" s="808" customFormat="1"/>
    <row r="195" s="808" customFormat="1"/>
    <row r="196" s="808" customFormat="1"/>
    <row r="197" s="808" customFormat="1"/>
    <row r="198" s="808" customFormat="1"/>
    <row r="199" s="808" customFormat="1"/>
    <row r="200" s="808" customFormat="1"/>
    <row r="201" s="808" customFormat="1"/>
    <row r="202" s="808" customFormat="1"/>
    <row r="203" s="808" customFormat="1"/>
    <row r="204" s="808" customFormat="1"/>
    <row r="205" s="808" customFormat="1"/>
    <row r="206" s="808" customFormat="1"/>
    <row r="207" s="808" customFormat="1"/>
    <row r="208" s="808" customFormat="1"/>
    <row r="209" s="808" customFormat="1"/>
    <row r="210" s="808" customFormat="1"/>
    <row r="211" s="808" customFormat="1"/>
    <row r="212" s="808" customFormat="1"/>
    <row r="213" s="808" customFormat="1"/>
    <row r="214" s="808" customFormat="1"/>
    <row r="215" s="808" customFormat="1"/>
    <row r="216" s="808" customFormat="1"/>
    <row r="217" s="808" customFormat="1"/>
    <row r="218" s="808" customFormat="1"/>
    <row r="219" s="808" customFormat="1"/>
    <row r="220" s="808" customFormat="1"/>
    <row r="221" s="808" customFormat="1"/>
    <row r="222" s="808" customFormat="1"/>
    <row r="223" s="808" customFormat="1"/>
    <row r="224" s="808" customFormat="1"/>
    <row r="225" s="808" customFormat="1"/>
    <row r="226" s="808" customFormat="1"/>
    <row r="227" s="808" customFormat="1"/>
    <row r="228" s="808" customFormat="1"/>
    <row r="229" s="808" customFormat="1"/>
    <row r="230" s="808" customFormat="1"/>
    <row r="231" s="808" customFormat="1"/>
    <row r="232" s="808" customFormat="1"/>
    <row r="233" s="808" customFormat="1"/>
    <row r="234" s="808" customFormat="1"/>
    <row r="235" s="808" customFormat="1"/>
    <row r="236" s="808" customFormat="1"/>
    <row r="237" s="808" customFormat="1"/>
    <row r="238" s="808" customFormat="1"/>
    <row r="239" s="808" customFormat="1"/>
    <row r="240" s="808" customFormat="1"/>
    <row r="241" s="808" customFormat="1"/>
    <row r="242" s="808" customFormat="1"/>
    <row r="243" s="808" customFormat="1"/>
    <row r="244" s="808" customFormat="1"/>
    <row r="245" s="808" customFormat="1"/>
    <row r="246" s="808" customFormat="1"/>
    <row r="247" s="808" customFormat="1"/>
    <row r="248" s="808" customFormat="1"/>
    <row r="249" s="808" customFormat="1"/>
    <row r="250" s="808" customFormat="1"/>
    <row r="251" s="808" customFormat="1"/>
    <row r="252" s="808" customFormat="1"/>
    <row r="253" s="808" customFormat="1"/>
    <row r="254" s="808" customFormat="1"/>
    <row r="255" s="808" customFormat="1"/>
    <row r="256" s="808" customFormat="1"/>
    <row r="257" s="808" customFormat="1"/>
    <row r="258" s="808" customFormat="1"/>
    <row r="259" s="808" customFormat="1"/>
    <row r="260" s="808" customFormat="1"/>
    <row r="261" s="808" customFormat="1"/>
    <row r="262" s="808" customFormat="1"/>
    <row r="263" s="808" customFormat="1"/>
    <row r="264" s="808" customFormat="1"/>
    <row r="265" s="808" customFormat="1"/>
    <row r="266" s="808" customFormat="1"/>
    <row r="267" s="808" customFormat="1"/>
    <row r="268" s="808" customFormat="1"/>
    <row r="269" s="808" customFormat="1"/>
    <row r="270" s="808" customFormat="1"/>
    <row r="271" s="808" customFormat="1"/>
    <row r="272" s="808" customFormat="1"/>
    <row r="273" s="808" customFormat="1"/>
    <row r="274" s="808" customFormat="1"/>
    <row r="275" s="808" customFormat="1"/>
    <row r="276" s="808" customFormat="1"/>
    <row r="277" s="808" customFormat="1"/>
    <row r="278" s="808" customFormat="1"/>
    <row r="279" s="808" customFormat="1"/>
    <row r="280" s="808" customFormat="1"/>
    <row r="281" s="808" customFormat="1"/>
    <row r="282" s="808" customFormat="1"/>
    <row r="283" s="808" customFormat="1"/>
    <row r="284" s="808" customFormat="1"/>
    <row r="285" s="808" customFormat="1"/>
    <row r="286" s="808" customFormat="1"/>
    <row r="287" s="808" customFormat="1"/>
    <row r="288" s="808" customFormat="1"/>
    <row r="289" s="808" customFormat="1"/>
    <row r="290" s="808" customFormat="1"/>
    <row r="291" s="808" customFormat="1"/>
    <row r="292" s="808" customFormat="1"/>
    <row r="293" s="808" customFormat="1"/>
    <row r="294" s="808" customFormat="1"/>
    <row r="295" s="808" customFormat="1"/>
    <row r="296" s="808" customFormat="1"/>
    <row r="297" s="808" customFormat="1"/>
    <row r="298" s="808" customFormat="1"/>
    <row r="299" s="808" customFormat="1"/>
    <row r="300" s="808" customFormat="1"/>
    <row r="301" s="808" customFormat="1"/>
    <row r="302" s="808" customFormat="1"/>
    <row r="303" s="808" customFormat="1"/>
    <row r="304" s="808" customFormat="1"/>
    <row r="305" s="808" customFormat="1"/>
    <row r="306" s="808" customFormat="1"/>
    <row r="307" s="808" customFormat="1"/>
    <row r="308" s="808" customFormat="1"/>
    <row r="309" s="808" customFormat="1"/>
    <row r="310" s="808" customFormat="1"/>
    <row r="311" s="808" customFormat="1"/>
    <row r="312" s="808" customFormat="1"/>
    <row r="313" s="808" customFormat="1"/>
    <row r="314" s="808" customFormat="1"/>
    <row r="315" s="808" customFormat="1"/>
    <row r="316" s="808" customFormat="1"/>
    <row r="317" s="808" customFormat="1"/>
    <row r="318" s="808" customFormat="1"/>
    <row r="319" s="808" customFormat="1"/>
    <row r="320" s="808" customFormat="1"/>
    <row r="321" s="808" customFormat="1"/>
    <row r="322" s="808" customFormat="1"/>
    <row r="323" s="808" customFormat="1"/>
    <row r="324" s="808" customFormat="1"/>
    <row r="325" s="808" customFormat="1"/>
    <row r="326" s="808" customFormat="1"/>
    <row r="327" s="808" customFormat="1"/>
    <row r="328" s="808" customFormat="1"/>
    <row r="329" s="808" customFormat="1"/>
    <row r="330" s="808" customFormat="1"/>
    <row r="331" s="808" customFormat="1"/>
    <row r="332" s="808" customFormat="1"/>
    <row r="333" s="808" customFormat="1"/>
    <row r="334" s="808" customFormat="1"/>
    <row r="335" s="808" customFormat="1"/>
    <row r="336" s="808" customFormat="1"/>
    <row r="337" s="808" customFormat="1"/>
    <row r="338" s="808" customFormat="1"/>
    <row r="339" s="808" customFormat="1"/>
    <row r="340" s="808" customFormat="1"/>
    <row r="341" s="808" customFormat="1"/>
    <row r="342" s="808" customFormat="1"/>
    <row r="343" s="808" customFormat="1"/>
    <row r="344" s="808" customFormat="1"/>
    <row r="345" s="808" customFormat="1"/>
    <row r="346" s="808" customFormat="1"/>
    <row r="347" s="808" customFormat="1"/>
    <row r="348" s="808" customFormat="1"/>
    <row r="349" s="808" customFormat="1"/>
    <row r="350" s="808" customFormat="1"/>
    <row r="351" s="808" customFormat="1"/>
    <row r="352" s="808" customFormat="1"/>
    <row r="353" s="808" customFormat="1"/>
    <row r="354" s="808" customFormat="1"/>
    <row r="355" s="808" customFormat="1"/>
    <row r="356" s="808" customFormat="1"/>
    <row r="357" s="808" customFormat="1"/>
    <row r="358" s="808" customFormat="1"/>
    <row r="359" s="808" customFormat="1"/>
    <row r="360" s="808" customFormat="1"/>
    <row r="361" s="808" customFormat="1"/>
    <row r="362" s="808" customFormat="1"/>
    <row r="363" s="808" customFormat="1"/>
    <row r="364" s="808" customFormat="1"/>
    <row r="365" s="808" customFormat="1"/>
    <row r="366" s="808" customFormat="1"/>
    <row r="367" s="808" customFormat="1"/>
    <row r="368" s="808" customFormat="1"/>
    <row r="369" s="808" customFormat="1"/>
    <row r="370" s="808" customFormat="1"/>
    <row r="371" s="808" customFormat="1"/>
    <row r="372" s="808" customFormat="1"/>
    <row r="373" s="808" customFormat="1"/>
    <row r="374" s="808" customFormat="1"/>
    <row r="375" s="808" customFormat="1"/>
    <row r="376" s="808" customFormat="1"/>
    <row r="377" s="808" customFormat="1"/>
    <row r="378" s="808" customFormat="1"/>
    <row r="379" s="808" customFormat="1"/>
    <row r="380" s="808" customFormat="1"/>
    <row r="381" s="808" customFormat="1"/>
    <row r="382" s="808" customFormat="1"/>
    <row r="383" s="808" customFormat="1"/>
    <row r="384" s="808" customFormat="1"/>
    <row r="385" s="808" customFormat="1"/>
    <row r="386" s="808" customFormat="1"/>
    <row r="387" s="808" customFormat="1"/>
    <row r="388" s="808" customFormat="1"/>
    <row r="389" s="808" customFormat="1"/>
    <row r="390" s="808" customFormat="1"/>
    <row r="391" s="808" customFormat="1"/>
    <row r="392" s="808" customFormat="1"/>
    <row r="393" s="808" customFormat="1"/>
    <row r="394" s="808" customFormat="1"/>
    <row r="395" s="808" customFormat="1"/>
    <row r="396" s="808" customFormat="1"/>
  </sheetData>
  <sheetProtection algorithmName="SHA-512" hashValue="S6krl+h25ty/LnFu0piq9zxXLMi6Kg5A0gqplYetdNXZVPZFmwkN0KjfWadfcdsiYtsQ+7GA+qh/omxCNEmheg==" saltValue="OGwnSWta0v+6OzC5F/68lQ==" spinCount="100000" sheet="1" objects="1" scenarios="1"/>
  <mergeCells count="2">
    <mergeCell ref="A1:C1"/>
    <mergeCell ref="A2:H2"/>
  </mergeCells>
  <pageMargins left="0.7" right="0.7" top="0.75" bottom="0.75" header="0.3" footer="0.3"/>
  <pageSetup paperSize="8" scale="53"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theme="6"/>
    <pageSetUpPr fitToPage="1"/>
  </sheetPr>
  <dimension ref="A1:BF181"/>
  <sheetViews>
    <sheetView topLeftCell="A4" zoomScale="70" zoomScaleNormal="70" workbookViewId="0">
      <selection activeCell="R57" sqref="R57"/>
    </sheetView>
  </sheetViews>
  <sheetFormatPr defaultColWidth="11" defaultRowHeight="12.75"/>
  <cols>
    <col min="1" max="1" width="3" style="750" customWidth="1"/>
    <col min="2" max="2" width="10" style="750" customWidth="1"/>
    <col min="3" max="3" width="46.5703125" style="750" customWidth="1"/>
    <col min="4" max="4" width="20.5703125" style="750" hidden="1" customWidth="1"/>
    <col min="5" max="5" width="7.28515625" style="750" customWidth="1"/>
    <col min="6" max="6" width="12.7109375" style="753" customWidth="1"/>
    <col min="7" max="22" width="12.7109375" style="750" customWidth="1"/>
    <col min="23" max="23" width="14.85546875" style="804" customWidth="1"/>
    <col min="24" max="58" width="11" style="775"/>
    <col min="59" max="16384" width="11" style="751"/>
  </cols>
  <sheetData>
    <row r="1" spans="1:58" ht="27" customHeight="1">
      <c r="A1" s="2178" t="s">
        <v>1057</v>
      </c>
      <c r="B1" s="2178"/>
      <c r="C1" s="2178"/>
      <c r="D1" s="1975"/>
      <c r="E1" s="1847"/>
      <c r="F1" s="805"/>
      <c r="G1" s="805"/>
      <c r="H1" s="1847"/>
      <c r="I1" s="804"/>
      <c r="J1" s="804"/>
      <c r="K1" s="804"/>
      <c r="L1" s="804"/>
      <c r="M1" s="804"/>
      <c r="N1" s="804"/>
      <c r="O1" s="804"/>
      <c r="P1" s="804"/>
      <c r="Q1" s="804"/>
      <c r="R1" s="804"/>
      <c r="S1" s="804"/>
      <c r="T1" s="804"/>
      <c r="U1" s="804"/>
      <c r="V1" s="804"/>
    </row>
    <row r="2" spans="1:58" s="1430" customFormat="1" ht="24.95" customHeight="1">
      <c r="A2" s="1976" t="s">
        <v>1035</v>
      </c>
      <c r="B2" s="1977"/>
      <c r="C2" s="1977"/>
      <c r="D2" s="1978"/>
      <c r="E2" s="1977"/>
      <c r="F2" s="1428"/>
      <c r="G2" s="1428"/>
      <c r="H2" s="1977"/>
      <c r="I2" s="1428"/>
      <c r="J2" s="1428"/>
      <c r="K2" s="1428"/>
      <c r="L2" s="1428"/>
      <c r="M2" s="1428"/>
      <c r="N2" s="1428"/>
      <c r="O2" s="1428"/>
      <c r="P2" s="1428"/>
      <c r="Q2" s="1428"/>
      <c r="R2" s="1428"/>
      <c r="S2" s="1428"/>
      <c r="T2" s="1428"/>
      <c r="U2" s="1428"/>
      <c r="V2" s="1428"/>
      <c r="W2" s="1428"/>
      <c r="X2" s="1429"/>
      <c r="Y2" s="1429"/>
      <c r="Z2" s="1429"/>
      <c r="AA2" s="1429"/>
      <c r="AB2" s="1429"/>
      <c r="AC2" s="1429"/>
      <c r="AD2" s="1429"/>
      <c r="AE2" s="1429"/>
      <c r="AF2" s="1429"/>
      <c r="AG2" s="1429"/>
      <c r="AH2" s="1429"/>
      <c r="AI2" s="1429"/>
      <c r="AJ2" s="1429"/>
      <c r="AK2" s="1429"/>
      <c r="AL2" s="1429"/>
      <c r="AM2" s="1429"/>
      <c r="AN2" s="1429"/>
      <c r="AO2" s="1429"/>
      <c r="AP2" s="1429"/>
      <c r="AQ2" s="1429"/>
      <c r="AR2" s="1429"/>
      <c r="AS2" s="1429"/>
      <c r="AT2" s="1429"/>
      <c r="AU2" s="1429"/>
      <c r="AV2" s="1429"/>
      <c r="AW2" s="1429"/>
      <c r="AX2" s="1429"/>
      <c r="AY2" s="1429"/>
      <c r="AZ2" s="1429"/>
      <c r="BA2" s="1429"/>
      <c r="BB2" s="1429"/>
      <c r="BC2" s="1429"/>
      <c r="BD2" s="1429"/>
      <c r="BE2" s="1429"/>
      <c r="BF2" s="1429"/>
    </row>
    <row r="3" spans="1:58" ht="4.5" customHeight="1">
      <c r="A3" s="1406"/>
      <c r="B3" s="1447"/>
      <c r="C3" s="2197" t="s">
        <v>70</v>
      </c>
      <c r="D3" s="2197"/>
      <c r="E3" s="2197"/>
      <c r="F3" s="1408"/>
      <c r="G3" s="1407"/>
      <c r="H3" s="1407"/>
      <c r="I3" s="1407"/>
      <c r="J3" s="1407"/>
      <c r="K3" s="1407"/>
      <c r="L3" s="1407"/>
      <c r="M3" s="1407"/>
      <c r="N3" s="1407"/>
      <c r="O3" s="1407"/>
      <c r="P3" s="1407"/>
      <c r="Q3" s="1407"/>
      <c r="R3" s="1407"/>
      <c r="S3" s="1407"/>
      <c r="T3" s="1407"/>
      <c r="U3" s="1407"/>
      <c r="V3" s="1409"/>
    </row>
    <row r="4" spans="1:58" ht="12.75" customHeight="1">
      <c r="A4" s="1410"/>
      <c r="B4" s="1411"/>
      <c r="C4" s="2198"/>
      <c r="D4" s="2198"/>
      <c r="E4" s="2198"/>
      <c r="F4" s="1413"/>
      <c r="G4" s="1448">
        <v>1</v>
      </c>
      <c r="H4" s="1448">
        <v>2</v>
      </c>
      <c r="I4" s="1448">
        <v>3</v>
      </c>
      <c r="J4" s="1448">
        <v>4</v>
      </c>
      <c r="K4" s="1448">
        <v>5</v>
      </c>
      <c r="L4" s="1448">
        <v>6</v>
      </c>
      <c r="M4" s="1448">
        <v>7</v>
      </c>
      <c r="N4" s="1448">
        <v>8</v>
      </c>
      <c r="O4" s="1448">
        <v>9</v>
      </c>
      <c r="P4" s="1448">
        <v>10</v>
      </c>
      <c r="Q4" s="1448">
        <v>11</v>
      </c>
      <c r="R4" s="1448">
        <v>12</v>
      </c>
      <c r="S4" s="1448">
        <v>13</v>
      </c>
      <c r="T4" s="1448">
        <v>14</v>
      </c>
      <c r="U4" s="1448">
        <v>15</v>
      </c>
      <c r="V4" s="1414"/>
    </row>
    <row r="5" spans="1:58" ht="16.5" customHeight="1">
      <c r="A5" s="1415"/>
      <c r="B5" s="1416"/>
      <c r="C5" s="2199"/>
      <c r="D5" s="2199"/>
      <c r="E5" s="2199"/>
      <c r="F5" s="1449" t="s">
        <v>1</v>
      </c>
      <c r="G5" s="1450">
        <f>'3. DL invest.n.pl.AR pr.'!F5</f>
        <v>2017</v>
      </c>
      <c r="H5" s="1450">
        <f>'3. DL invest.n.pl.AR pr.'!G5</f>
        <v>2018</v>
      </c>
      <c r="I5" s="1450">
        <f>'3. DL invest.n.pl.AR pr.'!H5</f>
        <v>2019</v>
      </c>
      <c r="J5" s="1450">
        <f>'3. DL invest.n.pl.AR pr.'!I5</f>
        <v>2020</v>
      </c>
      <c r="K5" s="1450">
        <f>'3. DL invest.n.pl.AR pr.'!J5</f>
        <v>2021</v>
      </c>
      <c r="L5" s="1450">
        <f>'3. DL invest.n.pl.AR pr.'!K5</f>
        <v>2022</v>
      </c>
      <c r="M5" s="1450">
        <f>'3. DL invest.n.pl.AR pr.'!L5</f>
        <v>2023</v>
      </c>
      <c r="N5" s="1450">
        <f>'3. DL invest.n.pl.AR pr.'!M5</f>
        <v>2024</v>
      </c>
      <c r="O5" s="1450">
        <f>'3. DL invest.n.pl.AR pr.'!N5</f>
        <v>2025</v>
      </c>
      <c r="P5" s="1450">
        <f>'3. DL invest.n.pl.AR pr.'!O5</f>
        <v>2026</v>
      </c>
      <c r="Q5" s="1450">
        <f>'3. DL invest.n.pl.AR pr.'!P5</f>
        <v>2027</v>
      </c>
      <c r="R5" s="1450">
        <f>'3. DL invest.n.pl.AR pr.'!Q5</f>
        <v>2028</v>
      </c>
      <c r="S5" s="1450">
        <f>'3. DL invest.n.pl.AR pr.'!R5</f>
        <v>2029</v>
      </c>
      <c r="T5" s="1450">
        <f>'3. DL invest.n.pl.AR pr.'!S5</f>
        <v>2030</v>
      </c>
      <c r="U5" s="1450">
        <f>'3. DL invest.n.pl.AR pr.'!T5</f>
        <v>2031</v>
      </c>
      <c r="V5" s="1419" t="s">
        <v>2</v>
      </c>
      <c r="X5" s="1354"/>
      <c r="Y5" s="1354"/>
      <c r="Z5" s="1354"/>
      <c r="AA5" s="1354"/>
    </row>
    <row r="6" spans="1:58" s="775" customFormat="1">
      <c r="A6" s="804"/>
      <c r="B6" s="804"/>
      <c r="C6" s="804"/>
      <c r="D6" s="804"/>
      <c r="E6" s="804"/>
      <c r="F6" s="1356"/>
      <c r="G6" s="1357"/>
      <c r="H6" s="1357"/>
      <c r="I6" s="1357"/>
      <c r="J6" s="1357"/>
      <c r="K6" s="1357"/>
      <c r="L6" s="1357"/>
      <c r="M6" s="1357"/>
      <c r="N6" s="1357"/>
      <c r="O6" s="1357"/>
      <c r="P6" s="1357"/>
      <c r="Q6" s="1357"/>
      <c r="R6" s="1357"/>
      <c r="S6" s="1357"/>
      <c r="T6" s="1357"/>
      <c r="U6" s="1357"/>
      <c r="V6" s="1358"/>
      <c r="W6" s="1477"/>
      <c r="X6" s="1354"/>
    </row>
    <row r="7" spans="1:58" s="784" customFormat="1">
      <c r="A7" s="1420" t="s">
        <v>233</v>
      </c>
      <c r="B7" s="1421" t="s">
        <v>125</v>
      </c>
      <c r="C7" s="1421"/>
      <c r="D7" s="1421"/>
      <c r="E7" s="1421"/>
      <c r="F7" s="1421"/>
      <c r="G7" s="1422"/>
      <c r="H7" s="1422"/>
      <c r="I7" s="1422"/>
      <c r="J7" s="1422"/>
      <c r="K7" s="1422"/>
      <c r="L7" s="1422"/>
      <c r="M7" s="1422"/>
      <c r="N7" s="1422"/>
      <c r="O7" s="1422"/>
      <c r="P7" s="1422"/>
      <c r="Q7" s="1422"/>
      <c r="R7" s="1422"/>
      <c r="S7" s="1422"/>
      <c r="T7" s="1422"/>
      <c r="U7" s="1422"/>
      <c r="V7" s="1423"/>
      <c r="W7" s="1477"/>
      <c r="X7" s="1352"/>
      <c r="Y7" s="1352"/>
      <c r="Z7" s="1352"/>
      <c r="AA7" s="1352"/>
      <c r="AB7" s="1352"/>
      <c r="AC7" s="1352"/>
      <c r="AD7" s="1352"/>
      <c r="AE7" s="1352"/>
      <c r="AF7" s="1352"/>
      <c r="AG7" s="1352"/>
      <c r="AH7" s="1352"/>
      <c r="AI7" s="1352"/>
      <c r="AJ7" s="1352"/>
      <c r="AK7" s="1352"/>
      <c r="AL7" s="1352"/>
      <c r="AM7" s="1352"/>
      <c r="AN7" s="1352"/>
      <c r="AO7" s="1352"/>
      <c r="AP7" s="1352"/>
      <c r="AQ7" s="1352"/>
      <c r="AR7" s="1352"/>
      <c r="AS7" s="1352"/>
      <c r="AT7" s="1352"/>
      <c r="AU7" s="1352"/>
      <c r="AV7" s="1352"/>
      <c r="AW7" s="1352"/>
      <c r="AX7" s="1352"/>
      <c r="AY7" s="1352"/>
      <c r="AZ7" s="1352"/>
      <c r="BA7" s="1352"/>
      <c r="BB7" s="1352"/>
      <c r="BC7" s="1352"/>
      <c r="BD7" s="1352"/>
      <c r="BE7" s="1352"/>
      <c r="BF7" s="1352"/>
    </row>
    <row r="8" spans="1:58" s="775" customFormat="1">
      <c r="A8" s="804"/>
      <c r="B8" s="804"/>
      <c r="C8" s="804"/>
      <c r="D8" s="804"/>
      <c r="E8" s="804"/>
      <c r="F8" s="806"/>
      <c r="G8" s="1358"/>
      <c r="H8" s="1358"/>
      <c r="I8" s="1358"/>
      <c r="J8" s="1358"/>
      <c r="K8" s="1358"/>
      <c r="L8" s="1358"/>
      <c r="M8" s="1358"/>
      <c r="N8" s="1358"/>
      <c r="O8" s="1358"/>
      <c r="P8" s="1358"/>
      <c r="Q8" s="1358"/>
      <c r="R8" s="1358"/>
      <c r="S8" s="1358"/>
      <c r="T8" s="1358"/>
      <c r="U8" s="1358"/>
      <c r="V8" s="1358"/>
      <c r="W8" s="1477"/>
      <c r="X8" s="1354"/>
    </row>
    <row r="9" spans="1:58" s="757" customFormat="1">
      <c r="A9" s="1359"/>
      <c r="B9" s="793" t="s">
        <v>3</v>
      </c>
      <c r="C9" s="1360" t="s">
        <v>974</v>
      </c>
      <c r="D9" s="755"/>
      <c r="E9" s="755"/>
      <c r="F9" s="1361" t="s">
        <v>873</v>
      </c>
      <c r="G9" s="1453">
        <f>SUM(G10:G15)</f>
        <v>360</v>
      </c>
      <c r="H9" s="1454">
        <f t="shared" ref="H9:U9" si="0">SUM(H10:H15)</f>
        <v>360</v>
      </c>
      <c r="I9" s="1454">
        <f t="shared" ref="I9:J9" si="1">SUM(I10:I15)</f>
        <v>360</v>
      </c>
      <c r="J9" s="1454">
        <f t="shared" si="1"/>
        <v>360</v>
      </c>
      <c r="K9" s="1454">
        <f t="shared" si="0"/>
        <v>360</v>
      </c>
      <c r="L9" s="1454">
        <f t="shared" si="0"/>
        <v>360</v>
      </c>
      <c r="M9" s="1454">
        <f t="shared" si="0"/>
        <v>360</v>
      </c>
      <c r="N9" s="1454">
        <f t="shared" si="0"/>
        <v>360</v>
      </c>
      <c r="O9" s="1454">
        <f t="shared" si="0"/>
        <v>360</v>
      </c>
      <c r="P9" s="1454">
        <f t="shared" si="0"/>
        <v>360</v>
      </c>
      <c r="Q9" s="1454">
        <f t="shared" si="0"/>
        <v>360</v>
      </c>
      <c r="R9" s="1454">
        <f t="shared" si="0"/>
        <v>360</v>
      </c>
      <c r="S9" s="1454">
        <f t="shared" si="0"/>
        <v>360</v>
      </c>
      <c r="T9" s="1454">
        <f t="shared" si="0"/>
        <v>360</v>
      </c>
      <c r="U9" s="1454">
        <f t="shared" si="0"/>
        <v>360</v>
      </c>
      <c r="V9" s="1464">
        <f t="shared" ref="V9:V28" si="2">SUM(G9:U9)</f>
        <v>5400</v>
      </c>
      <c r="W9" s="1478" t="b">
        <f>V9='10. AL soc.ekonom. anal.'!T10</f>
        <v>1</v>
      </c>
      <c r="X9" s="1355"/>
      <c r="Y9" s="778"/>
      <c r="Z9" s="778"/>
      <c r="AA9" s="778"/>
      <c r="AB9" s="778"/>
      <c r="AC9" s="778"/>
      <c r="AD9" s="778"/>
      <c r="AE9" s="778"/>
      <c r="AF9" s="778"/>
      <c r="AG9" s="778"/>
      <c r="AH9" s="778"/>
      <c r="AI9" s="778"/>
      <c r="AJ9" s="778"/>
      <c r="AK9" s="778"/>
      <c r="AL9" s="778"/>
      <c r="AM9" s="778"/>
      <c r="AN9" s="778"/>
      <c r="AO9" s="778"/>
      <c r="AP9" s="778"/>
      <c r="AQ9" s="778"/>
      <c r="AR9" s="778"/>
      <c r="AS9" s="778"/>
      <c r="AT9" s="778"/>
      <c r="AU9" s="778"/>
      <c r="AV9" s="778"/>
      <c r="AW9" s="778"/>
      <c r="AX9" s="778"/>
      <c r="AY9" s="778"/>
      <c r="AZ9" s="778"/>
      <c r="BA9" s="778"/>
      <c r="BB9" s="778"/>
      <c r="BC9" s="778"/>
      <c r="BD9" s="778"/>
      <c r="BE9" s="778"/>
      <c r="BF9" s="778"/>
    </row>
    <row r="10" spans="1:58" s="777" customFormat="1">
      <c r="A10" s="1362"/>
      <c r="B10" s="820" t="s">
        <v>64</v>
      </c>
      <c r="C10" s="820" t="str">
        <f>'3. DL invest.n.pl.AR pr.'!C10</f>
        <v>Ieņēmumi…</v>
      </c>
      <c r="D10" s="776"/>
      <c r="E10" s="1659">
        <v>0</v>
      </c>
      <c r="F10" s="1343" t="s">
        <v>873</v>
      </c>
      <c r="G10" s="1456">
        <f>('3. DL invest.n.pl.AR pr.'!F10-'2. DL invest.n.pl.BEZ pr.'!E10)*(1+$E10)</f>
        <v>360</v>
      </c>
      <c r="H10" s="1457">
        <f>('3. DL invest.n.pl.AR pr.'!G10-'2. DL invest.n.pl.BEZ pr.'!F10)*(1+$E10)</f>
        <v>360</v>
      </c>
      <c r="I10" s="1457">
        <f>('3. DL invest.n.pl.AR pr.'!H10-'2. DL invest.n.pl.BEZ pr.'!G10)*(1+$E10)</f>
        <v>360</v>
      </c>
      <c r="J10" s="1457">
        <f>('3. DL invest.n.pl.AR pr.'!I10-'2. DL invest.n.pl.BEZ pr.'!H10)*(1+$E10)</f>
        <v>360</v>
      </c>
      <c r="K10" s="1457">
        <f>('3. DL invest.n.pl.AR pr.'!J10-'2. DL invest.n.pl.BEZ pr.'!I10)*(1+$E10)</f>
        <v>360</v>
      </c>
      <c r="L10" s="1457">
        <f>('3. DL invest.n.pl.AR pr.'!K10-'2. DL invest.n.pl.BEZ pr.'!J10)*(1+$E10)</f>
        <v>360</v>
      </c>
      <c r="M10" s="1457">
        <f>('3. DL invest.n.pl.AR pr.'!L10-'2. DL invest.n.pl.BEZ pr.'!K10)*(1+$E10)</f>
        <v>360</v>
      </c>
      <c r="N10" s="1457">
        <f>('3. DL invest.n.pl.AR pr.'!M10-'2. DL invest.n.pl.BEZ pr.'!L10)*(1+$E10)</f>
        <v>360</v>
      </c>
      <c r="O10" s="1457">
        <f>('3. DL invest.n.pl.AR pr.'!N10-'2. DL invest.n.pl.BEZ pr.'!M10)*(1+$E10)</f>
        <v>360</v>
      </c>
      <c r="P10" s="1457">
        <f>('3. DL invest.n.pl.AR pr.'!O10-'2. DL invest.n.pl.BEZ pr.'!N10)*(1+$E10)</f>
        <v>360</v>
      </c>
      <c r="Q10" s="1457">
        <f>('3. DL invest.n.pl.AR pr.'!P10-'2. DL invest.n.pl.BEZ pr.'!O10)*(1+$E10)</f>
        <v>360</v>
      </c>
      <c r="R10" s="1457">
        <f>('3. DL invest.n.pl.AR pr.'!Q10-'2. DL invest.n.pl.BEZ pr.'!P10)*(1+$E10)</f>
        <v>360</v>
      </c>
      <c r="S10" s="1457">
        <f>('3. DL invest.n.pl.AR pr.'!R10-'2. DL invest.n.pl.BEZ pr.'!Q10)*(1+$E10)</f>
        <v>360</v>
      </c>
      <c r="T10" s="1457">
        <f>('3. DL invest.n.pl.AR pr.'!S10-'2. DL invest.n.pl.BEZ pr.'!R10)*(1+$E10)</f>
        <v>360</v>
      </c>
      <c r="U10" s="1457">
        <f>('3. DL invest.n.pl.AR pr.'!T10-'2. DL invest.n.pl.BEZ pr.'!S10)*(1+$E10)</f>
        <v>360</v>
      </c>
      <c r="V10" s="1465">
        <f t="shared" si="2"/>
        <v>5400</v>
      </c>
      <c r="W10" s="1480"/>
      <c r="X10" s="808"/>
      <c r="Y10" s="808"/>
      <c r="Z10" s="808"/>
      <c r="AA10" s="808"/>
      <c r="AB10" s="808"/>
      <c r="AC10" s="808"/>
      <c r="AD10" s="808"/>
      <c r="AE10" s="808"/>
      <c r="AF10" s="808"/>
      <c r="AG10" s="808"/>
      <c r="AH10" s="808"/>
      <c r="AI10" s="808"/>
      <c r="AJ10" s="808"/>
      <c r="AK10" s="808"/>
      <c r="AL10" s="808"/>
      <c r="AM10" s="808"/>
      <c r="AN10" s="808"/>
      <c r="AO10" s="808"/>
      <c r="AP10" s="808"/>
      <c r="AQ10" s="808"/>
      <c r="AR10" s="808"/>
      <c r="AS10" s="808"/>
      <c r="AT10" s="808"/>
      <c r="AU10" s="808"/>
      <c r="AV10" s="808"/>
      <c r="AW10" s="808"/>
      <c r="AX10" s="808"/>
      <c r="AY10" s="808"/>
      <c r="AZ10" s="808"/>
      <c r="BA10" s="808"/>
      <c r="BB10" s="808"/>
      <c r="BC10" s="808"/>
      <c r="BD10" s="808"/>
      <c r="BE10" s="808"/>
      <c r="BF10" s="808"/>
    </row>
    <row r="11" spans="1:58" s="777" customFormat="1">
      <c r="A11" s="1362"/>
      <c r="B11" s="820" t="s">
        <v>65</v>
      </c>
      <c r="C11" s="820" t="str">
        <f>'3. DL invest.n.pl.AR pr.'!C11</f>
        <v>Ieņēmumi…</v>
      </c>
      <c r="D11" s="776"/>
      <c r="E11" s="1659">
        <v>0</v>
      </c>
      <c r="F11" s="1343" t="s">
        <v>873</v>
      </c>
      <c r="G11" s="1456">
        <f>('3. DL invest.n.pl.AR pr.'!F11-'2. DL invest.n.pl.BEZ pr.'!E11)*(1+$E11)</f>
        <v>0</v>
      </c>
      <c r="H11" s="1457">
        <f>('3. DL invest.n.pl.AR pr.'!G11-'2. DL invest.n.pl.BEZ pr.'!F11)*(1+$E11)</f>
        <v>0</v>
      </c>
      <c r="I11" s="1457">
        <f>('3. DL invest.n.pl.AR pr.'!H11-'2. DL invest.n.pl.BEZ pr.'!G11)*(1+$E11)</f>
        <v>0</v>
      </c>
      <c r="J11" s="1457">
        <f>('3. DL invest.n.pl.AR pr.'!I11-'2. DL invest.n.pl.BEZ pr.'!H11)*(1+$E11)</f>
        <v>0</v>
      </c>
      <c r="K11" s="1457">
        <f>('3. DL invest.n.pl.AR pr.'!J11-'2. DL invest.n.pl.BEZ pr.'!I11)*(1+$E11)</f>
        <v>0</v>
      </c>
      <c r="L11" s="1457">
        <f>('3. DL invest.n.pl.AR pr.'!K11-'2. DL invest.n.pl.BEZ pr.'!J11)*(1+$E11)</f>
        <v>0</v>
      </c>
      <c r="M11" s="1457">
        <f>('3. DL invest.n.pl.AR pr.'!L11-'2. DL invest.n.pl.BEZ pr.'!K11)*(1+$E11)</f>
        <v>0</v>
      </c>
      <c r="N11" s="1457">
        <f>('3. DL invest.n.pl.AR pr.'!M11-'2. DL invest.n.pl.BEZ pr.'!L11)*(1+$E11)</f>
        <v>0</v>
      </c>
      <c r="O11" s="1457">
        <f>('3. DL invest.n.pl.AR pr.'!N11-'2. DL invest.n.pl.BEZ pr.'!M11)*(1+$E11)</f>
        <v>0</v>
      </c>
      <c r="P11" s="1457">
        <f>('3. DL invest.n.pl.AR pr.'!O11-'2. DL invest.n.pl.BEZ pr.'!N11)*(1+$E11)</f>
        <v>0</v>
      </c>
      <c r="Q11" s="1457">
        <f>('3. DL invest.n.pl.AR pr.'!P11-'2. DL invest.n.pl.BEZ pr.'!O11)*(1+$E11)</f>
        <v>0</v>
      </c>
      <c r="R11" s="1457">
        <f>('3. DL invest.n.pl.AR pr.'!Q11-'2. DL invest.n.pl.BEZ pr.'!P11)*(1+$E11)</f>
        <v>0</v>
      </c>
      <c r="S11" s="1457">
        <f>('3. DL invest.n.pl.AR pr.'!R11-'2. DL invest.n.pl.BEZ pr.'!Q11)*(1+$E11)</f>
        <v>0</v>
      </c>
      <c r="T11" s="1457">
        <f>('3. DL invest.n.pl.AR pr.'!S11-'2. DL invest.n.pl.BEZ pr.'!R11)*(1+$E11)</f>
        <v>0</v>
      </c>
      <c r="U11" s="1457">
        <f>('3. DL invest.n.pl.AR pr.'!T11-'2. DL invest.n.pl.BEZ pr.'!S11)*(1+$E11)</f>
        <v>0</v>
      </c>
      <c r="V11" s="1465">
        <f t="shared" si="2"/>
        <v>0</v>
      </c>
      <c r="W11" s="1480"/>
      <c r="X11" s="808"/>
      <c r="Y11" s="808"/>
      <c r="Z11" s="808"/>
      <c r="AA11" s="808"/>
      <c r="AB11" s="808"/>
      <c r="AC11" s="808"/>
      <c r="AD11" s="808"/>
      <c r="AE11" s="808"/>
      <c r="AF11" s="808"/>
      <c r="AG11" s="808"/>
      <c r="AH11" s="808"/>
      <c r="AI11" s="808"/>
      <c r="AJ11" s="808"/>
      <c r="AK11" s="808"/>
      <c r="AL11" s="808"/>
      <c r="AM11" s="808"/>
      <c r="AN11" s="808"/>
      <c r="AO11" s="808"/>
      <c r="AP11" s="808"/>
      <c r="AQ11" s="808"/>
      <c r="AR11" s="808"/>
      <c r="AS11" s="808"/>
      <c r="AT11" s="808"/>
      <c r="AU11" s="808"/>
      <c r="AV11" s="808"/>
      <c r="AW11" s="808"/>
      <c r="AX11" s="808"/>
      <c r="AY11" s="808"/>
      <c r="AZ11" s="808"/>
      <c r="BA11" s="808"/>
      <c r="BB11" s="808"/>
      <c r="BC11" s="808"/>
      <c r="BD11" s="808"/>
      <c r="BE11" s="808"/>
      <c r="BF11" s="808"/>
    </row>
    <row r="12" spans="1:58" s="777" customFormat="1">
      <c r="A12" s="1362"/>
      <c r="B12" s="820" t="s">
        <v>842</v>
      </c>
      <c r="C12" s="820" t="str">
        <f>'3. DL invest.n.pl.AR pr.'!C12</f>
        <v>Ieņēmumi…</v>
      </c>
      <c r="D12" s="776"/>
      <c r="E12" s="1659">
        <v>0</v>
      </c>
      <c r="F12" s="1343" t="s">
        <v>873</v>
      </c>
      <c r="G12" s="1456">
        <f>('3. DL invest.n.pl.AR pr.'!F12-'2. DL invest.n.pl.BEZ pr.'!E12)*(1+$E12)</f>
        <v>0</v>
      </c>
      <c r="H12" s="1457">
        <f>('3. DL invest.n.pl.AR pr.'!G12-'2. DL invest.n.pl.BEZ pr.'!F12)*(1+$E12)</f>
        <v>0</v>
      </c>
      <c r="I12" s="1457">
        <f>('3. DL invest.n.pl.AR pr.'!H12-'2. DL invest.n.pl.BEZ pr.'!G12)*(1+$E12)</f>
        <v>0</v>
      </c>
      <c r="J12" s="1457">
        <f>('3. DL invest.n.pl.AR pr.'!I12-'2. DL invest.n.pl.BEZ pr.'!H12)*(1+$E12)</f>
        <v>0</v>
      </c>
      <c r="K12" s="1457">
        <f>('3. DL invest.n.pl.AR pr.'!J12-'2. DL invest.n.pl.BEZ pr.'!I12)*(1+$E12)</f>
        <v>0</v>
      </c>
      <c r="L12" s="1457">
        <f>('3. DL invest.n.pl.AR pr.'!K12-'2. DL invest.n.pl.BEZ pr.'!J12)*(1+$E12)</f>
        <v>0</v>
      </c>
      <c r="M12" s="1457">
        <f>('3. DL invest.n.pl.AR pr.'!L12-'2. DL invest.n.pl.BEZ pr.'!K12)*(1+$E12)</f>
        <v>0</v>
      </c>
      <c r="N12" s="1457">
        <f>('3. DL invest.n.pl.AR pr.'!M12-'2. DL invest.n.pl.BEZ pr.'!L12)*(1+$E12)</f>
        <v>0</v>
      </c>
      <c r="O12" s="1457">
        <f>('3. DL invest.n.pl.AR pr.'!N12-'2. DL invest.n.pl.BEZ pr.'!M12)*(1+$E12)</f>
        <v>0</v>
      </c>
      <c r="P12" s="1457">
        <f>('3. DL invest.n.pl.AR pr.'!O12-'2. DL invest.n.pl.BEZ pr.'!N12)*(1+$E12)</f>
        <v>0</v>
      </c>
      <c r="Q12" s="1457">
        <f>('3. DL invest.n.pl.AR pr.'!P12-'2. DL invest.n.pl.BEZ pr.'!O12)*(1+$E12)</f>
        <v>0</v>
      </c>
      <c r="R12" s="1457">
        <f>('3. DL invest.n.pl.AR pr.'!Q12-'2. DL invest.n.pl.BEZ pr.'!P12)*(1+$E12)</f>
        <v>0</v>
      </c>
      <c r="S12" s="1457">
        <f>('3. DL invest.n.pl.AR pr.'!R12-'2. DL invest.n.pl.BEZ pr.'!Q12)*(1+$E12)</f>
        <v>0</v>
      </c>
      <c r="T12" s="1457">
        <f>('3. DL invest.n.pl.AR pr.'!S12-'2. DL invest.n.pl.BEZ pr.'!R12)*(1+$E12)</f>
        <v>0</v>
      </c>
      <c r="U12" s="1457">
        <f>('3. DL invest.n.pl.AR pr.'!T12-'2. DL invest.n.pl.BEZ pr.'!S12)*(1+$E12)</f>
        <v>0</v>
      </c>
      <c r="V12" s="1465">
        <f t="shared" si="2"/>
        <v>0</v>
      </c>
      <c r="W12" s="1480"/>
      <c r="X12" s="808"/>
      <c r="Y12" s="808"/>
      <c r="Z12" s="808"/>
      <c r="AA12" s="808"/>
      <c r="AB12" s="808"/>
      <c r="AC12" s="808"/>
      <c r="AD12" s="808"/>
      <c r="AE12" s="808"/>
      <c r="AF12" s="808"/>
      <c r="AG12" s="808"/>
      <c r="AH12" s="808"/>
      <c r="AI12" s="808"/>
      <c r="AJ12" s="808"/>
      <c r="AK12" s="808"/>
      <c r="AL12" s="808"/>
      <c r="AM12" s="808"/>
      <c r="AN12" s="808"/>
      <c r="AO12" s="808"/>
      <c r="AP12" s="808"/>
      <c r="AQ12" s="808"/>
      <c r="AR12" s="808"/>
      <c r="AS12" s="808"/>
      <c r="AT12" s="808"/>
      <c r="AU12" s="808"/>
      <c r="AV12" s="808"/>
      <c r="AW12" s="808"/>
      <c r="AX12" s="808"/>
      <c r="AY12" s="808"/>
      <c r="AZ12" s="808"/>
      <c r="BA12" s="808"/>
      <c r="BB12" s="808"/>
      <c r="BC12" s="808"/>
      <c r="BD12" s="808"/>
      <c r="BE12" s="808"/>
      <c r="BF12" s="808"/>
    </row>
    <row r="13" spans="1:58" s="777" customFormat="1">
      <c r="A13" s="1362"/>
      <c r="B13" s="820" t="s">
        <v>843</v>
      </c>
      <c r="C13" s="820" t="str">
        <f>'3. DL invest.n.pl.AR pr.'!C13</f>
        <v>Ieņēmumi…</v>
      </c>
      <c r="D13" s="776"/>
      <c r="E13" s="1659">
        <v>0</v>
      </c>
      <c r="F13" s="1343" t="s">
        <v>873</v>
      </c>
      <c r="G13" s="1456">
        <f>('3. DL invest.n.pl.AR pr.'!F13-'2. DL invest.n.pl.BEZ pr.'!E13)*(1+$E13)</f>
        <v>0</v>
      </c>
      <c r="H13" s="1457">
        <f>('3. DL invest.n.pl.AR pr.'!G13-'2. DL invest.n.pl.BEZ pr.'!F13)*(1+$E13)</f>
        <v>0</v>
      </c>
      <c r="I13" s="1457">
        <f>('3. DL invest.n.pl.AR pr.'!H13-'2. DL invest.n.pl.BEZ pr.'!G13)*(1+$E13)</f>
        <v>0</v>
      </c>
      <c r="J13" s="1457">
        <f>('3. DL invest.n.pl.AR pr.'!I13-'2. DL invest.n.pl.BEZ pr.'!H13)*(1+$E13)</f>
        <v>0</v>
      </c>
      <c r="K13" s="1457">
        <f>('3. DL invest.n.pl.AR pr.'!J13-'2. DL invest.n.pl.BEZ pr.'!I13)*(1+$E13)</f>
        <v>0</v>
      </c>
      <c r="L13" s="1457">
        <f>('3. DL invest.n.pl.AR pr.'!K13-'2. DL invest.n.pl.BEZ pr.'!J13)*(1+$E13)</f>
        <v>0</v>
      </c>
      <c r="M13" s="1457">
        <f>('3. DL invest.n.pl.AR pr.'!L13-'2. DL invest.n.pl.BEZ pr.'!K13)*(1+$E13)</f>
        <v>0</v>
      </c>
      <c r="N13" s="1457">
        <f>('3. DL invest.n.pl.AR pr.'!M13-'2. DL invest.n.pl.BEZ pr.'!L13)*(1+$E13)</f>
        <v>0</v>
      </c>
      <c r="O13" s="1457">
        <f>('3. DL invest.n.pl.AR pr.'!N13-'2. DL invest.n.pl.BEZ pr.'!M13)*(1+$E13)</f>
        <v>0</v>
      </c>
      <c r="P13" s="1457">
        <f>('3. DL invest.n.pl.AR pr.'!O13-'2. DL invest.n.pl.BEZ pr.'!N13)*(1+$E13)</f>
        <v>0</v>
      </c>
      <c r="Q13" s="1457">
        <f>('3. DL invest.n.pl.AR pr.'!P13-'2. DL invest.n.pl.BEZ pr.'!O13)*(1+$E13)</f>
        <v>0</v>
      </c>
      <c r="R13" s="1457">
        <f>('3. DL invest.n.pl.AR pr.'!Q13-'2. DL invest.n.pl.BEZ pr.'!P13)*(1+$E13)</f>
        <v>0</v>
      </c>
      <c r="S13" s="1457">
        <f>('3. DL invest.n.pl.AR pr.'!R13-'2. DL invest.n.pl.BEZ pr.'!Q13)*(1+$E13)</f>
        <v>0</v>
      </c>
      <c r="T13" s="1457">
        <f>('3. DL invest.n.pl.AR pr.'!S13-'2. DL invest.n.pl.BEZ pr.'!R13)*(1+$E13)</f>
        <v>0</v>
      </c>
      <c r="U13" s="1457">
        <f>('3. DL invest.n.pl.AR pr.'!T13-'2. DL invest.n.pl.BEZ pr.'!S13)*(1+$E13)</f>
        <v>0</v>
      </c>
      <c r="V13" s="1465">
        <f t="shared" si="2"/>
        <v>0</v>
      </c>
      <c r="W13" s="1480"/>
      <c r="X13" s="808"/>
      <c r="Y13" s="808"/>
      <c r="Z13" s="808"/>
      <c r="AA13" s="808"/>
      <c r="AB13" s="808"/>
      <c r="AC13" s="808"/>
      <c r="AD13" s="808"/>
      <c r="AE13" s="808"/>
      <c r="AF13" s="808"/>
      <c r="AG13" s="808"/>
      <c r="AH13" s="808"/>
      <c r="AI13" s="808"/>
      <c r="AJ13" s="808"/>
      <c r="AK13" s="808"/>
      <c r="AL13" s="808"/>
      <c r="AM13" s="808"/>
      <c r="AN13" s="808"/>
      <c r="AO13" s="808"/>
      <c r="AP13" s="808"/>
      <c r="AQ13" s="808"/>
      <c r="AR13" s="808"/>
      <c r="AS13" s="808"/>
      <c r="AT13" s="808"/>
      <c r="AU13" s="808"/>
      <c r="AV13" s="808"/>
      <c r="AW13" s="808"/>
      <c r="AX13" s="808"/>
      <c r="AY13" s="808"/>
      <c r="AZ13" s="808"/>
      <c r="BA13" s="808"/>
      <c r="BB13" s="808"/>
      <c r="BC13" s="808"/>
      <c r="BD13" s="808"/>
      <c r="BE13" s="808"/>
      <c r="BF13" s="808"/>
    </row>
    <row r="14" spans="1:58" s="777" customFormat="1">
      <c r="A14" s="1362"/>
      <c r="B14" s="820" t="s">
        <v>844</v>
      </c>
      <c r="C14" s="820" t="str">
        <f>'3. DL invest.n.pl.AR pr.'!C14</f>
        <v>Ieņēmumi….</v>
      </c>
      <c r="D14" s="776"/>
      <c r="E14" s="1659">
        <v>0</v>
      </c>
      <c r="F14" s="1343" t="s">
        <v>873</v>
      </c>
      <c r="G14" s="1456">
        <f>('3. DL invest.n.pl.AR pr.'!F14-'2. DL invest.n.pl.BEZ pr.'!E14)*(1+$E14)</f>
        <v>0</v>
      </c>
      <c r="H14" s="1457">
        <f>('3. DL invest.n.pl.AR pr.'!G14-'2. DL invest.n.pl.BEZ pr.'!F14)*(1+$E14)</f>
        <v>0</v>
      </c>
      <c r="I14" s="1457">
        <f>('3. DL invest.n.pl.AR pr.'!H14-'2. DL invest.n.pl.BEZ pr.'!G14)*(1+$E14)</f>
        <v>0</v>
      </c>
      <c r="J14" s="1457">
        <f>('3. DL invest.n.pl.AR pr.'!I14-'2. DL invest.n.pl.BEZ pr.'!H14)*(1+$E14)</f>
        <v>0</v>
      </c>
      <c r="K14" s="1457">
        <f>('3. DL invest.n.pl.AR pr.'!J14-'2. DL invest.n.pl.BEZ pr.'!I14)*(1+$E14)</f>
        <v>0</v>
      </c>
      <c r="L14" s="1457">
        <f>('3. DL invest.n.pl.AR pr.'!K14-'2. DL invest.n.pl.BEZ pr.'!J14)*(1+$E14)</f>
        <v>0</v>
      </c>
      <c r="M14" s="1457">
        <f>('3. DL invest.n.pl.AR pr.'!L14-'2. DL invest.n.pl.BEZ pr.'!K14)*(1+$E14)</f>
        <v>0</v>
      </c>
      <c r="N14" s="1457">
        <f>('3. DL invest.n.pl.AR pr.'!M14-'2. DL invest.n.pl.BEZ pr.'!L14)*(1+$E14)</f>
        <v>0</v>
      </c>
      <c r="O14" s="1457">
        <f>('3. DL invest.n.pl.AR pr.'!N14-'2. DL invest.n.pl.BEZ pr.'!M14)*(1+$E14)</f>
        <v>0</v>
      </c>
      <c r="P14" s="1457">
        <f>('3. DL invest.n.pl.AR pr.'!O14-'2. DL invest.n.pl.BEZ pr.'!N14)*(1+$E14)</f>
        <v>0</v>
      </c>
      <c r="Q14" s="1457">
        <f>('3. DL invest.n.pl.AR pr.'!P14-'2. DL invest.n.pl.BEZ pr.'!O14)*(1+$E14)</f>
        <v>0</v>
      </c>
      <c r="R14" s="1457">
        <f>('3. DL invest.n.pl.AR pr.'!Q14-'2. DL invest.n.pl.BEZ pr.'!P14)*(1+$E14)</f>
        <v>0</v>
      </c>
      <c r="S14" s="1457">
        <f>('3. DL invest.n.pl.AR pr.'!R14-'2. DL invest.n.pl.BEZ pr.'!Q14)*(1+$E14)</f>
        <v>0</v>
      </c>
      <c r="T14" s="1457">
        <f>('3. DL invest.n.pl.AR pr.'!S14-'2. DL invest.n.pl.BEZ pr.'!R14)*(1+$E14)</f>
        <v>0</v>
      </c>
      <c r="U14" s="1457">
        <f>('3. DL invest.n.pl.AR pr.'!T14-'2. DL invest.n.pl.BEZ pr.'!S14)*(1+$E14)</f>
        <v>0</v>
      </c>
      <c r="V14" s="1465">
        <f t="shared" si="2"/>
        <v>0</v>
      </c>
      <c r="W14" s="1480"/>
      <c r="X14" s="808"/>
      <c r="Y14" s="808"/>
      <c r="Z14" s="808"/>
      <c r="AA14" s="808"/>
      <c r="AB14" s="808"/>
      <c r="AC14" s="808"/>
      <c r="AD14" s="808"/>
      <c r="AE14" s="808"/>
      <c r="AF14" s="808"/>
      <c r="AG14" s="808"/>
      <c r="AH14" s="808"/>
      <c r="AI14" s="808"/>
      <c r="AJ14" s="808"/>
      <c r="AK14" s="808"/>
      <c r="AL14" s="808"/>
      <c r="AM14" s="808"/>
      <c r="AN14" s="808"/>
      <c r="AO14" s="808"/>
      <c r="AP14" s="808"/>
      <c r="AQ14" s="808"/>
      <c r="AR14" s="808"/>
      <c r="AS14" s="808"/>
      <c r="AT14" s="808"/>
      <c r="AU14" s="808"/>
      <c r="AV14" s="808"/>
      <c r="AW14" s="808"/>
      <c r="AX14" s="808"/>
      <c r="AY14" s="808"/>
      <c r="AZ14" s="808"/>
      <c r="BA14" s="808"/>
      <c r="BB14" s="808"/>
      <c r="BC14" s="808"/>
      <c r="BD14" s="808"/>
      <c r="BE14" s="808"/>
      <c r="BF14" s="808"/>
    </row>
    <row r="15" spans="1:58" s="777" customFormat="1">
      <c r="A15" s="1362"/>
      <c r="B15" s="820" t="s">
        <v>1072</v>
      </c>
      <c r="C15" s="820" t="str">
        <f>'3. DL invest.n.pl.AR pr.'!C15</f>
        <v>Ieņēmumi….</v>
      </c>
      <c r="D15" s="776"/>
      <c r="E15" s="1659">
        <v>0</v>
      </c>
      <c r="F15" s="1343" t="s">
        <v>873</v>
      </c>
      <c r="G15" s="1456">
        <f>('3. DL invest.n.pl.AR pr.'!F15-'2. DL invest.n.pl.BEZ pr.'!E15)*(1+$E15)</f>
        <v>0</v>
      </c>
      <c r="H15" s="1457">
        <f>('3. DL invest.n.pl.AR pr.'!G15-'2. DL invest.n.pl.BEZ pr.'!F15)*(1+$E15)</f>
        <v>0</v>
      </c>
      <c r="I15" s="1457">
        <f>('3. DL invest.n.pl.AR pr.'!H15-'2. DL invest.n.pl.BEZ pr.'!G15)*(1+$E15)</f>
        <v>0</v>
      </c>
      <c r="J15" s="1457">
        <f>('3. DL invest.n.pl.AR pr.'!I15-'2. DL invest.n.pl.BEZ pr.'!H15)*(1+$E15)</f>
        <v>0</v>
      </c>
      <c r="K15" s="1457">
        <f>('3. DL invest.n.pl.AR pr.'!J15-'2. DL invest.n.pl.BEZ pr.'!I15)*(1+$E15)</f>
        <v>0</v>
      </c>
      <c r="L15" s="1457">
        <f>('3. DL invest.n.pl.AR pr.'!K15-'2. DL invest.n.pl.BEZ pr.'!J15)*(1+$E15)</f>
        <v>0</v>
      </c>
      <c r="M15" s="1457">
        <f>('3. DL invest.n.pl.AR pr.'!L15-'2. DL invest.n.pl.BEZ pr.'!K15)*(1+$E15)</f>
        <v>0</v>
      </c>
      <c r="N15" s="1457">
        <f>('3. DL invest.n.pl.AR pr.'!M15-'2. DL invest.n.pl.BEZ pr.'!L15)*(1+$E15)</f>
        <v>0</v>
      </c>
      <c r="O15" s="1457">
        <f>('3. DL invest.n.pl.AR pr.'!N15-'2. DL invest.n.pl.BEZ pr.'!M15)*(1+$E15)</f>
        <v>0</v>
      </c>
      <c r="P15" s="1457">
        <f>('3. DL invest.n.pl.AR pr.'!O15-'2. DL invest.n.pl.BEZ pr.'!N15)*(1+$E15)</f>
        <v>0</v>
      </c>
      <c r="Q15" s="1457">
        <f>('3. DL invest.n.pl.AR pr.'!P15-'2. DL invest.n.pl.BEZ pr.'!O15)*(1+$E15)</f>
        <v>0</v>
      </c>
      <c r="R15" s="1457">
        <f>('3. DL invest.n.pl.AR pr.'!Q15-'2. DL invest.n.pl.BEZ pr.'!P15)*(1+$E15)</f>
        <v>0</v>
      </c>
      <c r="S15" s="1457">
        <f>('3. DL invest.n.pl.AR pr.'!R15-'2. DL invest.n.pl.BEZ pr.'!Q15)*(1+$E15)</f>
        <v>0</v>
      </c>
      <c r="T15" s="1457">
        <f>('3. DL invest.n.pl.AR pr.'!S15-'2. DL invest.n.pl.BEZ pr.'!R15)*(1+$E15)</f>
        <v>0</v>
      </c>
      <c r="U15" s="1457">
        <f>('3. DL invest.n.pl.AR pr.'!T15-'2. DL invest.n.pl.BEZ pr.'!S15)*(1+$E15)</f>
        <v>0</v>
      </c>
      <c r="V15" s="1465">
        <f t="shared" si="2"/>
        <v>0</v>
      </c>
      <c r="W15" s="1480"/>
      <c r="X15" s="808"/>
      <c r="Y15" s="808"/>
      <c r="Z15" s="808"/>
      <c r="AA15" s="808"/>
      <c r="AB15" s="808"/>
      <c r="AC15" s="808"/>
      <c r="AD15" s="808"/>
      <c r="AE15" s="808"/>
      <c r="AF15" s="808"/>
      <c r="AG15" s="808"/>
      <c r="AH15" s="808"/>
      <c r="AI15" s="808"/>
      <c r="AJ15" s="808"/>
      <c r="AK15" s="808"/>
      <c r="AL15" s="808"/>
      <c r="AM15" s="808"/>
      <c r="AN15" s="808"/>
      <c r="AO15" s="808"/>
      <c r="AP15" s="808"/>
      <c r="AQ15" s="808"/>
      <c r="AR15" s="808"/>
      <c r="AS15" s="808"/>
      <c r="AT15" s="808"/>
      <c r="AU15" s="808"/>
      <c r="AV15" s="808"/>
      <c r="AW15" s="808"/>
      <c r="AX15" s="808"/>
      <c r="AY15" s="808"/>
      <c r="AZ15" s="808"/>
      <c r="BA15" s="808"/>
      <c r="BB15" s="808"/>
      <c r="BC15" s="808"/>
      <c r="BD15" s="808"/>
      <c r="BE15" s="808"/>
      <c r="BF15" s="808"/>
    </row>
    <row r="16" spans="1:58" s="757" customFormat="1">
      <c r="A16" s="1363"/>
      <c r="B16" s="796" t="s">
        <v>5</v>
      </c>
      <c r="C16" s="778" t="s">
        <v>1015</v>
      </c>
      <c r="D16" s="778"/>
      <c r="E16" s="1979"/>
      <c r="F16" s="1343" t="s">
        <v>873</v>
      </c>
      <c r="G16" s="1458">
        <f>SUM(G17:G22)</f>
        <v>-400</v>
      </c>
      <c r="H16" s="1459">
        <f t="shared" ref="H16:U16" si="3">SUM(H17:H22)</f>
        <v>-400</v>
      </c>
      <c r="I16" s="1459">
        <f t="shared" ref="I16:J16" si="4">SUM(I17:I22)</f>
        <v>-400</v>
      </c>
      <c r="J16" s="1459">
        <f t="shared" si="4"/>
        <v>-400</v>
      </c>
      <c r="K16" s="1459">
        <f t="shared" si="3"/>
        <v>-400</v>
      </c>
      <c r="L16" s="1459">
        <f t="shared" si="3"/>
        <v>-400</v>
      </c>
      <c r="M16" s="1459">
        <f t="shared" si="3"/>
        <v>-400</v>
      </c>
      <c r="N16" s="1459">
        <f t="shared" si="3"/>
        <v>-400</v>
      </c>
      <c r="O16" s="1459">
        <f t="shared" si="3"/>
        <v>-400</v>
      </c>
      <c r="P16" s="1459">
        <f t="shared" si="3"/>
        <v>-400</v>
      </c>
      <c r="Q16" s="1459">
        <f t="shared" si="3"/>
        <v>-400</v>
      </c>
      <c r="R16" s="1459">
        <f t="shared" si="3"/>
        <v>-400</v>
      </c>
      <c r="S16" s="1459">
        <f t="shared" si="3"/>
        <v>-400</v>
      </c>
      <c r="T16" s="1459">
        <f t="shared" si="3"/>
        <v>-400</v>
      </c>
      <c r="U16" s="1459">
        <f t="shared" si="3"/>
        <v>-400</v>
      </c>
      <c r="V16" s="1465">
        <f t="shared" si="2"/>
        <v>-6000</v>
      </c>
      <c r="W16" s="1478"/>
      <c r="X16" s="778"/>
      <c r="Y16" s="778"/>
      <c r="Z16" s="778"/>
      <c r="AA16" s="778"/>
      <c r="AB16" s="778"/>
      <c r="AC16" s="778"/>
      <c r="AD16" s="778"/>
      <c r="AE16" s="778"/>
      <c r="AF16" s="778"/>
      <c r="AG16" s="778"/>
      <c r="AH16" s="778"/>
      <c r="AI16" s="778"/>
      <c r="AJ16" s="778"/>
      <c r="AK16" s="778"/>
      <c r="AL16" s="778"/>
      <c r="AM16" s="778"/>
      <c r="AN16" s="778"/>
      <c r="AO16" s="778"/>
      <c r="AP16" s="778"/>
      <c r="AQ16" s="778"/>
      <c r="AR16" s="778"/>
      <c r="AS16" s="778"/>
      <c r="AT16" s="778"/>
      <c r="AU16" s="778"/>
      <c r="AV16" s="778"/>
      <c r="AW16" s="778"/>
      <c r="AX16" s="778"/>
      <c r="AY16" s="778"/>
      <c r="AZ16" s="778"/>
      <c r="BA16" s="778"/>
      <c r="BB16" s="778"/>
      <c r="BC16" s="778"/>
      <c r="BD16" s="778"/>
      <c r="BE16" s="778"/>
      <c r="BF16" s="778"/>
    </row>
    <row r="17" spans="1:58" s="777" customFormat="1">
      <c r="A17" s="1362"/>
      <c r="B17" s="820" t="s">
        <v>61</v>
      </c>
      <c r="C17" s="820" t="str">
        <f>'3. DL invest.n.pl.AR pr.'!C17</f>
        <v>Darbības izmaksas....</v>
      </c>
      <c r="D17" s="776"/>
      <c r="E17" s="1659">
        <v>0</v>
      </c>
      <c r="F17" s="1343" t="s">
        <v>873</v>
      </c>
      <c r="G17" s="1456">
        <f>('3. DL invest.n.pl.AR pr.'!F17-'2. DL invest.n.pl.BEZ pr.'!E17)*(1+$E17)</f>
        <v>-300</v>
      </c>
      <c r="H17" s="1457">
        <f>('3. DL invest.n.pl.AR pr.'!G17-'2. DL invest.n.pl.BEZ pr.'!F17)*(1+$E17)</f>
        <v>-300</v>
      </c>
      <c r="I17" s="1457">
        <f>('3. DL invest.n.pl.AR pr.'!H17-'2. DL invest.n.pl.BEZ pr.'!G17)*(1+$E17)</f>
        <v>-300</v>
      </c>
      <c r="J17" s="1457">
        <f>('3. DL invest.n.pl.AR pr.'!I17-'2. DL invest.n.pl.BEZ pr.'!H17)*(1+$E17)</f>
        <v>-300</v>
      </c>
      <c r="K17" s="1457">
        <f>('3. DL invest.n.pl.AR pr.'!J17-'2. DL invest.n.pl.BEZ pr.'!I17)*(1+$E17)</f>
        <v>-300</v>
      </c>
      <c r="L17" s="1457">
        <f>('3. DL invest.n.pl.AR pr.'!K17-'2. DL invest.n.pl.BEZ pr.'!J17)*(1+$E17)</f>
        <v>-300</v>
      </c>
      <c r="M17" s="1457">
        <f>('3. DL invest.n.pl.AR pr.'!L17-'2. DL invest.n.pl.BEZ pr.'!K17)*(1+$E17)</f>
        <v>-300</v>
      </c>
      <c r="N17" s="1457">
        <f>('3. DL invest.n.pl.AR pr.'!M17-'2. DL invest.n.pl.BEZ pr.'!L17)*(1+$E17)</f>
        <v>-300</v>
      </c>
      <c r="O17" s="1457">
        <f>('3. DL invest.n.pl.AR pr.'!N17-'2. DL invest.n.pl.BEZ pr.'!M17)*(1+$E17)</f>
        <v>-300</v>
      </c>
      <c r="P17" s="1457">
        <f>('3. DL invest.n.pl.AR pr.'!O17-'2. DL invest.n.pl.BEZ pr.'!N17)*(1+$E17)</f>
        <v>-300</v>
      </c>
      <c r="Q17" s="1457">
        <f>('3. DL invest.n.pl.AR pr.'!P17-'2. DL invest.n.pl.BEZ pr.'!O17)*(1+$E17)</f>
        <v>-300</v>
      </c>
      <c r="R17" s="1457">
        <f>('3. DL invest.n.pl.AR pr.'!Q17-'2. DL invest.n.pl.BEZ pr.'!P17)*(1+$E17)</f>
        <v>-300</v>
      </c>
      <c r="S17" s="1457">
        <f>('3. DL invest.n.pl.AR pr.'!R17-'2. DL invest.n.pl.BEZ pr.'!Q17)*(1+$E17)</f>
        <v>-300</v>
      </c>
      <c r="T17" s="1457">
        <f>('3. DL invest.n.pl.AR pr.'!S17-'2. DL invest.n.pl.BEZ pr.'!R17)*(1+$E17)</f>
        <v>-300</v>
      </c>
      <c r="U17" s="1457">
        <f>('3. DL invest.n.pl.AR pr.'!T17-'2. DL invest.n.pl.BEZ pr.'!S17)*(1+$E17)</f>
        <v>-300</v>
      </c>
      <c r="V17" s="1465">
        <f t="shared" si="2"/>
        <v>-4500</v>
      </c>
      <c r="W17" s="1480"/>
      <c r="X17" s="808"/>
      <c r="Y17" s="808"/>
      <c r="Z17" s="808"/>
      <c r="AA17" s="808"/>
      <c r="AB17" s="808"/>
      <c r="AC17" s="808"/>
      <c r="AD17" s="808"/>
      <c r="AE17" s="808"/>
      <c r="AF17" s="808"/>
      <c r="AG17" s="808"/>
      <c r="AH17" s="808"/>
      <c r="AI17" s="808"/>
      <c r="AJ17" s="808"/>
      <c r="AK17" s="808"/>
      <c r="AL17" s="808"/>
      <c r="AM17" s="808"/>
      <c r="AN17" s="808"/>
      <c r="AO17" s="808"/>
      <c r="AP17" s="808"/>
      <c r="AQ17" s="808"/>
      <c r="AR17" s="808"/>
      <c r="AS17" s="808"/>
      <c r="AT17" s="808"/>
      <c r="AU17" s="808"/>
      <c r="AV17" s="808"/>
      <c r="AW17" s="808"/>
      <c r="AX17" s="808"/>
      <c r="AY17" s="808"/>
      <c r="AZ17" s="808"/>
      <c r="BA17" s="808"/>
      <c r="BB17" s="808"/>
      <c r="BC17" s="808"/>
      <c r="BD17" s="808"/>
      <c r="BE17" s="808"/>
      <c r="BF17" s="808"/>
    </row>
    <row r="18" spans="1:58" s="777" customFormat="1">
      <c r="A18" s="1362"/>
      <c r="B18" s="820" t="s">
        <v>62</v>
      </c>
      <c r="C18" s="820" t="str">
        <f>'3. DL invest.n.pl.AR pr.'!C18</f>
        <v>Darbības izmaksas....</v>
      </c>
      <c r="D18" s="776"/>
      <c r="E18" s="1659">
        <v>0</v>
      </c>
      <c r="F18" s="1343" t="s">
        <v>873</v>
      </c>
      <c r="G18" s="1456">
        <f>('3. DL invest.n.pl.AR pr.'!F18-'2. DL invest.n.pl.BEZ pr.'!E18)*(1+$E18)</f>
        <v>-100</v>
      </c>
      <c r="H18" s="1457">
        <f>('3. DL invest.n.pl.AR pr.'!G18-'2. DL invest.n.pl.BEZ pr.'!F18)*(1+$E18)</f>
        <v>-100</v>
      </c>
      <c r="I18" s="1457">
        <f>('3. DL invest.n.pl.AR pr.'!H18-'2. DL invest.n.pl.BEZ pr.'!G18)*(1+$E18)</f>
        <v>-100</v>
      </c>
      <c r="J18" s="1457">
        <f>('3. DL invest.n.pl.AR pr.'!I18-'2. DL invest.n.pl.BEZ pr.'!H18)*(1+$E18)</f>
        <v>-100</v>
      </c>
      <c r="K18" s="1457">
        <f>('3. DL invest.n.pl.AR pr.'!J18-'2. DL invest.n.pl.BEZ pr.'!I18)*(1+$E18)</f>
        <v>-100</v>
      </c>
      <c r="L18" s="1457">
        <f>('3. DL invest.n.pl.AR pr.'!K18-'2. DL invest.n.pl.BEZ pr.'!J18)*(1+$E18)</f>
        <v>-100</v>
      </c>
      <c r="M18" s="1457">
        <f>('3. DL invest.n.pl.AR pr.'!L18-'2. DL invest.n.pl.BEZ pr.'!K18)*(1+$E18)</f>
        <v>-100</v>
      </c>
      <c r="N18" s="1457">
        <f>('3. DL invest.n.pl.AR pr.'!M18-'2. DL invest.n.pl.BEZ pr.'!L18)*(1+$E18)</f>
        <v>-100</v>
      </c>
      <c r="O18" s="1457">
        <f>('3. DL invest.n.pl.AR pr.'!N18-'2. DL invest.n.pl.BEZ pr.'!M18)*(1+$E18)</f>
        <v>-100</v>
      </c>
      <c r="P18" s="1457">
        <f>('3. DL invest.n.pl.AR pr.'!O18-'2. DL invest.n.pl.BEZ pr.'!N18)*(1+$E18)</f>
        <v>-100</v>
      </c>
      <c r="Q18" s="1457">
        <f>('3. DL invest.n.pl.AR pr.'!P18-'2. DL invest.n.pl.BEZ pr.'!O18)*(1+$E18)</f>
        <v>-100</v>
      </c>
      <c r="R18" s="1457">
        <f>('3. DL invest.n.pl.AR pr.'!Q18-'2. DL invest.n.pl.BEZ pr.'!P18)*(1+$E18)</f>
        <v>-100</v>
      </c>
      <c r="S18" s="1457">
        <f>('3. DL invest.n.pl.AR pr.'!R18-'2. DL invest.n.pl.BEZ pr.'!Q18)*(1+$E18)</f>
        <v>-100</v>
      </c>
      <c r="T18" s="1457">
        <f>('3. DL invest.n.pl.AR pr.'!S18-'2. DL invest.n.pl.BEZ pr.'!R18)*(1+$E18)</f>
        <v>-100</v>
      </c>
      <c r="U18" s="1457">
        <f>('3. DL invest.n.pl.AR pr.'!T18-'2. DL invest.n.pl.BEZ pr.'!S18)*(1+$E18)</f>
        <v>-100</v>
      </c>
      <c r="V18" s="1465">
        <f t="shared" si="2"/>
        <v>-1500</v>
      </c>
      <c r="W18" s="1480"/>
      <c r="X18" s="808"/>
      <c r="Y18" s="808"/>
      <c r="Z18" s="808"/>
      <c r="AA18" s="808"/>
      <c r="AB18" s="808"/>
      <c r="AC18" s="808"/>
      <c r="AD18" s="808"/>
      <c r="AE18" s="808"/>
      <c r="AF18" s="808"/>
      <c r="AG18" s="808"/>
      <c r="AH18" s="808"/>
      <c r="AI18" s="808"/>
      <c r="AJ18" s="808"/>
      <c r="AK18" s="808"/>
      <c r="AL18" s="808"/>
      <c r="AM18" s="808"/>
      <c r="AN18" s="808"/>
      <c r="AO18" s="808"/>
      <c r="AP18" s="808"/>
      <c r="AQ18" s="808"/>
      <c r="AR18" s="808"/>
      <c r="AS18" s="808"/>
      <c r="AT18" s="808"/>
      <c r="AU18" s="808"/>
      <c r="AV18" s="808"/>
      <c r="AW18" s="808"/>
      <c r="AX18" s="808"/>
      <c r="AY18" s="808"/>
      <c r="AZ18" s="808"/>
      <c r="BA18" s="808"/>
      <c r="BB18" s="808"/>
      <c r="BC18" s="808"/>
      <c r="BD18" s="808"/>
      <c r="BE18" s="808"/>
      <c r="BF18" s="808"/>
    </row>
    <row r="19" spans="1:58" s="777" customFormat="1">
      <c r="A19" s="1362"/>
      <c r="B19" s="820" t="s">
        <v>877</v>
      </c>
      <c r="C19" s="820" t="str">
        <f>'3. DL invest.n.pl.AR pr.'!C19</f>
        <v>Darbības izmaksas....</v>
      </c>
      <c r="D19" s="776"/>
      <c r="E19" s="1659">
        <v>0</v>
      </c>
      <c r="F19" s="1343" t="s">
        <v>873</v>
      </c>
      <c r="G19" s="1456">
        <f>('3. DL invest.n.pl.AR pr.'!F19-'2. DL invest.n.pl.BEZ pr.'!E19)*(1+$E19)</f>
        <v>0</v>
      </c>
      <c r="H19" s="1457">
        <f>('3. DL invest.n.pl.AR pr.'!G19-'2. DL invest.n.pl.BEZ pr.'!F19)*(1+$E19)</f>
        <v>0</v>
      </c>
      <c r="I19" s="1457">
        <f>('3. DL invest.n.pl.AR pr.'!H19-'2. DL invest.n.pl.BEZ pr.'!G19)*(1+$E19)</f>
        <v>0</v>
      </c>
      <c r="J19" s="1457">
        <f>('3. DL invest.n.pl.AR pr.'!I19-'2. DL invest.n.pl.BEZ pr.'!H19)*(1+$E19)</f>
        <v>0</v>
      </c>
      <c r="K19" s="1457">
        <f>('3. DL invest.n.pl.AR pr.'!J19-'2. DL invest.n.pl.BEZ pr.'!I19)*(1+$E19)</f>
        <v>0</v>
      </c>
      <c r="L19" s="1457">
        <f>('3. DL invest.n.pl.AR pr.'!K19-'2. DL invest.n.pl.BEZ pr.'!J19)*(1+$E19)</f>
        <v>0</v>
      </c>
      <c r="M19" s="1457">
        <f>('3. DL invest.n.pl.AR pr.'!L19-'2. DL invest.n.pl.BEZ pr.'!K19)*(1+$E19)</f>
        <v>0</v>
      </c>
      <c r="N19" s="1457">
        <f>('3. DL invest.n.pl.AR pr.'!M19-'2. DL invest.n.pl.BEZ pr.'!L19)*(1+$E19)</f>
        <v>0</v>
      </c>
      <c r="O19" s="1457">
        <f>('3. DL invest.n.pl.AR pr.'!N19-'2. DL invest.n.pl.BEZ pr.'!M19)*(1+$E19)</f>
        <v>0</v>
      </c>
      <c r="P19" s="1457">
        <f>('3. DL invest.n.pl.AR pr.'!O19-'2. DL invest.n.pl.BEZ pr.'!N19)*(1+$E19)</f>
        <v>0</v>
      </c>
      <c r="Q19" s="1457">
        <f>('3. DL invest.n.pl.AR pr.'!P19-'2. DL invest.n.pl.BEZ pr.'!O19)*(1+$E19)</f>
        <v>0</v>
      </c>
      <c r="R19" s="1457">
        <f>('3. DL invest.n.pl.AR pr.'!Q19-'2. DL invest.n.pl.BEZ pr.'!P19)*(1+$E19)</f>
        <v>0</v>
      </c>
      <c r="S19" s="1457">
        <f>('3. DL invest.n.pl.AR pr.'!R19-'2. DL invest.n.pl.BEZ pr.'!Q19)*(1+$E19)</f>
        <v>0</v>
      </c>
      <c r="T19" s="1457">
        <f>('3. DL invest.n.pl.AR pr.'!S19-'2. DL invest.n.pl.BEZ pr.'!R19)*(1+$E19)</f>
        <v>0</v>
      </c>
      <c r="U19" s="1457">
        <f>('3. DL invest.n.pl.AR pr.'!T19-'2. DL invest.n.pl.BEZ pr.'!S19)*(1+$E19)</f>
        <v>0</v>
      </c>
      <c r="V19" s="1465">
        <f t="shared" si="2"/>
        <v>0</v>
      </c>
      <c r="W19" s="1480"/>
      <c r="X19" s="808"/>
      <c r="Y19" s="808"/>
      <c r="Z19" s="808"/>
      <c r="AA19" s="808"/>
      <c r="AB19" s="808"/>
      <c r="AC19" s="808"/>
      <c r="AD19" s="808"/>
      <c r="AE19" s="808"/>
      <c r="AF19" s="808"/>
      <c r="AG19" s="808"/>
      <c r="AH19" s="808"/>
      <c r="AI19" s="808"/>
      <c r="AJ19" s="808"/>
      <c r="AK19" s="808"/>
      <c r="AL19" s="808"/>
      <c r="AM19" s="808"/>
      <c r="AN19" s="808"/>
      <c r="AO19" s="808"/>
      <c r="AP19" s="808"/>
      <c r="AQ19" s="808"/>
      <c r="AR19" s="808"/>
      <c r="AS19" s="808"/>
      <c r="AT19" s="808"/>
      <c r="AU19" s="808"/>
      <c r="AV19" s="808"/>
      <c r="AW19" s="808"/>
      <c r="AX19" s="808"/>
      <c r="AY19" s="808"/>
      <c r="AZ19" s="808"/>
      <c r="BA19" s="808"/>
      <c r="BB19" s="808"/>
      <c r="BC19" s="808"/>
      <c r="BD19" s="808"/>
      <c r="BE19" s="808"/>
      <c r="BF19" s="808"/>
    </row>
    <row r="20" spans="1:58" s="777" customFormat="1">
      <c r="A20" s="1362"/>
      <c r="B20" s="820" t="s">
        <v>971</v>
      </c>
      <c r="C20" s="820" t="str">
        <f>'3. DL invest.n.pl.AR pr.'!C20</f>
        <v>Darbības izmaksas....</v>
      </c>
      <c r="D20" s="776"/>
      <c r="E20" s="1659">
        <v>0</v>
      </c>
      <c r="F20" s="1343" t="s">
        <v>873</v>
      </c>
      <c r="G20" s="1456">
        <f>('3. DL invest.n.pl.AR pr.'!F20-'2. DL invest.n.pl.BEZ pr.'!E20)*(1+$E20)</f>
        <v>0</v>
      </c>
      <c r="H20" s="1457">
        <f>('3. DL invest.n.pl.AR pr.'!G20-'2. DL invest.n.pl.BEZ pr.'!F20)*(1+$E20)</f>
        <v>0</v>
      </c>
      <c r="I20" s="1457">
        <f>('3. DL invest.n.pl.AR pr.'!H20-'2. DL invest.n.pl.BEZ pr.'!G20)*(1+$E20)</f>
        <v>0</v>
      </c>
      <c r="J20" s="1457">
        <f>('3. DL invest.n.pl.AR pr.'!I20-'2. DL invest.n.pl.BEZ pr.'!H20)*(1+$E20)</f>
        <v>0</v>
      </c>
      <c r="K20" s="1457">
        <f>('3. DL invest.n.pl.AR pr.'!J20-'2. DL invest.n.pl.BEZ pr.'!I20)*(1+$E20)</f>
        <v>0</v>
      </c>
      <c r="L20" s="1457">
        <f>('3. DL invest.n.pl.AR pr.'!K20-'2. DL invest.n.pl.BEZ pr.'!J20)*(1+$E20)</f>
        <v>0</v>
      </c>
      <c r="M20" s="1457">
        <f>('3. DL invest.n.pl.AR pr.'!L20-'2. DL invest.n.pl.BEZ pr.'!K20)*(1+$E20)</f>
        <v>0</v>
      </c>
      <c r="N20" s="1457">
        <f>('3. DL invest.n.pl.AR pr.'!M20-'2. DL invest.n.pl.BEZ pr.'!L20)*(1+$E20)</f>
        <v>0</v>
      </c>
      <c r="O20" s="1457">
        <f>('3. DL invest.n.pl.AR pr.'!N20-'2. DL invest.n.pl.BEZ pr.'!M20)*(1+$E20)</f>
        <v>0</v>
      </c>
      <c r="P20" s="1457">
        <f>('3. DL invest.n.pl.AR pr.'!O20-'2. DL invest.n.pl.BEZ pr.'!N20)*(1+$E20)</f>
        <v>0</v>
      </c>
      <c r="Q20" s="1457">
        <f>('3. DL invest.n.pl.AR pr.'!P20-'2. DL invest.n.pl.BEZ pr.'!O20)*(1+$E20)</f>
        <v>0</v>
      </c>
      <c r="R20" s="1457">
        <f>('3. DL invest.n.pl.AR pr.'!Q20-'2. DL invest.n.pl.BEZ pr.'!P20)*(1+$E20)</f>
        <v>0</v>
      </c>
      <c r="S20" s="1457">
        <f>('3. DL invest.n.pl.AR pr.'!R20-'2. DL invest.n.pl.BEZ pr.'!Q20)*(1+$E20)</f>
        <v>0</v>
      </c>
      <c r="T20" s="1457">
        <f>('3. DL invest.n.pl.AR pr.'!S20-'2. DL invest.n.pl.BEZ pr.'!R20)*(1+$E20)</f>
        <v>0</v>
      </c>
      <c r="U20" s="1457">
        <f>('3. DL invest.n.pl.AR pr.'!T20-'2. DL invest.n.pl.BEZ pr.'!S20)*(1+$E20)</f>
        <v>0</v>
      </c>
      <c r="V20" s="1465">
        <f t="shared" si="2"/>
        <v>0</v>
      </c>
      <c r="W20" s="1480"/>
      <c r="X20" s="808"/>
      <c r="Y20" s="808"/>
      <c r="Z20" s="808"/>
      <c r="AA20" s="808"/>
      <c r="AB20" s="808"/>
      <c r="AC20" s="808"/>
      <c r="AD20" s="808"/>
      <c r="AE20" s="808"/>
      <c r="AF20" s="808"/>
      <c r="AG20" s="808"/>
      <c r="AH20" s="808"/>
      <c r="AI20" s="808"/>
      <c r="AJ20" s="808"/>
      <c r="AK20" s="808"/>
      <c r="AL20" s="808"/>
      <c r="AM20" s="808"/>
      <c r="AN20" s="808"/>
      <c r="AO20" s="808"/>
      <c r="AP20" s="808"/>
      <c r="AQ20" s="808"/>
      <c r="AR20" s="808"/>
      <c r="AS20" s="808"/>
      <c r="AT20" s="808"/>
      <c r="AU20" s="808"/>
      <c r="AV20" s="808"/>
      <c r="AW20" s="808"/>
      <c r="AX20" s="808"/>
      <c r="AY20" s="808"/>
      <c r="AZ20" s="808"/>
      <c r="BA20" s="808"/>
      <c r="BB20" s="808"/>
      <c r="BC20" s="808"/>
      <c r="BD20" s="808"/>
      <c r="BE20" s="808"/>
      <c r="BF20" s="808"/>
    </row>
    <row r="21" spans="1:58" s="777" customFormat="1">
      <c r="A21" s="1362"/>
      <c r="B21" s="820" t="s">
        <v>1073</v>
      </c>
      <c r="C21" s="820" t="str">
        <f>'3. DL invest.n.pl.AR pr.'!C21</f>
        <v>Darbības izmaksas....</v>
      </c>
      <c r="D21" s="776"/>
      <c r="E21" s="1659">
        <v>0</v>
      </c>
      <c r="F21" s="1343" t="s">
        <v>873</v>
      </c>
      <c r="G21" s="1456">
        <f>('3. DL invest.n.pl.AR pr.'!F21-'2. DL invest.n.pl.BEZ pr.'!E21)*(1+$E21)</f>
        <v>0</v>
      </c>
      <c r="H21" s="1457">
        <f>('3. DL invest.n.pl.AR pr.'!G21-'2. DL invest.n.pl.BEZ pr.'!F21)*(1+$E21)</f>
        <v>0</v>
      </c>
      <c r="I21" s="1457">
        <f>('3. DL invest.n.pl.AR pr.'!H21-'2. DL invest.n.pl.BEZ pr.'!G21)*(1+$E21)</f>
        <v>0</v>
      </c>
      <c r="J21" s="1457">
        <f>('3. DL invest.n.pl.AR pr.'!I21-'2. DL invest.n.pl.BEZ pr.'!H21)*(1+$E21)</f>
        <v>0</v>
      </c>
      <c r="K21" s="1457">
        <f>('3. DL invest.n.pl.AR pr.'!J21-'2. DL invest.n.pl.BEZ pr.'!I21)*(1+$E21)</f>
        <v>0</v>
      </c>
      <c r="L21" s="1457">
        <f>('3. DL invest.n.pl.AR pr.'!K21-'2. DL invest.n.pl.BEZ pr.'!J21)*(1+$E21)</f>
        <v>0</v>
      </c>
      <c r="M21" s="1457">
        <f>('3. DL invest.n.pl.AR pr.'!L21-'2. DL invest.n.pl.BEZ pr.'!K21)*(1+$E21)</f>
        <v>0</v>
      </c>
      <c r="N21" s="1457">
        <f>('3. DL invest.n.pl.AR pr.'!M21-'2. DL invest.n.pl.BEZ pr.'!L21)*(1+$E21)</f>
        <v>0</v>
      </c>
      <c r="O21" s="1457">
        <f>('3. DL invest.n.pl.AR pr.'!N21-'2. DL invest.n.pl.BEZ pr.'!M21)*(1+$E21)</f>
        <v>0</v>
      </c>
      <c r="P21" s="1457">
        <f>('3. DL invest.n.pl.AR pr.'!O21-'2. DL invest.n.pl.BEZ pr.'!N21)*(1+$E21)</f>
        <v>0</v>
      </c>
      <c r="Q21" s="1457">
        <f>('3. DL invest.n.pl.AR pr.'!P21-'2. DL invest.n.pl.BEZ pr.'!O21)*(1+$E21)</f>
        <v>0</v>
      </c>
      <c r="R21" s="1457">
        <f>('3. DL invest.n.pl.AR pr.'!Q21-'2. DL invest.n.pl.BEZ pr.'!P21)*(1+$E21)</f>
        <v>0</v>
      </c>
      <c r="S21" s="1457">
        <f>('3. DL invest.n.pl.AR pr.'!R21-'2. DL invest.n.pl.BEZ pr.'!Q21)*(1+$E21)</f>
        <v>0</v>
      </c>
      <c r="T21" s="1457">
        <f>('3. DL invest.n.pl.AR pr.'!S21-'2. DL invest.n.pl.BEZ pr.'!R21)*(1+$E21)</f>
        <v>0</v>
      </c>
      <c r="U21" s="1457">
        <f>('3. DL invest.n.pl.AR pr.'!T21-'2. DL invest.n.pl.BEZ pr.'!S21)*(1+$E21)</f>
        <v>0</v>
      </c>
      <c r="V21" s="1465">
        <f t="shared" si="2"/>
        <v>0</v>
      </c>
      <c r="W21" s="1480"/>
      <c r="X21" s="808"/>
      <c r="Y21" s="808"/>
      <c r="Z21" s="808"/>
      <c r="AA21" s="808"/>
      <c r="AB21" s="808"/>
      <c r="AC21" s="808"/>
      <c r="AD21" s="808"/>
      <c r="AE21" s="808"/>
      <c r="AF21" s="808"/>
      <c r="AG21" s="808"/>
      <c r="AH21" s="808"/>
      <c r="AI21" s="808"/>
      <c r="AJ21" s="808"/>
      <c r="AK21" s="808"/>
      <c r="AL21" s="808"/>
      <c r="AM21" s="808"/>
      <c r="AN21" s="808"/>
      <c r="AO21" s="808"/>
      <c r="AP21" s="808"/>
      <c r="AQ21" s="808"/>
      <c r="AR21" s="808"/>
      <c r="AS21" s="808"/>
      <c r="AT21" s="808"/>
      <c r="AU21" s="808"/>
      <c r="AV21" s="808"/>
      <c r="AW21" s="808"/>
      <c r="AX21" s="808"/>
      <c r="AY21" s="808"/>
      <c r="AZ21" s="808"/>
      <c r="BA21" s="808"/>
      <c r="BB21" s="808"/>
      <c r="BC21" s="808"/>
      <c r="BD21" s="808"/>
      <c r="BE21" s="808"/>
      <c r="BF21" s="808"/>
    </row>
    <row r="22" spans="1:58" s="777" customFormat="1">
      <c r="A22" s="1362"/>
      <c r="B22" s="820" t="s">
        <v>1074</v>
      </c>
      <c r="C22" s="820" t="s">
        <v>1002</v>
      </c>
      <c r="D22" s="776"/>
      <c r="E22" s="1659">
        <v>0</v>
      </c>
      <c r="F22" s="1343" t="s">
        <v>873</v>
      </c>
      <c r="G22" s="1456">
        <f>('3. DL invest.n.pl.AR pr.'!F22-'2. DL invest.n.pl.BEZ pr.'!E22)*(1+$E22)</f>
        <v>0</v>
      </c>
      <c r="H22" s="1457">
        <f>('3. DL invest.n.pl.AR pr.'!G22-'2. DL invest.n.pl.BEZ pr.'!F22)*(1+$E22)</f>
        <v>0</v>
      </c>
      <c r="I22" s="1457">
        <f>('3. DL invest.n.pl.AR pr.'!H22-'2. DL invest.n.pl.BEZ pr.'!G22)*(1+$E22)</f>
        <v>0</v>
      </c>
      <c r="J22" s="1457">
        <f>('3. DL invest.n.pl.AR pr.'!I22-'2. DL invest.n.pl.BEZ pr.'!H22)*(1+$E22)</f>
        <v>0</v>
      </c>
      <c r="K22" s="1457">
        <f>('3. DL invest.n.pl.AR pr.'!J22-'2. DL invest.n.pl.BEZ pr.'!I22)*(1+$E22)</f>
        <v>0</v>
      </c>
      <c r="L22" s="1457">
        <f>('3. DL invest.n.pl.AR pr.'!K22-'2. DL invest.n.pl.BEZ pr.'!J22)*(1+$E22)</f>
        <v>0</v>
      </c>
      <c r="M22" s="1457">
        <f>('3. DL invest.n.pl.AR pr.'!L22-'2. DL invest.n.pl.BEZ pr.'!K22)*(1+$E22)</f>
        <v>0</v>
      </c>
      <c r="N22" s="1457">
        <f>('3. DL invest.n.pl.AR pr.'!M22-'2. DL invest.n.pl.BEZ pr.'!L22)*(1+$E22)</f>
        <v>0</v>
      </c>
      <c r="O22" s="1457">
        <f>('3. DL invest.n.pl.AR pr.'!N22-'2. DL invest.n.pl.BEZ pr.'!M22)*(1+$E22)</f>
        <v>0</v>
      </c>
      <c r="P22" s="1457">
        <f>('3. DL invest.n.pl.AR pr.'!O22-'2. DL invest.n.pl.BEZ pr.'!N22)*(1+$E22)</f>
        <v>0</v>
      </c>
      <c r="Q22" s="1457">
        <f>('3. DL invest.n.pl.AR pr.'!P22-'2. DL invest.n.pl.BEZ pr.'!O22)*(1+$E22)</f>
        <v>0</v>
      </c>
      <c r="R22" s="1457">
        <f>('3. DL invest.n.pl.AR pr.'!Q22-'2. DL invest.n.pl.BEZ pr.'!P22)*(1+$E22)</f>
        <v>0</v>
      </c>
      <c r="S22" s="1457">
        <f>('3. DL invest.n.pl.AR pr.'!R22-'2. DL invest.n.pl.BEZ pr.'!Q22)*(1+$E22)</f>
        <v>0</v>
      </c>
      <c r="T22" s="1457">
        <f>('3. DL invest.n.pl.AR pr.'!S22-'2. DL invest.n.pl.BEZ pr.'!R22)*(1+$E22)</f>
        <v>0</v>
      </c>
      <c r="U22" s="1457">
        <f>('3. DL invest.n.pl.AR pr.'!T22-'2. DL invest.n.pl.BEZ pr.'!S22)*(1+$E22)</f>
        <v>0</v>
      </c>
      <c r="V22" s="1465">
        <f t="shared" si="2"/>
        <v>0</v>
      </c>
      <c r="W22" s="1480"/>
      <c r="X22" s="808"/>
      <c r="Y22" s="808"/>
      <c r="Z22" s="808"/>
      <c r="AA22" s="808"/>
      <c r="AB22" s="808"/>
      <c r="AC22" s="808"/>
      <c r="AD22" s="808"/>
      <c r="AE22" s="808"/>
      <c r="AF22" s="808"/>
      <c r="AG22" s="808"/>
      <c r="AH22" s="808"/>
      <c r="AI22" s="808"/>
      <c r="AJ22" s="808"/>
      <c r="AK22" s="808"/>
      <c r="AL22" s="808"/>
      <c r="AM22" s="808"/>
      <c r="AN22" s="808"/>
      <c r="AO22" s="808"/>
      <c r="AP22" s="808"/>
      <c r="AQ22" s="808"/>
      <c r="AR22" s="808"/>
      <c r="AS22" s="808"/>
      <c r="AT22" s="808"/>
      <c r="AU22" s="808"/>
      <c r="AV22" s="808"/>
      <c r="AW22" s="808"/>
      <c r="AX22" s="808"/>
      <c r="AY22" s="808"/>
      <c r="AZ22" s="808"/>
      <c r="BA22" s="808"/>
      <c r="BB22" s="808"/>
      <c r="BC22" s="808"/>
      <c r="BD22" s="808"/>
      <c r="BE22" s="808"/>
      <c r="BF22" s="808"/>
    </row>
    <row r="23" spans="1:58" s="757" customFormat="1">
      <c r="A23" s="1363"/>
      <c r="B23" s="796" t="s">
        <v>7</v>
      </c>
      <c r="C23" s="778" t="s">
        <v>8</v>
      </c>
      <c r="D23" s="778"/>
      <c r="E23" s="1659">
        <v>0.01</v>
      </c>
      <c r="F23" s="1343" t="s">
        <v>873</v>
      </c>
      <c r="G23" s="1709">
        <f>(G24+G26)*(1+$E$23)</f>
        <v>-35617.144999999997</v>
      </c>
      <c r="H23" s="1710">
        <f t="shared" ref="H23:U23" si="5">(H24+H26)*(1+$E$23)</f>
        <v>-9619.8964999999989</v>
      </c>
      <c r="I23" s="1710">
        <f t="shared" si="5"/>
        <v>-29241.52</v>
      </c>
      <c r="J23" s="1710">
        <f t="shared" si="5"/>
        <v>0</v>
      </c>
      <c r="K23" s="1710">
        <f t="shared" si="5"/>
        <v>0</v>
      </c>
      <c r="L23" s="1710">
        <f t="shared" si="5"/>
        <v>0</v>
      </c>
      <c r="M23" s="1710">
        <f t="shared" si="5"/>
        <v>0</v>
      </c>
      <c r="N23" s="1710">
        <f t="shared" si="5"/>
        <v>0</v>
      </c>
      <c r="O23" s="1710">
        <f t="shared" si="5"/>
        <v>0</v>
      </c>
      <c r="P23" s="1710">
        <f t="shared" si="5"/>
        <v>0</v>
      </c>
      <c r="Q23" s="1710">
        <f t="shared" si="5"/>
        <v>0</v>
      </c>
      <c r="R23" s="1710">
        <f t="shared" si="5"/>
        <v>0</v>
      </c>
      <c r="S23" s="1710">
        <f t="shared" si="5"/>
        <v>0</v>
      </c>
      <c r="T23" s="1710">
        <f t="shared" si="5"/>
        <v>0</v>
      </c>
      <c r="U23" s="1710">
        <f t="shared" si="5"/>
        <v>0</v>
      </c>
      <c r="V23" s="1465">
        <f t="shared" si="2"/>
        <v>-74478.561499999996</v>
      </c>
      <c r="W23" s="1478"/>
      <c r="X23" s="778"/>
      <c r="Y23" s="778"/>
      <c r="Z23" s="778"/>
      <c r="AA23" s="778"/>
      <c r="AB23" s="778"/>
      <c r="AC23" s="778"/>
      <c r="AD23" s="778"/>
      <c r="AE23" s="778"/>
      <c r="AF23" s="778"/>
      <c r="AG23" s="778"/>
      <c r="AH23" s="778"/>
      <c r="AI23" s="778"/>
      <c r="AJ23" s="778"/>
      <c r="AK23" s="778"/>
      <c r="AL23" s="778"/>
      <c r="AM23" s="778"/>
      <c r="AN23" s="778"/>
      <c r="AO23" s="778"/>
      <c r="AP23" s="778"/>
      <c r="AQ23" s="778"/>
      <c r="AR23" s="778"/>
      <c r="AS23" s="778"/>
      <c r="AT23" s="778"/>
      <c r="AU23" s="778"/>
      <c r="AV23" s="778"/>
      <c r="AW23" s="778"/>
      <c r="AX23" s="778"/>
      <c r="AY23" s="778"/>
      <c r="AZ23" s="778"/>
      <c r="BA23" s="778"/>
      <c r="BB23" s="778"/>
      <c r="BC23" s="778"/>
      <c r="BD23" s="778"/>
      <c r="BE23" s="778"/>
      <c r="BF23" s="778"/>
    </row>
    <row r="24" spans="1:58" s="780" customFormat="1">
      <c r="A24" s="1364"/>
      <c r="B24" s="1365" t="s">
        <v>59</v>
      </c>
      <c r="C24" s="1366" t="s">
        <v>67</v>
      </c>
      <c r="D24" s="779"/>
      <c r="E24" s="1979"/>
      <c r="F24" s="1343" t="s">
        <v>873</v>
      </c>
      <c r="G24" s="1458">
        <f t="shared" ref="G24:U24" si="6">SUM(G25:G25)</f>
        <v>-31764.5</v>
      </c>
      <c r="H24" s="1459">
        <f t="shared" si="6"/>
        <v>-6024.65</v>
      </c>
      <c r="I24" s="1459">
        <f t="shared" si="6"/>
        <v>-25452</v>
      </c>
      <c r="J24" s="1459">
        <f t="shared" si="6"/>
        <v>0</v>
      </c>
      <c r="K24" s="1459">
        <f t="shared" si="6"/>
        <v>0</v>
      </c>
      <c r="L24" s="1459">
        <f t="shared" si="6"/>
        <v>0</v>
      </c>
      <c r="M24" s="1459">
        <f t="shared" si="6"/>
        <v>0</v>
      </c>
      <c r="N24" s="1459">
        <f t="shared" si="6"/>
        <v>0</v>
      </c>
      <c r="O24" s="1459">
        <f t="shared" si="6"/>
        <v>0</v>
      </c>
      <c r="P24" s="1459">
        <f t="shared" si="6"/>
        <v>0</v>
      </c>
      <c r="Q24" s="1459">
        <f t="shared" si="6"/>
        <v>0</v>
      </c>
      <c r="R24" s="1459">
        <f t="shared" si="6"/>
        <v>0</v>
      </c>
      <c r="S24" s="1459">
        <f t="shared" si="6"/>
        <v>0</v>
      </c>
      <c r="T24" s="1459">
        <f t="shared" si="6"/>
        <v>0</v>
      </c>
      <c r="U24" s="1459">
        <f t="shared" si="6"/>
        <v>0</v>
      </c>
      <c r="V24" s="1465">
        <f t="shared" si="2"/>
        <v>-63241.15</v>
      </c>
      <c r="W24" s="1479"/>
      <c r="X24" s="1353"/>
      <c r="Y24" s="1353"/>
      <c r="Z24" s="1353"/>
      <c r="AA24" s="1353"/>
      <c r="AB24" s="1353"/>
      <c r="AC24" s="1353"/>
      <c r="AD24" s="1353"/>
      <c r="AE24" s="1353"/>
      <c r="AF24" s="1353"/>
      <c r="AG24" s="1353"/>
      <c r="AH24" s="1353"/>
      <c r="AI24" s="1353"/>
      <c r="AJ24" s="1353"/>
      <c r="AK24" s="1353"/>
      <c r="AL24" s="1353"/>
      <c r="AM24" s="1353"/>
      <c r="AN24" s="1353"/>
      <c r="AO24" s="1353"/>
      <c r="AP24" s="1353"/>
      <c r="AQ24" s="1353"/>
      <c r="AR24" s="1353"/>
      <c r="AS24" s="1353"/>
      <c r="AT24" s="1353"/>
      <c r="AU24" s="1353"/>
      <c r="AV24" s="1353"/>
      <c r="AW24" s="1353"/>
      <c r="AX24" s="1353"/>
      <c r="AY24" s="1353"/>
      <c r="AZ24" s="1353"/>
      <c r="BA24" s="1353"/>
      <c r="BB24" s="1353"/>
      <c r="BC24" s="1353"/>
      <c r="BD24" s="1353"/>
      <c r="BE24" s="1353"/>
      <c r="BF24" s="1353"/>
    </row>
    <row r="25" spans="1:58" s="777" customFormat="1">
      <c r="A25" s="1362"/>
      <c r="B25" s="1367" t="s">
        <v>66</v>
      </c>
      <c r="C25" s="820" t="s">
        <v>67</v>
      </c>
      <c r="D25" s="776"/>
      <c r="E25" s="1659">
        <v>0.01</v>
      </c>
      <c r="F25" s="1343" t="s">
        <v>873</v>
      </c>
      <c r="G25" s="1456">
        <f>'3. DL invest.n.pl.AR pr.'!F25*(1+$E25)</f>
        <v>-31764.5</v>
      </c>
      <c r="H25" s="1457">
        <f>'3. DL invest.n.pl.AR pr.'!G25*(1+$E25)</f>
        <v>-6024.65</v>
      </c>
      <c r="I25" s="1457">
        <f>'3. DL invest.n.pl.AR pr.'!H25*(1+$E25)</f>
        <v>-25452</v>
      </c>
      <c r="J25" s="1457">
        <f>'3. DL invest.n.pl.AR pr.'!I25*(1+$E25)</f>
        <v>0</v>
      </c>
      <c r="K25" s="1457">
        <f>'3. DL invest.n.pl.AR pr.'!J25*(1+$E25)</f>
        <v>0</v>
      </c>
      <c r="L25" s="1457">
        <f>'3. DL invest.n.pl.AR pr.'!K25*(1+$E25)</f>
        <v>0</v>
      </c>
      <c r="M25" s="1457">
        <f>'3. DL invest.n.pl.AR pr.'!L25*(1+$E25)</f>
        <v>0</v>
      </c>
      <c r="N25" s="1457">
        <f>'3. DL invest.n.pl.AR pr.'!M25*(1+$E25)</f>
        <v>0</v>
      </c>
      <c r="O25" s="1457">
        <f>'3. DL invest.n.pl.AR pr.'!N25*(1+$E25)</f>
        <v>0</v>
      </c>
      <c r="P25" s="1457">
        <f>'3. DL invest.n.pl.AR pr.'!O25*(1+$E25)</f>
        <v>0</v>
      </c>
      <c r="Q25" s="1457">
        <f>'3. DL invest.n.pl.AR pr.'!P25*(1+$E25)</f>
        <v>0</v>
      </c>
      <c r="R25" s="1457">
        <f>'3. DL invest.n.pl.AR pr.'!Q25*(1+$E25)</f>
        <v>0</v>
      </c>
      <c r="S25" s="1457">
        <f>'3. DL invest.n.pl.AR pr.'!R25*(1+$E25)</f>
        <v>0</v>
      </c>
      <c r="T25" s="1457">
        <f>'3. DL invest.n.pl.AR pr.'!S25*(1+$E25)</f>
        <v>0</v>
      </c>
      <c r="U25" s="1457">
        <f>'3. DL invest.n.pl.AR pr.'!T25*(1+$E25)</f>
        <v>0</v>
      </c>
      <c r="V25" s="1465">
        <f t="shared" si="2"/>
        <v>-63241.15</v>
      </c>
      <c r="W25" s="1480"/>
      <c r="X25" s="808"/>
      <c r="Y25" s="808"/>
      <c r="Z25" s="808"/>
      <c r="AA25" s="808"/>
      <c r="AB25" s="808"/>
      <c r="AC25" s="808"/>
      <c r="AD25" s="808"/>
      <c r="AE25" s="808"/>
      <c r="AF25" s="808"/>
      <c r="AG25" s="808"/>
      <c r="AH25" s="808"/>
      <c r="AI25" s="808"/>
      <c r="AJ25" s="808"/>
      <c r="AK25" s="808"/>
      <c r="AL25" s="808"/>
      <c r="AM25" s="808"/>
      <c r="AN25" s="808"/>
      <c r="AO25" s="808"/>
      <c r="AP25" s="808"/>
      <c r="AQ25" s="808"/>
      <c r="AR25" s="808"/>
      <c r="AS25" s="808"/>
      <c r="AT25" s="808"/>
      <c r="AU25" s="808"/>
      <c r="AV25" s="808"/>
      <c r="AW25" s="808"/>
      <c r="AX25" s="808"/>
      <c r="AY25" s="808"/>
      <c r="AZ25" s="808"/>
      <c r="BA25" s="808"/>
      <c r="BB25" s="808"/>
      <c r="BC25" s="808"/>
      <c r="BD25" s="808"/>
      <c r="BE25" s="808"/>
      <c r="BF25" s="808"/>
    </row>
    <row r="26" spans="1:58" s="780" customFormat="1">
      <c r="A26" s="1364"/>
      <c r="B26" s="1365" t="s">
        <v>60</v>
      </c>
      <c r="C26" s="1366" t="s">
        <v>92</v>
      </c>
      <c r="D26" s="779"/>
      <c r="E26" s="1980"/>
      <c r="F26" s="1343" t="s">
        <v>873</v>
      </c>
      <c r="G26" s="1458">
        <f>'3. DL invest.n.pl.AR pr.'!F28</f>
        <v>-3500</v>
      </c>
      <c r="H26" s="1459">
        <f>'3. DL invest.n.pl.AR pr.'!G28</f>
        <v>-3500</v>
      </c>
      <c r="I26" s="1459">
        <f>'3. DL invest.n.pl.AR pr.'!H28</f>
        <v>-3500</v>
      </c>
      <c r="J26" s="1459">
        <f>'3. DL invest.n.pl.AR pr.'!I28</f>
        <v>0</v>
      </c>
      <c r="K26" s="1459">
        <f>'3. DL invest.n.pl.AR pr.'!J28</f>
        <v>0</v>
      </c>
      <c r="L26" s="1459">
        <f>'3. DL invest.n.pl.AR pr.'!K28</f>
        <v>0</v>
      </c>
      <c r="M26" s="1459">
        <f>'3. DL invest.n.pl.AR pr.'!L28</f>
        <v>0</v>
      </c>
      <c r="N26" s="1459">
        <f>'3. DL invest.n.pl.AR pr.'!M28</f>
        <v>0</v>
      </c>
      <c r="O26" s="1459">
        <f>'3. DL invest.n.pl.AR pr.'!N28</f>
        <v>0</v>
      </c>
      <c r="P26" s="1459">
        <f>'3. DL invest.n.pl.AR pr.'!O28</f>
        <v>0</v>
      </c>
      <c r="Q26" s="1459">
        <f>'3. DL invest.n.pl.AR pr.'!P28</f>
        <v>0</v>
      </c>
      <c r="R26" s="1459">
        <f>'3. DL invest.n.pl.AR pr.'!Q28</f>
        <v>0</v>
      </c>
      <c r="S26" s="1459">
        <f>'3. DL invest.n.pl.AR pr.'!R28</f>
        <v>0</v>
      </c>
      <c r="T26" s="1459">
        <f>'3. DL invest.n.pl.AR pr.'!S28</f>
        <v>0</v>
      </c>
      <c r="U26" s="1459">
        <f>'3. DL invest.n.pl.AR pr.'!T28</f>
        <v>0</v>
      </c>
      <c r="V26" s="1465">
        <f t="shared" si="2"/>
        <v>-10500</v>
      </c>
      <c r="W26" s="1479"/>
      <c r="X26" s="1353"/>
      <c r="Y26" s="1353"/>
      <c r="Z26" s="1353"/>
      <c r="AA26" s="1353"/>
      <c r="AB26" s="1353"/>
      <c r="AC26" s="1353"/>
      <c r="AD26" s="1353"/>
      <c r="AE26" s="1353"/>
      <c r="AF26" s="1353"/>
      <c r="AG26" s="1353"/>
      <c r="AH26" s="1353"/>
      <c r="AI26" s="1353"/>
      <c r="AJ26" s="1353"/>
      <c r="AK26" s="1353"/>
      <c r="AL26" s="1353"/>
      <c r="AM26" s="1353"/>
      <c r="AN26" s="1353"/>
      <c r="AO26" s="1353"/>
      <c r="AP26" s="1353"/>
      <c r="AQ26" s="1353"/>
      <c r="AR26" s="1353"/>
      <c r="AS26" s="1353"/>
      <c r="AT26" s="1353"/>
      <c r="AU26" s="1353"/>
      <c r="AV26" s="1353"/>
      <c r="AW26" s="1353"/>
      <c r="AX26" s="1353"/>
      <c r="AY26" s="1353"/>
      <c r="AZ26" s="1353"/>
      <c r="BA26" s="1353"/>
      <c r="BB26" s="1353"/>
      <c r="BC26" s="1353"/>
      <c r="BD26" s="1353"/>
      <c r="BE26" s="1353"/>
      <c r="BF26" s="1353"/>
    </row>
    <row r="27" spans="1:58" s="757" customFormat="1">
      <c r="A27" s="1363"/>
      <c r="B27" s="778" t="s">
        <v>9</v>
      </c>
      <c r="C27" s="778" t="s">
        <v>10</v>
      </c>
      <c r="D27" s="782"/>
      <c r="E27" s="1981">
        <v>0</v>
      </c>
      <c r="F27" s="1343" t="s">
        <v>873</v>
      </c>
      <c r="G27" s="1458">
        <f>'3. DL invest.n.pl.AR pr.'!F30*(1+$E27)</f>
        <v>0</v>
      </c>
      <c r="H27" s="1459">
        <f>'3. DL invest.n.pl.AR pr.'!G30*(1+$E27)</f>
        <v>0</v>
      </c>
      <c r="I27" s="1459">
        <f>'3. DL invest.n.pl.AR pr.'!H30*(1+$E27)</f>
        <v>0</v>
      </c>
      <c r="J27" s="1459">
        <f>'3. DL invest.n.pl.AR pr.'!I30*(1+$E27)</f>
        <v>0</v>
      </c>
      <c r="K27" s="1459">
        <f>'3. DL invest.n.pl.AR pr.'!J30*(1+$E27)</f>
        <v>0</v>
      </c>
      <c r="L27" s="1459">
        <f>'3. DL invest.n.pl.AR pr.'!K30*(1+$E27)</f>
        <v>0</v>
      </c>
      <c r="M27" s="1459">
        <f>'3. DL invest.n.pl.AR pr.'!L30*(1+$E27)</f>
        <v>0</v>
      </c>
      <c r="N27" s="1459">
        <f>'3. DL invest.n.pl.AR pr.'!M30*(1+$E27)</f>
        <v>0</v>
      </c>
      <c r="O27" s="1459">
        <f>'3. DL invest.n.pl.AR pr.'!N30*(1+$E27)</f>
        <v>0</v>
      </c>
      <c r="P27" s="1459">
        <f>'3. DL invest.n.pl.AR pr.'!O30*(1+$E27)</f>
        <v>0</v>
      </c>
      <c r="Q27" s="1459">
        <f>'3. DL invest.n.pl.AR pr.'!P30*(1+$E27)</f>
        <v>0</v>
      </c>
      <c r="R27" s="1459">
        <f>'3. DL invest.n.pl.AR pr.'!Q30*(1+$E27)</f>
        <v>0</v>
      </c>
      <c r="S27" s="1459">
        <f>'3. DL invest.n.pl.AR pr.'!R30*(1+$E27)</f>
        <v>0</v>
      </c>
      <c r="T27" s="1459">
        <f>'3. DL invest.n.pl.AR pr.'!S30*(1+$E27)</f>
        <v>0</v>
      </c>
      <c r="U27" s="1459">
        <f>'3. DL invest.n.pl.AR pr.'!T30*(1+$E27)</f>
        <v>1000</v>
      </c>
      <c r="V27" s="1465">
        <f t="shared" si="2"/>
        <v>1000</v>
      </c>
      <c r="W27" s="1478"/>
      <c r="X27" s="778"/>
      <c r="Y27" s="778"/>
      <c r="Z27" s="778"/>
      <c r="AA27" s="778"/>
      <c r="AB27" s="778"/>
      <c r="AC27" s="778"/>
      <c r="AD27" s="778"/>
      <c r="AE27" s="778"/>
      <c r="AF27" s="778"/>
      <c r="AG27" s="778"/>
      <c r="AH27" s="778"/>
      <c r="AI27" s="778"/>
      <c r="AJ27" s="778"/>
      <c r="AK27" s="778"/>
      <c r="AL27" s="778"/>
      <c r="AM27" s="778"/>
      <c r="AN27" s="778"/>
      <c r="AO27" s="778"/>
      <c r="AP27" s="778"/>
      <c r="AQ27" s="778"/>
      <c r="AR27" s="778"/>
      <c r="AS27" s="778"/>
      <c r="AT27" s="778"/>
      <c r="AU27" s="778"/>
      <c r="AV27" s="778"/>
      <c r="AW27" s="778"/>
      <c r="AX27" s="778"/>
      <c r="AY27" s="778"/>
      <c r="AZ27" s="778"/>
      <c r="BA27" s="778"/>
      <c r="BB27" s="778"/>
      <c r="BC27" s="778"/>
      <c r="BD27" s="778"/>
      <c r="BE27" s="778"/>
      <c r="BF27" s="778"/>
    </row>
    <row r="28" spans="1:58" s="757" customFormat="1">
      <c r="A28" s="1363"/>
      <c r="B28" s="796" t="s">
        <v>11</v>
      </c>
      <c r="C28" s="778" t="s">
        <v>12</v>
      </c>
      <c r="D28" s="778"/>
      <c r="E28" s="781"/>
      <c r="F28" s="1343" t="s">
        <v>873</v>
      </c>
      <c r="G28" s="1461">
        <f t="shared" ref="G28:U28" si="7">SUM(G9,G16,G23,G27)</f>
        <v>-35657.144999999997</v>
      </c>
      <c r="H28" s="1462">
        <f t="shared" si="7"/>
        <v>-9659.8964999999989</v>
      </c>
      <c r="I28" s="1462">
        <f t="shared" si="7"/>
        <v>-29281.52</v>
      </c>
      <c r="J28" s="1462">
        <f t="shared" si="7"/>
        <v>-40</v>
      </c>
      <c r="K28" s="1462">
        <f t="shared" si="7"/>
        <v>-40</v>
      </c>
      <c r="L28" s="1462">
        <f t="shared" si="7"/>
        <v>-40</v>
      </c>
      <c r="M28" s="1462">
        <f t="shared" si="7"/>
        <v>-40</v>
      </c>
      <c r="N28" s="1462">
        <f t="shared" si="7"/>
        <v>-40</v>
      </c>
      <c r="O28" s="1462">
        <f t="shared" si="7"/>
        <v>-40</v>
      </c>
      <c r="P28" s="1462">
        <f t="shared" si="7"/>
        <v>-40</v>
      </c>
      <c r="Q28" s="1462">
        <f t="shared" si="7"/>
        <v>-40</v>
      </c>
      <c r="R28" s="1462">
        <f t="shared" si="7"/>
        <v>-40</v>
      </c>
      <c r="S28" s="1462">
        <f t="shared" si="7"/>
        <v>-40</v>
      </c>
      <c r="T28" s="1462">
        <f t="shared" si="7"/>
        <v>-40</v>
      </c>
      <c r="U28" s="1462">
        <f t="shared" si="7"/>
        <v>960</v>
      </c>
      <c r="V28" s="1466">
        <f t="shared" si="2"/>
        <v>-74078.561499999996</v>
      </c>
      <c r="W28" s="1478" t="b">
        <f>V28='3. DL invest.n.pl.AR pr.'!U32</f>
        <v>0</v>
      </c>
      <c r="X28" s="778"/>
      <c r="Y28" s="778"/>
      <c r="Z28" s="778"/>
      <c r="AA28" s="778"/>
      <c r="AB28" s="778"/>
      <c r="AC28" s="778"/>
      <c r="AD28" s="778"/>
      <c r="AE28" s="778"/>
      <c r="AF28" s="778"/>
      <c r="AG28" s="778"/>
      <c r="AH28" s="778"/>
      <c r="AI28" s="778"/>
      <c r="AJ28" s="778"/>
      <c r="AK28" s="778"/>
      <c r="AL28" s="778"/>
      <c r="AM28" s="778"/>
      <c r="AN28" s="778"/>
      <c r="AO28" s="778"/>
      <c r="AP28" s="778"/>
      <c r="AQ28" s="778"/>
      <c r="AR28" s="778"/>
      <c r="AS28" s="778"/>
      <c r="AT28" s="778"/>
      <c r="AU28" s="778"/>
      <c r="AV28" s="778"/>
      <c r="AW28" s="778"/>
      <c r="AX28" s="778"/>
      <c r="AY28" s="778"/>
      <c r="AZ28" s="778"/>
      <c r="BA28" s="778"/>
      <c r="BB28" s="778"/>
      <c r="BC28" s="778"/>
      <c r="BD28" s="778"/>
      <c r="BE28" s="778"/>
      <c r="BF28" s="778"/>
    </row>
    <row r="29" spans="1:58" s="784" customFormat="1">
      <c r="A29" s="1420" t="s">
        <v>231</v>
      </c>
      <c r="B29" s="1421" t="s">
        <v>13</v>
      </c>
      <c r="C29" s="1421"/>
      <c r="D29" s="1421"/>
      <c r="E29" s="1421"/>
      <c r="F29" s="1421"/>
      <c r="G29" s="1451"/>
      <c r="H29" s="1451"/>
      <c r="I29" s="1451"/>
      <c r="J29" s="1451"/>
      <c r="K29" s="1451"/>
      <c r="L29" s="1451"/>
      <c r="M29" s="1451"/>
      <c r="N29" s="1451"/>
      <c r="O29" s="1451"/>
      <c r="P29" s="1451"/>
      <c r="Q29" s="1451"/>
      <c r="R29" s="1451"/>
      <c r="S29" s="1451"/>
      <c r="T29" s="1451"/>
      <c r="U29" s="1451"/>
      <c r="V29" s="1452"/>
      <c r="W29" s="1477"/>
      <c r="X29" s="1352"/>
      <c r="Y29" s="1352"/>
      <c r="Z29" s="1352"/>
      <c r="AA29" s="1352"/>
      <c r="AB29" s="1352"/>
      <c r="AC29" s="1352"/>
      <c r="AD29" s="1352"/>
      <c r="AE29" s="1352"/>
      <c r="AF29" s="1352"/>
      <c r="AG29" s="1352"/>
      <c r="AH29" s="1352"/>
      <c r="AI29" s="1352"/>
      <c r="AJ29" s="1352"/>
      <c r="AK29" s="1352"/>
      <c r="AL29" s="1352"/>
      <c r="AM29" s="1352"/>
      <c r="AN29" s="1352"/>
      <c r="AO29" s="1352"/>
      <c r="AP29" s="1352"/>
      <c r="AQ29" s="1352"/>
      <c r="AR29" s="1352"/>
      <c r="AS29" s="1352"/>
      <c r="AT29" s="1352"/>
      <c r="AU29" s="1352"/>
      <c r="AV29" s="1352"/>
      <c r="AW29" s="1352"/>
      <c r="AX29" s="1352"/>
      <c r="AY29" s="1352"/>
      <c r="AZ29" s="1352"/>
      <c r="BA29" s="1352"/>
      <c r="BB29" s="1352"/>
      <c r="BC29" s="1352"/>
      <c r="BD29" s="1352"/>
      <c r="BE29" s="1352"/>
      <c r="BF29" s="1352"/>
    </row>
    <row r="30" spans="1:58" ht="13.5" thickBot="1">
      <c r="A30" s="804"/>
      <c r="B30" s="804"/>
      <c r="C30" s="804"/>
      <c r="D30" s="804"/>
      <c r="E30" s="804"/>
      <c r="F30" s="806"/>
      <c r="G30" s="804"/>
      <c r="H30" s="804"/>
      <c r="I30" s="804"/>
      <c r="J30" s="804"/>
      <c r="K30" s="804"/>
      <c r="L30" s="804"/>
      <c r="M30" s="804"/>
      <c r="N30" s="804"/>
      <c r="O30" s="804"/>
      <c r="P30" s="804"/>
      <c r="Q30" s="804"/>
      <c r="R30" s="804"/>
      <c r="S30" s="804"/>
      <c r="T30" s="804"/>
      <c r="U30" s="804"/>
      <c r="V30" s="804"/>
      <c r="W30" s="1477"/>
    </row>
    <row r="31" spans="1:58" s="759" customFormat="1" ht="15.75" thickBot="1">
      <c r="A31" s="1420"/>
      <c r="B31" s="1421"/>
      <c r="C31" s="1421" t="s">
        <v>153</v>
      </c>
      <c r="D31" s="1421"/>
      <c r="E31" s="1421"/>
      <c r="F31" s="1422" t="s">
        <v>15</v>
      </c>
      <c r="G31" s="1484">
        <f>Titullapa!C82</f>
        <v>0.04</v>
      </c>
      <c r="H31" s="1349"/>
      <c r="I31" s="1349"/>
      <c r="J31" s="1349"/>
      <c r="K31" s="1349"/>
      <c r="L31" s="1349"/>
      <c r="M31" s="1349"/>
      <c r="N31" s="1349"/>
      <c r="O31" s="1349"/>
      <c r="P31" s="1349"/>
      <c r="Q31" s="1349"/>
      <c r="R31" s="1349"/>
      <c r="S31" s="1349"/>
      <c r="T31" s="1349"/>
      <c r="U31" s="1349"/>
      <c r="V31" s="804"/>
      <c r="W31" s="804"/>
      <c r="X31" s="775"/>
      <c r="Y31" s="775"/>
      <c r="Z31" s="775"/>
      <c r="AA31" s="775"/>
      <c r="AB31" s="775"/>
      <c r="AC31" s="775"/>
      <c r="AD31" s="775"/>
      <c r="AE31" s="775"/>
      <c r="AF31" s="775"/>
      <c r="AG31" s="775"/>
      <c r="AH31" s="775"/>
      <c r="AI31" s="775"/>
      <c r="AJ31" s="775"/>
      <c r="AK31" s="775"/>
      <c r="AL31" s="775"/>
      <c r="AM31" s="775"/>
      <c r="AN31" s="775"/>
      <c r="AO31" s="775"/>
      <c r="AP31" s="775"/>
      <c r="AQ31" s="775"/>
      <c r="AR31" s="775"/>
      <c r="AS31" s="775"/>
      <c r="AT31" s="775"/>
      <c r="AU31" s="775"/>
      <c r="AV31" s="775"/>
      <c r="AW31" s="775"/>
      <c r="AX31" s="775"/>
      <c r="AY31" s="775"/>
      <c r="AZ31" s="775"/>
      <c r="BA31" s="775"/>
      <c r="BB31" s="775"/>
      <c r="BC31" s="775"/>
      <c r="BD31" s="775"/>
      <c r="BE31" s="775"/>
      <c r="BF31" s="775"/>
    </row>
    <row r="32" spans="1:58">
      <c r="A32" s="804"/>
      <c r="B32" s="804"/>
      <c r="C32" s="805"/>
      <c r="D32" s="805"/>
      <c r="E32" s="805"/>
      <c r="F32" s="806"/>
      <c r="G32" s="804"/>
      <c r="H32" s="804"/>
      <c r="I32" s="804"/>
      <c r="J32" s="804"/>
      <c r="K32" s="804"/>
      <c r="L32" s="804"/>
      <c r="M32" s="804"/>
      <c r="N32" s="804"/>
      <c r="O32" s="804"/>
      <c r="P32" s="804"/>
      <c r="Q32" s="804"/>
      <c r="R32" s="804"/>
      <c r="S32" s="804"/>
      <c r="T32" s="804"/>
      <c r="U32" s="804"/>
      <c r="V32" s="804"/>
    </row>
    <row r="33" spans="1:58">
      <c r="A33" s="1520"/>
      <c r="B33" s="1521"/>
      <c r="C33" s="1521" t="s">
        <v>17</v>
      </c>
      <c r="D33" s="1521"/>
      <c r="E33" s="1521"/>
      <c r="F33" s="1524" t="s">
        <v>18</v>
      </c>
      <c r="G33" s="1473">
        <v>0</v>
      </c>
      <c r="H33" s="1474">
        <v>1</v>
      </c>
      <c r="I33" s="1474">
        <v>2</v>
      </c>
      <c r="J33" s="1474">
        <v>3</v>
      </c>
      <c r="K33" s="1474">
        <v>4</v>
      </c>
      <c r="L33" s="1474">
        <v>5</v>
      </c>
      <c r="M33" s="1474">
        <v>6</v>
      </c>
      <c r="N33" s="1474">
        <v>7</v>
      </c>
      <c r="O33" s="1474">
        <v>8</v>
      </c>
      <c r="P33" s="1474">
        <v>9</v>
      </c>
      <c r="Q33" s="1474">
        <v>10</v>
      </c>
      <c r="R33" s="1474">
        <v>11</v>
      </c>
      <c r="S33" s="1474">
        <v>12</v>
      </c>
      <c r="T33" s="1474">
        <v>13</v>
      </c>
      <c r="U33" s="1474">
        <v>14</v>
      </c>
      <c r="V33" s="804"/>
    </row>
    <row r="34" spans="1:58">
      <c r="A34" s="1525"/>
      <c r="B34" s="1470"/>
      <c r="C34" s="1470" t="s">
        <v>20</v>
      </c>
      <c r="D34" s="1470"/>
      <c r="E34" s="1470"/>
      <c r="F34" s="1526" t="s">
        <v>21</v>
      </c>
      <c r="G34" s="1475">
        <f t="shared" ref="G34:U34" si="8">1/(1+$G$31)^G33</f>
        <v>1</v>
      </c>
      <c r="H34" s="1476">
        <f t="shared" si="8"/>
        <v>0.96153846153846145</v>
      </c>
      <c r="I34" s="1476">
        <f t="shared" si="8"/>
        <v>0.92455621301775137</v>
      </c>
      <c r="J34" s="1476">
        <f t="shared" si="8"/>
        <v>0.88899635867091487</v>
      </c>
      <c r="K34" s="1476">
        <f t="shared" si="8"/>
        <v>0.85480419102972571</v>
      </c>
      <c r="L34" s="1476">
        <f t="shared" si="8"/>
        <v>0.82192710675935154</v>
      </c>
      <c r="M34" s="1476">
        <f t="shared" si="8"/>
        <v>0.79031452573014571</v>
      </c>
      <c r="N34" s="1476">
        <f t="shared" si="8"/>
        <v>0.75991781320206331</v>
      </c>
      <c r="O34" s="1476">
        <f t="shared" si="8"/>
        <v>0.73069020500198378</v>
      </c>
      <c r="P34" s="1476">
        <f t="shared" si="8"/>
        <v>0.70258673557883045</v>
      </c>
      <c r="Q34" s="1476">
        <f t="shared" si="8"/>
        <v>0.67556416882579851</v>
      </c>
      <c r="R34" s="1476">
        <f t="shared" si="8"/>
        <v>0.6495809315632679</v>
      </c>
      <c r="S34" s="1476">
        <f t="shared" si="8"/>
        <v>0.62459704958006512</v>
      </c>
      <c r="T34" s="1476">
        <f t="shared" si="8"/>
        <v>0.600574086134678</v>
      </c>
      <c r="U34" s="1476">
        <f t="shared" si="8"/>
        <v>0.57747508282180582</v>
      </c>
      <c r="V34" s="804"/>
    </row>
    <row r="35" spans="1:58">
      <c r="A35" s="1527"/>
      <c r="B35" s="1528" t="s">
        <v>14</v>
      </c>
      <c r="C35" s="1528" t="s">
        <v>1016</v>
      </c>
      <c r="D35" s="1528"/>
      <c r="E35" s="1528"/>
      <c r="F35" s="1529" t="s">
        <v>873</v>
      </c>
      <c r="G35" s="1392">
        <f t="shared" ref="G35:P35" si="9">G9*G34</f>
        <v>360</v>
      </c>
      <c r="H35" s="1393">
        <f t="shared" si="9"/>
        <v>346.15384615384613</v>
      </c>
      <c r="I35" s="1393">
        <f t="shared" si="9"/>
        <v>332.84023668639048</v>
      </c>
      <c r="J35" s="1393">
        <f t="shared" si="9"/>
        <v>320.03868912152933</v>
      </c>
      <c r="K35" s="1393">
        <f t="shared" si="9"/>
        <v>307.72950877070127</v>
      </c>
      <c r="L35" s="1393">
        <f t="shared" si="9"/>
        <v>295.89375843336654</v>
      </c>
      <c r="M35" s="1393">
        <f t="shared" si="9"/>
        <v>284.51322926285246</v>
      </c>
      <c r="N35" s="1393">
        <f t="shared" si="9"/>
        <v>273.57041275274281</v>
      </c>
      <c r="O35" s="1393">
        <f t="shared" si="9"/>
        <v>263.04847380071413</v>
      </c>
      <c r="P35" s="1393">
        <f t="shared" si="9"/>
        <v>252.93122480837897</v>
      </c>
      <c r="Q35" s="1393">
        <f t="shared" ref="Q35:U35" si="10">Q9*Q34</f>
        <v>243.20310077728746</v>
      </c>
      <c r="R35" s="1393">
        <f t="shared" si="10"/>
        <v>233.84913536277645</v>
      </c>
      <c r="S35" s="1393">
        <f t="shared" si="10"/>
        <v>224.85493784882345</v>
      </c>
      <c r="T35" s="1393">
        <f t="shared" si="10"/>
        <v>216.20667100848408</v>
      </c>
      <c r="U35" s="1393">
        <f t="shared" si="10"/>
        <v>207.89102981585009</v>
      </c>
      <c r="V35" s="1467">
        <f t="shared" ref="V35:V40" si="11">SUM(G35:U35)</f>
        <v>4162.7242546037432</v>
      </c>
    </row>
    <row r="36" spans="1:58" hidden="1">
      <c r="A36" s="1530"/>
      <c r="B36" s="1352" t="s">
        <v>23</v>
      </c>
      <c r="C36" s="1352" t="s">
        <v>82</v>
      </c>
      <c r="D36" s="1352"/>
      <c r="E36" s="1352"/>
      <c r="F36" s="1531" t="s">
        <v>873</v>
      </c>
      <c r="G36" s="1395" t="e">
        <f>#REF!*G34</f>
        <v>#REF!</v>
      </c>
      <c r="H36" s="1349" t="e">
        <f>#REF!*H34</f>
        <v>#REF!</v>
      </c>
      <c r="I36" s="1349" t="e">
        <f>#REF!*I34</f>
        <v>#REF!</v>
      </c>
      <c r="J36" s="1349" t="e">
        <f>#REF!*J34</f>
        <v>#REF!</v>
      </c>
      <c r="K36" s="1349" t="e">
        <f>#REF!*K34</f>
        <v>#REF!</v>
      </c>
      <c r="L36" s="1349" t="e">
        <f>#REF!*L34</f>
        <v>#REF!</v>
      </c>
      <c r="M36" s="1349" t="e">
        <f>#REF!*M34</f>
        <v>#REF!</v>
      </c>
      <c r="N36" s="1349" t="e">
        <f>#REF!*N34</f>
        <v>#REF!</v>
      </c>
      <c r="O36" s="1349" t="e">
        <f>#REF!*O34</f>
        <v>#REF!</v>
      </c>
      <c r="P36" s="1349" t="e">
        <f>#REF!*P34</f>
        <v>#REF!</v>
      </c>
      <c r="Q36" s="1349" t="e">
        <f>#REF!*Q34</f>
        <v>#REF!</v>
      </c>
      <c r="R36" s="1349" t="e">
        <f>#REF!*R34</f>
        <v>#REF!</v>
      </c>
      <c r="S36" s="1349" t="e">
        <f>#REF!*S34</f>
        <v>#REF!</v>
      </c>
      <c r="T36" s="1349" t="e">
        <f>#REF!*T34</f>
        <v>#REF!</v>
      </c>
      <c r="U36" s="1349" t="e">
        <f>#REF!*U34</f>
        <v>#REF!</v>
      </c>
      <c r="V36" s="1468" t="e">
        <f t="shared" si="11"/>
        <v>#REF!</v>
      </c>
    </row>
    <row r="37" spans="1:58">
      <c r="A37" s="1530"/>
      <c r="B37" s="1352" t="s">
        <v>16</v>
      </c>
      <c r="C37" s="1352" t="s">
        <v>1017</v>
      </c>
      <c r="D37" s="1352"/>
      <c r="E37" s="1352"/>
      <c r="F37" s="1531" t="s">
        <v>873</v>
      </c>
      <c r="G37" s="1395">
        <f t="shared" ref="G37:P37" si="12">G16*G34</f>
        <v>-400</v>
      </c>
      <c r="H37" s="1349">
        <f t="shared" si="12"/>
        <v>-384.61538461538458</v>
      </c>
      <c r="I37" s="1349">
        <f t="shared" si="12"/>
        <v>-369.82248520710056</v>
      </c>
      <c r="J37" s="1349">
        <f t="shared" si="12"/>
        <v>-355.59854346836596</v>
      </c>
      <c r="K37" s="1349">
        <f t="shared" si="12"/>
        <v>-341.9216764118903</v>
      </c>
      <c r="L37" s="1349">
        <f t="shared" si="12"/>
        <v>-328.77084270374064</v>
      </c>
      <c r="M37" s="1349">
        <f t="shared" si="12"/>
        <v>-316.1258102920583</v>
      </c>
      <c r="N37" s="1349">
        <f t="shared" si="12"/>
        <v>-303.96712528082531</v>
      </c>
      <c r="O37" s="1349">
        <f t="shared" si="12"/>
        <v>-292.27608200079351</v>
      </c>
      <c r="P37" s="1349">
        <f t="shared" si="12"/>
        <v>-281.03469423153217</v>
      </c>
      <c r="Q37" s="1349">
        <f t="shared" ref="Q37:U37" si="13">Q16*Q34</f>
        <v>-270.22566753031941</v>
      </c>
      <c r="R37" s="1349">
        <f t="shared" si="13"/>
        <v>-259.83237262530719</v>
      </c>
      <c r="S37" s="1349">
        <f t="shared" si="13"/>
        <v>-249.83881983202605</v>
      </c>
      <c r="T37" s="1349">
        <f t="shared" si="13"/>
        <v>-240.2296344538712</v>
      </c>
      <c r="U37" s="1349">
        <f t="shared" si="13"/>
        <v>-230.99003312872233</v>
      </c>
      <c r="V37" s="1468">
        <f t="shared" si="11"/>
        <v>-4625.2491717819366</v>
      </c>
    </row>
    <row r="38" spans="1:58">
      <c r="A38" s="1530"/>
      <c r="B38" s="1352" t="s">
        <v>19</v>
      </c>
      <c r="C38" s="1352" t="s">
        <v>25</v>
      </c>
      <c r="D38" s="1352"/>
      <c r="E38" s="1352"/>
      <c r="F38" s="1531" t="s">
        <v>873</v>
      </c>
      <c r="G38" s="1395">
        <f t="shared" ref="G38:P38" si="14">G23*G34</f>
        <v>-35617.144999999997</v>
      </c>
      <c r="H38" s="1349">
        <f t="shared" si="14"/>
        <v>-9249.900480769229</v>
      </c>
      <c r="I38" s="1349">
        <f t="shared" si="14"/>
        <v>-27035.428994082838</v>
      </c>
      <c r="J38" s="1349">
        <f t="shared" si="14"/>
        <v>0</v>
      </c>
      <c r="K38" s="1349">
        <f t="shared" si="14"/>
        <v>0</v>
      </c>
      <c r="L38" s="1349">
        <f t="shared" si="14"/>
        <v>0</v>
      </c>
      <c r="M38" s="1349">
        <f t="shared" si="14"/>
        <v>0</v>
      </c>
      <c r="N38" s="1349">
        <f t="shared" si="14"/>
        <v>0</v>
      </c>
      <c r="O38" s="1349">
        <f t="shared" si="14"/>
        <v>0</v>
      </c>
      <c r="P38" s="1349">
        <f t="shared" si="14"/>
        <v>0</v>
      </c>
      <c r="Q38" s="1349">
        <f t="shared" ref="Q38:U38" si="15">Q23*Q34</f>
        <v>0</v>
      </c>
      <c r="R38" s="1349">
        <f t="shared" si="15"/>
        <v>0</v>
      </c>
      <c r="S38" s="1349">
        <f t="shared" si="15"/>
        <v>0</v>
      </c>
      <c r="T38" s="1349">
        <f t="shared" si="15"/>
        <v>0</v>
      </c>
      <c r="U38" s="1349">
        <f t="shared" si="15"/>
        <v>0</v>
      </c>
      <c r="V38" s="1468">
        <f t="shared" si="11"/>
        <v>-71902.474474852061</v>
      </c>
    </row>
    <row r="39" spans="1:58">
      <c r="A39" s="1530"/>
      <c r="B39" s="1352" t="s">
        <v>22</v>
      </c>
      <c r="C39" s="1352" t="s">
        <v>27</v>
      </c>
      <c r="D39" s="1352"/>
      <c r="E39" s="1352"/>
      <c r="F39" s="1531" t="s">
        <v>873</v>
      </c>
      <c r="G39" s="1395">
        <f>G27*G34</f>
        <v>0</v>
      </c>
      <c r="H39" s="1349">
        <f t="shared" ref="H39:P39" si="16">H27*H34</f>
        <v>0</v>
      </c>
      <c r="I39" s="1349">
        <f t="shared" si="16"/>
        <v>0</v>
      </c>
      <c r="J39" s="1349">
        <f t="shared" si="16"/>
        <v>0</v>
      </c>
      <c r="K39" s="1349">
        <f t="shared" si="16"/>
        <v>0</v>
      </c>
      <c r="L39" s="1349">
        <f t="shared" si="16"/>
        <v>0</v>
      </c>
      <c r="M39" s="1349">
        <f t="shared" si="16"/>
        <v>0</v>
      </c>
      <c r="N39" s="1349">
        <f t="shared" si="16"/>
        <v>0</v>
      </c>
      <c r="O39" s="1349">
        <f t="shared" si="16"/>
        <v>0</v>
      </c>
      <c r="P39" s="1349">
        <f t="shared" si="16"/>
        <v>0</v>
      </c>
      <c r="Q39" s="1349">
        <f t="shared" ref="Q39:U39" si="17">Q27*Q34</f>
        <v>0</v>
      </c>
      <c r="R39" s="1349">
        <f t="shared" si="17"/>
        <v>0</v>
      </c>
      <c r="S39" s="1349">
        <f t="shared" si="17"/>
        <v>0</v>
      </c>
      <c r="T39" s="1349">
        <f t="shared" si="17"/>
        <v>0</v>
      </c>
      <c r="U39" s="1349">
        <f t="shared" si="17"/>
        <v>577.47508282180581</v>
      </c>
      <c r="V39" s="1468">
        <f t="shared" si="11"/>
        <v>577.47508282180581</v>
      </c>
    </row>
    <row r="40" spans="1:58">
      <c r="A40" s="1532"/>
      <c r="B40" s="1471" t="s">
        <v>23</v>
      </c>
      <c r="C40" s="1471" t="s">
        <v>29</v>
      </c>
      <c r="D40" s="1471"/>
      <c r="E40" s="1471"/>
      <c r="F40" s="1533" t="s">
        <v>873</v>
      </c>
      <c r="G40" s="1397">
        <f>G28*G34</f>
        <v>-35657.144999999997</v>
      </c>
      <c r="H40" s="1398">
        <f t="shared" ref="H40:P40" si="18">H28*H34</f>
        <v>-9288.3620192307681</v>
      </c>
      <c r="I40" s="1398">
        <f t="shared" si="18"/>
        <v>-27072.411242603546</v>
      </c>
      <c r="J40" s="1398">
        <f t="shared" si="18"/>
        <v>-35.559854346836595</v>
      </c>
      <c r="K40" s="1398">
        <f t="shared" si="18"/>
        <v>-34.19216764118903</v>
      </c>
      <c r="L40" s="1398">
        <f t="shared" si="18"/>
        <v>-32.877084270374063</v>
      </c>
      <c r="M40" s="1398">
        <f t="shared" si="18"/>
        <v>-31.612581029205828</v>
      </c>
      <c r="N40" s="1398">
        <f t="shared" si="18"/>
        <v>-30.396712528082531</v>
      </c>
      <c r="O40" s="1398">
        <f t="shared" si="18"/>
        <v>-29.227608200079352</v>
      </c>
      <c r="P40" s="1398">
        <f t="shared" si="18"/>
        <v>-28.103469423153218</v>
      </c>
      <c r="Q40" s="1398">
        <f t="shared" ref="Q40:U40" si="19">Q28*Q34</f>
        <v>-27.022566753031938</v>
      </c>
      <c r="R40" s="1398">
        <f t="shared" si="19"/>
        <v>-25.983237262530714</v>
      </c>
      <c r="S40" s="1398">
        <f t="shared" si="19"/>
        <v>-24.983881983202604</v>
      </c>
      <c r="T40" s="1398">
        <f t="shared" si="19"/>
        <v>-24.02296344538712</v>
      </c>
      <c r="U40" s="1398">
        <f t="shared" si="19"/>
        <v>554.37607950893357</v>
      </c>
      <c r="V40" s="1469">
        <f t="shared" si="11"/>
        <v>-71787.524309208413</v>
      </c>
    </row>
    <row r="41" spans="1:58" s="775" customFormat="1">
      <c r="A41" s="804"/>
      <c r="B41" s="804"/>
      <c r="C41" s="804"/>
      <c r="D41" s="804"/>
      <c r="E41" s="804"/>
      <c r="F41" s="806"/>
      <c r="G41" s="804"/>
      <c r="H41" s="804"/>
      <c r="I41" s="804"/>
      <c r="J41" s="804"/>
      <c r="K41" s="804"/>
      <c r="L41" s="804"/>
      <c r="M41" s="804"/>
      <c r="N41" s="804"/>
      <c r="O41" s="804"/>
      <c r="P41" s="804"/>
      <c r="Q41" s="804"/>
      <c r="R41" s="804"/>
      <c r="S41" s="804"/>
      <c r="T41" s="804"/>
      <c r="U41" s="804"/>
      <c r="V41" s="804"/>
      <c r="W41" s="804"/>
    </row>
    <row r="42" spans="1:58" s="784" customFormat="1">
      <c r="A42" s="1420">
        <v>3</v>
      </c>
      <c r="B42" s="1421" t="s">
        <v>30</v>
      </c>
      <c r="C42" s="1421"/>
      <c r="D42" s="1421"/>
      <c r="E42" s="1421"/>
      <c r="F42" s="1421"/>
      <c r="G42" s="1422"/>
      <c r="H42" s="1422"/>
      <c r="I42" s="1422"/>
      <c r="J42" s="1422"/>
      <c r="K42" s="1422"/>
      <c r="L42" s="1422"/>
      <c r="M42" s="1422"/>
      <c r="N42" s="1422"/>
      <c r="O42" s="1422"/>
      <c r="P42" s="1422"/>
      <c r="Q42" s="1422"/>
      <c r="R42" s="1422"/>
      <c r="S42" s="1422"/>
      <c r="T42" s="1422"/>
      <c r="U42" s="1422"/>
      <c r="V42" s="1423"/>
      <c r="W42" s="804"/>
      <c r="X42" s="1352"/>
      <c r="Y42" s="1352"/>
      <c r="Z42" s="1352"/>
      <c r="AA42" s="1352"/>
      <c r="AB42" s="1352"/>
      <c r="AC42" s="1352"/>
      <c r="AD42" s="1352"/>
      <c r="AE42" s="1352"/>
      <c r="AF42" s="1352"/>
      <c r="AG42" s="1352"/>
      <c r="AH42" s="1352"/>
      <c r="AI42" s="1352"/>
      <c r="AJ42" s="1352"/>
      <c r="AK42" s="1352"/>
      <c r="AL42" s="1352"/>
      <c r="AM42" s="1352"/>
      <c r="AN42" s="1352"/>
      <c r="AO42" s="1352"/>
      <c r="AP42" s="1352"/>
      <c r="AQ42" s="1352"/>
      <c r="AR42" s="1352"/>
      <c r="AS42" s="1352"/>
      <c r="AT42" s="1352"/>
      <c r="AU42" s="1352"/>
      <c r="AV42" s="1352"/>
      <c r="AW42" s="1352"/>
      <c r="AX42" s="1352"/>
      <c r="AY42" s="1352"/>
      <c r="AZ42" s="1352"/>
      <c r="BA42" s="1352"/>
      <c r="BB42" s="1352"/>
      <c r="BC42" s="1352"/>
      <c r="BD42" s="1352"/>
      <c r="BE42" s="1352"/>
      <c r="BF42" s="1352"/>
    </row>
    <row r="43" spans="1:58" s="775" customFormat="1">
      <c r="A43" s="1371"/>
      <c r="B43" s="1371"/>
      <c r="C43" s="1371"/>
      <c r="D43" s="1371"/>
      <c r="E43" s="1371"/>
      <c r="F43" s="1372"/>
      <c r="G43" s="1373"/>
      <c r="H43" s="1374" t="s">
        <v>31</v>
      </c>
      <c r="I43" s="1374"/>
      <c r="J43" s="1374" t="s">
        <v>32</v>
      </c>
      <c r="K43" s="1374"/>
      <c r="L43" s="804"/>
      <c r="M43" s="804"/>
      <c r="N43" s="804"/>
      <c r="O43" s="804"/>
      <c r="P43" s="804"/>
      <c r="Q43" s="804"/>
      <c r="R43" s="804"/>
      <c r="S43" s="804"/>
      <c r="T43" s="804"/>
      <c r="U43" s="804"/>
      <c r="V43" s="804"/>
      <c r="W43" s="804"/>
      <c r="X43" s="804"/>
    </row>
    <row r="44" spans="1:58" s="775" customFormat="1">
      <c r="A44" s="804"/>
      <c r="B44" s="804" t="s">
        <v>33</v>
      </c>
      <c r="C44" s="805" t="s">
        <v>974</v>
      </c>
      <c r="D44" s="804"/>
      <c r="E44" s="804"/>
      <c r="F44" s="1375"/>
      <c r="G44" s="1376"/>
      <c r="H44" s="1377">
        <f>V9</f>
        <v>5400</v>
      </c>
      <c r="I44" s="1377"/>
      <c r="J44" s="815">
        <f>V35</f>
        <v>4162.7242546037432</v>
      </c>
      <c r="K44" s="778"/>
      <c r="L44" s="804"/>
      <c r="M44" s="804"/>
      <c r="N44" s="804"/>
      <c r="O44" s="804"/>
      <c r="P44" s="804"/>
      <c r="Q44" s="804"/>
      <c r="R44" s="804"/>
      <c r="S44" s="804"/>
      <c r="T44" s="804"/>
      <c r="U44" s="804"/>
      <c r="V44" s="804"/>
      <c r="W44" s="804"/>
      <c r="X44" s="804"/>
    </row>
    <row r="45" spans="1:58" s="775" customFormat="1">
      <c r="A45" s="804"/>
      <c r="B45" s="804" t="s">
        <v>34</v>
      </c>
      <c r="C45" s="805" t="s">
        <v>1015</v>
      </c>
      <c r="D45" s="804"/>
      <c r="E45" s="804"/>
      <c r="F45" s="1375"/>
      <c r="G45" s="1376"/>
      <c r="H45" s="1377">
        <f>V16</f>
        <v>-6000</v>
      </c>
      <c r="I45" s="1377"/>
      <c r="J45" s="815">
        <f>V37</f>
        <v>-4625.2491717819366</v>
      </c>
      <c r="K45" s="778"/>
      <c r="L45" s="804"/>
      <c r="M45" s="804"/>
      <c r="N45" s="804"/>
      <c r="O45" s="804"/>
      <c r="P45" s="804"/>
      <c r="Q45" s="804"/>
      <c r="R45" s="804"/>
      <c r="S45" s="804"/>
      <c r="T45" s="804"/>
      <c r="U45" s="804"/>
      <c r="V45" s="804"/>
      <c r="W45" s="804"/>
      <c r="X45" s="804"/>
    </row>
    <row r="46" spans="1:58" s="775" customFormat="1">
      <c r="A46" s="804"/>
      <c r="B46" s="804" t="s">
        <v>35</v>
      </c>
      <c r="C46" s="805" t="s">
        <v>8</v>
      </c>
      <c r="D46" s="804"/>
      <c r="E46" s="804"/>
      <c r="F46" s="1378"/>
      <c r="G46" s="1379"/>
      <c r="H46" s="1377">
        <f>V23</f>
        <v>-74478.561499999996</v>
      </c>
      <c r="I46" s="1377"/>
      <c r="J46" s="815">
        <f>V38</f>
        <v>-71902.474474852061</v>
      </c>
      <c r="K46" s="778"/>
      <c r="L46" s="804"/>
      <c r="M46" s="804"/>
      <c r="N46" s="804"/>
      <c r="O46" s="804"/>
      <c r="P46" s="804"/>
      <c r="Q46" s="804"/>
      <c r="R46" s="804"/>
      <c r="S46" s="804"/>
      <c r="T46" s="804"/>
      <c r="U46" s="804"/>
      <c r="V46" s="804"/>
      <c r="W46" s="804"/>
      <c r="X46" s="804"/>
    </row>
    <row r="47" spans="1:58" s="775" customFormat="1">
      <c r="A47" s="804"/>
      <c r="B47" s="804" t="s">
        <v>36</v>
      </c>
      <c r="C47" s="805" t="s">
        <v>10</v>
      </c>
      <c r="D47" s="804"/>
      <c r="E47" s="804"/>
      <c r="F47" s="1378"/>
      <c r="G47" s="1379"/>
      <c r="H47" s="1377">
        <f>V27</f>
        <v>1000</v>
      </c>
      <c r="I47" s="1377"/>
      <c r="J47" s="815">
        <f>V39</f>
        <v>577.47508282180581</v>
      </c>
      <c r="K47" s="778"/>
      <c r="L47" s="804"/>
      <c r="M47" s="804"/>
      <c r="N47" s="804"/>
      <c r="O47" s="804"/>
      <c r="P47" s="804"/>
      <c r="Q47" s="804"/>
      <c r="R47" s="804"/>
      <c r="S47" s="804"/>
      <c r="T47" s="804"/>
      <c r="U47" s="804"/>
      <c r="V47" s="804"/>
      <c r="W47" s="804"/>
      <c r="X47" s="804"/>
    </row>
    <row r="48" spans="1:58" s="775" customFormat="1">
      <c r="A48" s="804"/>
      <c r="B48" s="804" t="s">
        <v>37</v>
      </c>
      <c r="C48" s="805" t="s">
        <v>12</v>
      </c>
      <c r="D48" s="804"/>
      <c r="E48" s="804"/>
      <c r="F48" s="1380"/>
      <c r="G48" s="1343"/>
      <c r="H48" s="1377">
        <f>V28</f>
        <v>-74078.561499999996</v>
      </c>
      <c r="I48" s="1381"/>
      <c r="J48" s="815">
        <f>V40</f>
        <v>-71787.524309208413</v>
      </c>
      <c r="K48" s="804"/>
      <c r="L48" s="804"/>
      <c r="M48" s="804"/>
      <c r="N48" s="804"/>
      <c r="O48" s="804"/>
      <c r="P48" s="804"/>
      <c r="Q48" s="804"/>
      <c r="R48" s="804"/>
      <c r="S48" s="804"/>
      <c r="T48" s="804"/>
      <c r="U48" s="804"/>
      <c r="V48" s="804"/>
      <c r="W48" s="804"/>
      <c r="X48" s="804"/>
    </row>
    <row r="49" spans="1:58" s="784" customFormat="1">
      <c r="A49" s="1420">
        <v>4</v>
      </c>
      <c r="B49" s="1421" t="s">
        <v>38</v>
      </c>
      <c r="C49" s="1421"/>
      <c r="D49" s="1421"/>
      <c r="E49" s="1421"/>
      <c r="F49" s="1421"/>
      <c r="G49" s="1421"/>
      <c r="H49" s="1422"/>
      <c r="I49" s="1422"/>
      <c r="J49" s="1422"/>
      <c r="K49" s="1422"/>
      <c r="L49" s="1422"/>
      <c r="M49" s="1422"/>
      <c r="N49" s="1422"/>
      <c r="O49" s="1422"/>
      <c r="P49" s="1422"/>
      <c r="Q49" s="1422"/>
      <c r="R49" s="1422"/>
      <c r="S49" s="1422"/>
      <c r="T49" s="1422"/>
      <c r="U49" s="1422"/>
      <c r="V49" s="1422"/>
      <c r="W49" s="804"/>
      <c r="X49" s="804"/>
      <c r="Y49" s="1352"/>
      <c r="Z49" s="1352"/>
      <c r="AA49" s="1352"/>
      <c r="AB49" s="1352"/>
      <c r="AC49" s="1352"/>
      <c r="AD49" s="1352"/>
      <c r="AE49" s="1352"/>
      <c r="AF49" s="1352"/>
      <c r="AG49" s="1352"/>
      <c r="AH49" s="1352"/>
      <c r="AI49" s="1352"/>
      <c r="AJ49" s="1352"/>
      <c r="AK49" s="1352"/>
      <c r="AL49" s="1352"/>
      <c r="AM49" s="1352"/>
      <c r="AN49" s="1352"/>
      <c r="AO49" s="1352"/>
      <c r="AP49" s="1352"/>
      <c r="AQ49" s="1352"/>
      <c r="AR49" s="1352"/>
      <c r="AS49" s="1352"/>
      <c r="AT49" s="1352"/>
      <c r="AU49" s="1352"/>
      <c r="AV49" s="1352"/>
      <c r="AW49" s="1352"/>
      <c r="AX49" s="1352"/>
      <c r="AY49" s="1352"/>
      <c r="AZ49" s="1352"/>
      <c r="BA49" s="1352"/>
      <c r="BB49" s="1352"/>
      <c r="BC49" s="1352"/>
      <c r="BD49" s="1352"/>
      <c r="BE49" s="1352"/>
      <c r="BF49" s="1352"/>
    </row>
    <row r="50" spans="1:58" s="1352" customFormat="1">
      <c r="F50" s="1436"/>
      <c r="G50" s="1436"/>
      <c r="H50" s="1472"/>
      <c r="I50" s="1472"/>
      <c r="J50" s="1472"/>
      <c r="K50" s="1472"/>
      <c r="L50" s="1399"/>
      <c r="M50" s="1399"/>
      <c r="N50" s="1399"/>
      <c r="O50" s="1399"/>
      <c r="P50" s="1399"/>
      <c r="Q50" s="1399"/>
      <c r="R50" s="1399"/>
      <c r="S50" s="1399"/>
      <c r="T50" s="1399"/>
      <c r="U50" s="1399"/>
      <c r="V50" s="1399"/>
      <c r="W50" s="804"/>
      <c r="X50" s="804"/>
    </row>
    <row r="51" spans="1:58" s="775" customFormat="1" ht="14.25" customHeight="1">
      <c r="F51" s="2200" t="s">
        <v>69</v>
      </c>
      <c r="G51" s="2191"/>
      <c r="H51" s="2191" t="s">
        <v>68</v>
      </c>
      <c r="I51" s="2191"/>
      <c r="J51" s="2191" t="s">
        <v>78</v>
      </c>
      <c r="K51" s="2192"/>
      <c r="L51" s="804"/>
      <c r="M51" s="804"/>
      <c r="N51" s="804"/>
      <c r="O51" s="804"/>
      <c r="P51" s="804"/>
      <c r="Q51" s="804"/>
      <c r="R51" s="804"/>
      <c r="S51" s="804"/>
      <c r="T51" s="804"/>
      <c r="U51" s="804"/>
      <c r="V51" s="804"/>
      <c r="W51" s="804"/>
      <c r="X51" s="804"/>
    </row>
    <row r="52" spans="1:58" s="775" customFormat="1">
      <c r="A52" s="804"/>
      <c r="B52" s="804" t="s">
        <v>39</v>
      </c>
      <c r="C52" s="805" t="s">
        <v>40</v>
      </c>
      <c r="D52" s="804"/>
      <c r="E52" s="804"/>
      <c r="F52" s="2201">
        <f>'12. RL Investīciju n.pl.'!F38</f>
        <v>-70470.774686427365</v>
      </c>
      <c r="G52" s="2202"/>
      <c r="H52" s="2202">
        <f>J48</f>
        <v>-71787.524309208413</v>
      </c>
      <c r="I52" s="2202"/>
      <c r="J52" s="2193">
        <f>H52/F52-1</f>
        <v>1.8685045377181853E-2</v>
      </c>
      <c r="K52" s="2194"/>
      <c r="L52" s="804"/>
      <c r="M52" s="804"/>
      <c r="N52" s="804"/>
      <c r="O52" s="804"/>
      <c r="P52" s="804"/>
      <c r="Q52" s="804"/>
      <c r="R52" s="804"/>
      <c r="S52" s="804"/>
      <c r="T52" s="804"/>
      <c r="U52" s="804"/>
      <c r="V52" s="804"/>
      <c r="W52" s="804"/>
      <c r="X52" s="804"/>
    </row>
    <row r="53" spans="1:58" s="775" customFormat="1">
      <c r="A53" s="804"/>
      <c r="B53" s="804" t="s">
        <v>55</v>
      </c>
      <c r="C53" s="805" t="s">
        <v>42</v>
      </c>
      <c r="D53" s="804"/>
      <c r="E53" s="804"/>
      <c r="F53" s="2203">
        <f>'12. RL Investīciju n.pl.'!F39</f>
        <v>-0.29046440931111461</v>
      </c>
      <c r="G53" s="2204"/>
      <c r="H53" s="2205">
        <f>IRR(G28:U28,J55)</f>
        <v>-0.29145847124637203</v>
      </c>
      <c r="I53" s="2205"/>
      <c r="J53" s="2195">
        <f>H53-F53</f>
        <v>-9.9406193525741759E-4</v>
      </c>
      <c r="K53" s="2196"/>
      <c r="L53" s="804" t="s">
        <v>1204</v>
      </c>
      <c r="M53" s="804"/>
      <c r="N53" s="804"/>
      <c r="O53" s="804"/>
      <c r="P53" s="804"/>
      <c r="Q53" s="804"/>
      <c r="R53" s="804"/>
      <c r="S53" s="804"/>
      <c r="T53" s="804"/>
      <c r="U53" s="804"/>
      <c r="V53" s="804"/>
      <c r="W53" s="804"/>
      <c r="X53" s="804"/>
    </row>
    <row r="54" spans="1:58" s="775" customFormat="1">
      <c r="A54" s="804"/>
      <c r="B54" s="2143" t="s">
        <v>41</v>
      </c>
      <c r="C54" s="804" t="s">
        <v>74</v>
      </c>
      <c r="D54" s="804"/>
      <c r="E54" s="804"/>
      <c r="F54" s="2189">
        <f>'11. RL Kapitāla naudas plūsma'!G39</f>
        <v>-70470.774686427365</v>
      </c>
      <c r="G54" s="2190"/>
      <c r="H54" s="2187">
        <f>J48</f>
        <v>-71787.524309208413</v>
      </c>
      <c r="I54" s="2188"/>
      <c r="J54" s="2185">
        <f>H54/F54-1</f>
        <v>1.8685045377181853E-2</v>
      </c>
      <c r="K54" s="2186"/>
      <c r="L54" s="804"/>
      <c r="M54" s="804"/>
      <c r="N54" s="804"/>
      <c r="O54" s="804"/>
      <c r="P54" s="804"/>
      <c r="Q54" s="804"/>
      <c r="R54" s="804"/>
      <c r="S54" s="804"/>
      <c r="T54" s="804"/>
      <c r="U54" s="804"/>
      <c r="V54" s="804"/>
      <c r="W54" s="804"/>
      <c r="X54" s="804"/>
    </row>
    <row r="55" spans="1:58" s="775" customFormat="1" ht="22.5" customHeight="1">
      <c r="A55" s="804"/>
      <c r="F55" s="2145" t="s">
        <v>1205</v>
      </c>
      <c r="J55" s="2146">
        <v>-0.6</v>
      </c>
      <c r="L55" s="804"/>
      <c r="M55" s="804"/>
      <c r="N55" s="804"/>
      <c r="O55" s="804"/>
      <c r="P55" s="804"/>
      <c r="Q55" s="804"/>
      <c r="R55" s="804"/>
      <c r="S55" s="804"/>
      <c r="T55" s="804"/>
      <c r="U55" s="804"/>
      <c r="V55" s="804"/>
      <c r="W55" s="804"/>
    </row>
    <row r="56" spans="1:58" s="775" customFormat="1">
      <c r="A56" s="1420"/>
      <c r="B56" s="1421"/>
      <c r="C56" s="1421"/>
      <c r="D56" s="1421"/>
      <c r="E56" s="1421"/>
      <c r="F56" s="1421"/>
      <c r="G56" s="1421"/>
      <c r="H56" s="1422"/>
      <c r="I56" s="1422"/>
      <c r="J56" s="1422"/>
      <c r="K56" s="1422"/>
      <c r="L56" s="1422"/>
      <c r="M56" s="1422"/>
      <c r="N56" s="1422"/>
      <c r="O56" s="1422"/>
      <c r="P56" s="1422"/>
      <c r="Q56" s="1422"/>
      <c r="R56" s="1422"/>
      <c r="S56" s="1422"/>
      <c r="T56" s="1422"/>
      <c r="U56" s="1422"/>
      <c r="V56" s="1422"/>
      <c r="W56" s="804"/>
    </row>
    <row r="57" spans="1:58" s="775" customFormat="1">
      <c r="A57" s="804"/>
      <c r="B57" s="806"/>
      <c r="C57" s="1765"/>
      <c r="D57" s="804"/>
      <c r="E57" s="804"/>
      <c r="F57" s="806"/>
      <c r="G57" s="804"/>
      <c r="H57" s="1382"/>
      <c r="I57" s="1382"/>
      <c r="J57" s="804"/>
      <c r="K57" s="804"/>
      <c r="L57" s="804"/>
      <c r="M57" s="804"/>
      <c r="N57" s="804"/>
      <c r="O57" s="804"/>
      <c r="P57" s="804"/>
      <c r="Q57" s="804"/>
      <c r="R57" s="804"/>
      <c r="S57" s="804"/>
      <c r="T57" s="804"/>
      <c r="U57" s="804"/>
      <c r="V57" s="804"/>
      <c r="W57" s="804"/>
    </row>
    <row r="58" spans="1:58" s="775" customFormat="1">
      <c r="A58" s="804"/>
      <c r="B58" s="806"/>
      <c r="C58" s="1765"/>
      <c r="D58" s="804"/>
      <c r="E58" s="804"/>
      <c r="F58" s="806"/>
      <c r="G58" s="804"/>
      <c r="H58" s="804"/>
      <c r="I58" s="804"/>
      <c r="J58" s="804"/>
      <c r="K58" s="804"/>
      <c r="L58" s="804"/>
      <c r="M58" s="804"/>
      <c r="N58" s="804"/>
      <c r="O58" s="804"/>
      <c r="P58" s="804"/>
      <c r="Q58" s="804"/>
      <c r="R58" s="804"/>
      <c r="S58" s="804"/>
      <c r="T58" s="804"/>
      <c r="U58" s="804"/>
      <c r="V58" s="804"/>
      <c r="W58" s="804"/>
    </row>
    <row r="59" spans="1:58" s="775" customFormat="1">
      <c r="A59" s="804"/>
      <c r="B59" s="806"/>
      <c r="C59" s="1765"/>
      <c r="D59" s="804"/>
      <c r="E59" s="804"/>
      <c r="F59" s="806"/>
      <c r="G59" s="804"/>
      <c r="H59" s="804"/>
      <c r="I59" s="804"/>
      <c r="J59" s="804"/>
      <c r="K59" s="804"/>
      <c r="L59" s="804"/>
      <c r="M59" s="804"/>
      <c r="N59" s="804"/>
      <c r="O59" s="804"/>
      <c r="P59" s="804"/>
      <c r="Q59" s="804"/>
      <c r="R59" s="804"/>
      <c r="S59" s="804"/>
      <c r="T59" s="804"/>
      <c r="U59" s="804"/>
      <c r="V59" s="804"/>
      <c r="W59" s="804"/>
    </row>
    <row r="60" spans="1:58" s="775" customFormat="1">
      <c r="A60" s="804"/>
      <c r="B60" s="806"/>
      <c r="C60" s="1765"/>
      <c r="D60" s="804"/>
      <c r="E60" s="804"/>
      <c r="F60" s="806"/>
      <c r="G60" s="804"/>
      <c r="H60" s="804"/>
      <c r="I60" s="804"/>
      <c r="J60" s="804"/>
      <c r="K60" s="804"/>
      <c r="L60" s="804"/>
      <c r="M60" s="804"/>
      <c r="N60" s="804"/>
      <c r="O60" s="804"/>
      <c r="P60" s="804"/>
      <c r="Q60" s="804"/>
      <c r="R60" s="804"/>
      <c r="S60" s="804"/>
      <c r="T60" s="804"/>
      <c r="U60" s="804"/>
      <c r="V60" s="804"/>
      <c r="W60" s="804"/>
    </row>
    <row r="61" spans="1:58" s="775" customFormat="1">
      <c r="A61" s="804"/>
      <c r="B61" s="806"/>
      <c r="C61" s="1765"/>
      <c r="D61" s="804"/>
      <c r="E61" s="804"/>
      <c r="F61" s="806"/>
      <c r="G61" s="804"/>
      <c r="H61" s="804"/>
      <c r="I61" s="804"/>
      <c r="J61" s="804"/>
      <c r="K61" s="804"/>
      <c r="L61" s="804"/>
      <c r="M61" s="804"/>
      <c r="N61" s="804"/>
      <c r="O61" s="804"/>
      <c r="P61" s="804"/>
      <c r="Q61" s="804"/>
      <c r="R61" s="804"/>
      <c r="S61" s="804"/>
      <c r="T61" s="804"/>
      <c r="U61" s="804"/>
      <c r="V61" s="804"/>
      <c r="W61" s="804"/>
    </row>
    <row r="62" spans="1:58" s="775" customFormat="1">
      <c r="A62" s="804"/>
      <c r="B62" s="804"/>
      <c r="C62" s="804"/>
      <c r="D62" s="804"/>
      <c r="E62" s="804"/>
      <c r="F62" s="806"/>
      <c r="G62" s="804"/>
      <c r="H62" s="804"/>
      <c r="I62" s="804"/>
      <c r="J62" s="804"/>
      <c r="K62" s="804"/>
      <c r="L62" s="804"/>
      <c r="M62" s="804"/>
      <c r="N62" s="804"/>
      <c r="O62" s="804"/>
      <c r="P62" s="804"/>
      <c r="Q62" s="804"/>
      <c r="R62" s="804"/>
      <c r="S62" s="804"/>
      <c r="T62" s="804"/>
      <c r="U62" s="804"/>
      <c r="V62" s="804"/>
      <c r="W62" s="804"/>
    </row>
    <row r="63" spans="1:58" s="775" customFormat="1">
      <c r="A63" s="804"/>
      <c r="B63" s="1962"/>
      <c r="C63" s="804"/>
      <c r="D63" s="804"/>
      <c r="E63" s="804"/>
      <c r="F63" s="806"/>
      <c r="G63" s="804"/>
      <c r="H63" s="804"/>
      <c r="I63" s="804"/>
      <c r="J63" s="804"/>
      <c r="K63" s="804"/>
      <c r="L63" s="804"/>
      <c r="M63" s="804"/>
      <c r="N63" s="804"/>
      <c r="O63" s="804"/>
      <c r="P63" s="804"/>
      <c r="Q63" s="804"/>
      <c r="R63" s="804"/>
      <c r="S63" s="804"/>
      <c r="T63" s="804"/>
      <c r="U63" s="804"/>
      <c r="V63" s="804"/>
      <c r="W63" s="804"/>
    </row>
    <row r="64" spans="1:58" s="775" customFormat="1">
      <c r="A64" s="804"/>
      <c r="B64" s="1383"/>
      <c r="C64" s="804"/>
      <c r="D64" s="804"/>
      <c r="E64" s="804"/>
      <c r="F64" s="806"/>
      <c r="G64" s="804"/>
      <c r="H64" s="804"/>
      <c r="I64" s="804"/>
      <c r="J64" s="804"/>
      <c r="K64" s="804"/>
      <c r="L64" s="804"/>
      <c r="M64" s="804"/>
      <c r="N64" s="804"/>
      <c r="O64" s="804"/>
      <c r="P64" s="804"/>
      <c r="Q64" s="804"/>
      <c r="R64" s="804"/>
      <c r="S64" s="804"/>
      <c r="T64" s="804"/>
      <c r="U64" s="804"/>
      <c r="V64" s="804"/>
      <c r="W64" s="804"/>
    </row>
    <row r="65" spans="1:23" s="775" customFormat="1">
      <c r="A65" s="804"/>
      <c r="B65" s="1964"/>
      <c r="C65" s="804"/>
      <c r="D65" s="804"/>
      <c r="E65" s="804"/>
      <c r="F65" s="806"/>
      <c r="G65" s="804"/>
      <c r="H65" s="804"/>
      <c r="I65" s="804"/>
      <c r="J65" s="804"/>
      <c r="K65" s="804"/>
      <c r="L65" s="804"/>
      <c r="M65" s="804"/>
      <c r="N65" s="804"/>
      <c r="O65" s="804"/>
      <c r="P65" s="804"/>
      <c r="Q65" s="804"/>
      <c r="R65" s="804"/>
      <c r="S65" s="804"/>
      <c r="T65" s="804"/>
      <c r="U65" s="804"/>
      <c r="V65" s="804"/>
      <c r="W65" s="804"/>
    </row>
    <row r="66" spans="1:23" s="775" customFormat="1">
      <c r="A66" s="804"/>
      <c r="B66" s="1382"/>
      <c r="C66" s="804"/>
      <c r="D66" s="804"/>
      <c r="E66" s="804"/>
      <c r="F66" s="806"/>
      <c r="G66" s="804"/>
      <c r="H66" s="804"/>
      <c r="I66" s="804"/>
      <c r="J66" s="804"/>
      <c r="K66" s="804"/>
      <c r="L66" s="804"/>
      <c r="M66" s="804"/>
      <c r="N66" s="804"/>
      <c r="O66" s="804"/>
      <c r="P66" s="804"/>
      <c r="Q66" s="804"/>
      <c r="R66" s="804"/>
      <c r="S66" s="804"/>
      <c r="T66" s="804"/>
      <c r="U66" s="804"/>
      <c r="V66" s="804"/>
      <c r="W66" s="804"/>
    </row>
    <row r="67" spans="1:23" s="775" customFormat="1">
      <c r="A67" s="804"/>
      <c r="B67" s="1382"/>
      <c r="C67" s="804"/>
      <c r="D67" s="804"/>
      <c r="E67" s="804"/>
      <c r="F67" s="806"/>
      <c r="G67" s="804"/>
      <c r="H67" s="804"/>
      <c r="I67" s="804"/>
      <c r="J67" s="804"/>
      <c r="K67" s="804"/>
      <c r="L67" s="804"/>
      <c r="M67" s="804"/>
      <c r="N67" s="804"/>
      <c r="O67" s="804"/>
      <c r="P67" s="804"/>
      <c r="Q67" s="804"/>
      <c r="R67" s="804"/>
      <c r="S67" s="804"/>
      <c r="T67" s="804"/>
      <c r="U67" s="804"/>
      <c r="V67" s="804"/>
      <c r="W67" s="804"/>
    </row>
    <row r="68" spans="1:23" s="775" customFormat="1">
      <c r="A68" s="804"/>
      <c r="B68" s="1382"/>
      <c r="C68" s="804"/>
      <c r="D68" s="804"/>
      <c r="E68" s="804"/>
      <c r="F68" s="806"/>
      <c r="G68" s="804"/>
      <c r="H68" s="804"/>
      <c r="I68" s="804"/>
      <c r="J68" s="804"/>
      <c r="K68" s="804"/>
      <c r="L68" s="804"/>
      <c r="M68" s="804"/>
      <c r="N68" s="804"/>
      <c r="O68" s="804"/>
      <c r="P68" s="804"/>
      <c r="Q68" s="804"/>
      <c r="R68" s="804"/>
      <c r="S68" s="804"/>
      <c r="T68" s="804"/>
      <c r="U68" s="804"/>
      <c r="V68" s="804"/>
      <c r="W68" s="804"/>
    </row>
    <row r="69" spans="1:23" s="775" customFormat="1">
      <c r="A69" s="804"/>
      <c r="B69" s="804"/>
      <c r="C69" s="804"/>
      <c r="D69" s="804"/>
      <c r="E69" s="804"/>
      <c r="F69" s="806"/>
      <c r="G69" s="804"/>
      <c r="H69" s="804"/>
      <c r="I69" s="804"/>
      <c r="J69" s="804"/>
      <c r="K69" s="804"/>
      <c r="L69" s="804"/>
      <c r="M69" s="804"/>
      <c r="N69" s="804"/>
      <c r="O69" s="804"/>
      <c r="P69" s="804"/>
      <c r="Q69" s="804"/>
      <c r="R69" s="804"/>
      <c r="S69" s="804"/>
      <c r="T69" s="804"/>
      <c r="U69" s="804"/>
      <c r="V69" s="804"/>
      <c r="W69" s="804"/>
    </row>
    <row r="70" spans="1:23" s="775" customFormat="1">
      <c r="A70" s="804"/>
      <c r="B70" s="804"/>
      <c r="C70" s="804"/>
      <c r="D70" s="804"/>
      <c r="E70" s="804"/>
      <c r="F70" s="806"/>
      <c r="G70" s="804"/>
      <c r="H70" s="804"/>
      <c r="I70" s="804"/>
      <c r="J70" s="804"/>
      <c r="K70" s="804"/>
      <c r="L70" s="804"/>
      <c r="M70" s="804"/>
      <c r="N70" s="804"/>
      <c r="O70" s="804"/>
      <c r="P70" s="804"/>
      <c r="Q70" s="804"/>
      <c r="R70" s="804"/>
      <c r="S70" s="804"/>
      <c r="T70" s="804"/>
      <c r="U70" s="804"/>
      <c r="V70" s="804"/>
      <c r="W70" s="804"/>
    </row>
    <row r="71" spans="1:23" s="775" customFormat="1" ht="15.75">
      <c r="A71" s="804"/>
      <c r="B71" s="804"/>
      <c r="C71" s="1384"/>
      <c r="D71" s="804"/>
      <c r="E71" s="804"/>
      <c r="F71" s="806"/>
      <c r="G71" s="804"/>
      <c r="H71" s="804"/>
      <c r="I71" s="804"/>
      <c r="J71" s="804"/>
      <c r="K71" s="804"/>
      <c r="L71" s="804"/>
      <c r="M71" s="804"/>
      <c r="N71" s="804"/>
      <c r="O71" s="804"/>
      <c r="P71" s="804"/>
      <c r="Q71" s="804"/>
      <c r="R71" s="804"/>
      <c r="S71" s="804"/>
      <c r="T71" s="804"/>
      <c r="U71" s="804"/>
      <c r="V71" s="804"/>
      <c r="W71" s="804"/>
    </row>
    <row r="72" spans="1:23" s="775" customFormat="1">
      <c r="A72" s="804"/>
      <c r="B72" s="804"/>
      <c r="C72" s="804"/>
      <c r="D72" s="804"/>
      <c r="E72" s="804"/>
      <c r="F72" s="806"/>
      <c r="G72" s="804"/>
      <c r="H72" s="804"/>
      <c r="I72" s="804"/>
      <c r="J72" s="804"/>
      <c r="K72" s="804"/>
      <c r="L72" s="804"/>
      <c r="M72" s="804"/>
      <c r="N72" s="804"/>
      <c r="O72" s="804"/>
      <c r="P72" s="804"/>
      <c r="Q72" s="804"/>
      <c r="R72" s="804"/>
      <c r="S72" s="804"/>
      <c r="T72" s="804"/>
      <c r="U72" s="804"/>
      <c r="V72" s="804"/>
      <c r="W72" s="804"/>
    </row>
    <row r="73" spans="1:23" s="775" customFormat="1">
      <c r="A73" s="804"/>
      <c r="B73" s="804"/>
      <c r="C73" s="804"/>
      <c r="D73" s="804"/>
      <c r="E73" s="804"/>
      <c r="F73" s="806"/>
      <c r="G73" s="804"/>
      <c r="H73" s="804"/>
      <c r="I73" s="804"/>
      <c r="J73" s="804"/>
      <c r="K73" s="804"/>
      <c r="L73" s="804"/>
      <c r="M73" s="804"/>
      <c r="N73" s="804"/>
      <c r="O73" s="804"/>
      <c r="P73" s="804"/>
      <c r="Q73" s="804"/>
      <c r="R73" s="804"/>
      <c r="S73" s="804"/>
      <c r="T73" s="804"/>
      <c r="U73" s="804"/>
      <c r="V73" s="804"/>
      <c r="W73" s="804"/>
    </row>
    <row r="74" spans="1:23" s="775" customFormat="1">
      <c r="A74" s="804"/>
      <c r="B74" s="804"/>
      <c r="C74" s="804"/>
      <c r="D74" s="804"/>
      <c r="E74" s="804"/>
      <c r="F74" s="806"/>
      <c r="G74" s="804"/>
      <c r="H74" s="804"/>
      <c r="I74" s="804"/>
      <c r="J74" s="804"/>
      <c r="K74" s="804"/>
      <c r="L74" s="804"/>
      <c r="M74" s="804"/>
      <c r="N74" s="804"/>
      <c r="O74" s="804"/>
      <c r="P74" s="804"/>
      <c r="Q74" s="804"/>
      <c r="R74" s="804"/>
      <c r="S74" s="804"/>
      <c r="T74" s="804"/>
      <c r="U74" s="804"/>
      <c r="V74" s="804"/>
      <c r="W74" s="804"/>
    </row>
    <row r="75" spans="1:23" s="775" customFormat="1">
      <c r="A75" s="804"/>
      <c r="B75" s="804"/>
      <c r="C75" s="804"/>
      <c r="D75" s="804"/>
      <c r="E75" s="804"/>
      <c r="F75" s="806"/>
      <c r="G75" s="804"/>
      <c r="H75" s="804"/>
      <c r="I75" s="804"/>
      <c r="J75" s="804"/>
      <c r="K75" s="804"/>
      <c r="L75" s="804"/>
      <c r="M75" s="804"/>
      <c r="N75" s="804"/>
      <c r="O75" s="804"/>
      <c r="P75" s="804"/>
      <c r="Q75" s="804"/>
      <c r="R75" s="804"/>
      <c r="S75" s="804"/>
      <c r="T75" s="804"/>
      <c r="U75" s="804"/>
      <c r="V75" s="804"/>
      <c r="W75" s="804"/>
    </row>
    <row r="76" spans="1:23" s="775" customFormat="1">
      <c r="A76" s="804"/>
      <c r="B76" s="804"/>
      <c r="C76" s="804"/>
      <c r="D76" s="804"/>
      <c r="E76" s="804"/>
      <c r="F76" s="806"/>
      <c r="G76" s="804"/>
      <c r="H76" s="804"/>
      <c r="I76" s="804"/>
      <c r="J76" s="804"/>
      <c r="K76" s="804"/>
      <c r="L76" s="804"/>
      <c r="M76" s="804"/>
      <c r="N76" s="804"/>
      <c r="O76" s="804"/>
      <c r="P76" s="804"/>
      <c r="Q76" s="804"/>
      <c r="R76" s="804"/>
      <c r="S76" s="804"/>
      <c r="T76" s="804"/>
      <c r="U76" s="804"/>
      <c r="V76" s="804"/>
      <c r="W76" s="804"/>
    </row>
    <row r="77" spans="1:23" s="775" customFormat="1">
      <c r="A77" s="804"/>
      <c r="B77" s="804"/>
      <c r="C77" s="804"/>
      <c r="D77" s="804"/>
      <c r="E77" s="804"/>
      <c r="F77" s="806"/>
      <c r="G77" s="804"/>
      <c r="H77" s="804"/>
      <c r="I77" s="804"/>
      <c r="J77" s="804"/>
      <c r="K77" s="804"/>
      <c r="L77" s="804"/>
      <c r="M77" s="804"/>
      <c r="N77" s="804"/>
      <c r="O77" s="804"/>
      <c r="P77" s="804"/>
      <c r="Q77" s="804"/>
      <c r="R77" s="804"/>
      <c r="S77" s="804"/>
      <c r="T77" s="804"/>
      <c r="U77" s="804"/>
      <c r="V77" s="804"/>
      <c r="W77" s="804"/>
    </row>
    <row r="78" spans="1:23" s="775" customFormat="1">
      <c r="A78" s="804"/>
      <c r="B78" s="804"/>
      <c r="C78" s="804"/>
      <c r="D78" s="804"/>
      <c r="E78" s="804"/>
      <c r="F78" s="806"/>
      <c r="G78" s="804"/>
      <c r="H78" s="804"/>
      <c r="I78" s="804"/>
      <c r="J78" s="804"/>
      <c r="K78" s="804"/>
      <c r="L78" s="804"/>
      <c r="M78" s="804"/>
      <c r="N78" s="804"/>
      <c r="O78" s="804"/>
      <c r="P78" s="804"/>
      <c r="Q78" s="804"/>
      <c r="R78" s="804"/>
      <c r="S78" s="804"/>
      <c r="T78" s="804"/>
      <c r="U78" s="804"/>
      <c r="V78" s="804"/>
      <c r="W78" s="804"/>
    </row>
    <row r="79" spans="1:23" s="775" customFormat="1">
      <c r="A79" s="804"/>
      <c r="B79" s="804"/>
      <c r="C79" s="804"/>
      <c r="D79" s="804"/>
      <c r="E79" s="804"/>
      <c r="F79" s="806"/>
      <c r="G79" s="804"/>
      <c r="H79" s="804"/>
      <c r="I79" s="804"/>
      <c r="J79" s="804"/>
      <c r="K79" s="804"/>
      <c r="L79" s="804"/>
      <c r="M79" s="804"/>
      <c r="N79" s="804"/>
      <c r="O79" s="804"/>
      <c r="P79" s="804"/>
      <c r="Q79" s="804"/>
      <c r="R79" s="804"/>
      <c r="S79" s="804"/>
      <c r="T79" s="804"/>
      <c r="U79" s="804"/>
      <c r="V79" s="804"/>
      <c r="W79" s="804"/>
    </row>
    <row r="80" spans="1:23" s="775" customFormat="1">
      <c r="A80" s="804"/>
      <c r="B80" s="804"/>
      <c r="C80" s="804"/>
      <c r="D80" s="804"/>
      <c r="E80" s="804"/>
      <c r="F80" s="806"/>
      <c r="G80" s="804"/>
      <c r="H80" s="804"/>
      <c r="I80" s="804"/>
      <c r="J80" s="804"/>
      <c r="K80" s="804"/>
      <c r="L80" s="804"/>
      <c r="M80" s="804"/>
      <c r="N80" s="804"/>
      <c r="O80" s="804"/>
      <c r="P80" s="804"/>
      <c r="Q80" s="804"/>
      <c r="R80" s="804"/>
      <c r="S80" s="804"/>
      <c r="T80" s="804"/>
      <c r="U80" s="804"/>
      <c r="V80" s="804"/>
      <c r="W80" s="804"/>
    </row>
    <row r="81" spans="1:23" s="775" customFormat="1">
      <c r="A81" s="804"/>
      <c r="B81" s="804"/>
      <c r="C81" s="804"/>
      <c r="D81" s="804"/>
      <c r="E81" s="804"/>
      <c r="F81" s="806"/>
      <c r="G81" s="804"/>
      <c r="H81" s="804"/>
      <c r="I81" s="804"/>
      <c r="J81" s="804"/>
      <c r="K81" s="804"/>
      <c r="L81" s="804"/>
      <c r="M81" s="804"/>
      <c r="N81" s="804"/>
      <c r="O81" s="804"/>
      <c r="P81" s="804"/>
      <c r="Q81" s="804"/>
      <c r="R81" s="804"/>
      <c r="S81" s="804"/>
      <c r="T81" s="804"/>
      <c r="U81" s="804"/>
      <c r="V81" s="804"/>
      <c r="W81" s="804"/>
    </row>
    <row r="82" spans="1:23" s="775" customFormat="1">
      <c r="A82" s="804"/>
      <c r="B82" s="804"/>
      <c r="C82" s="804"/>
      <c r="D82" s="804"/>
      <c r="E82" s="804"/>
      <c r="F82" s="806"/>
      <c r="G82" s="804"/>
      <c r="H82" s="804"/>
      <c r="I82" s="804"/>
      <c r="J82" s="804"/>
      <c r="K82" s="804"/>
      <c r="L82" s="804"/>
      <c r="M82" s="804"/>
      <c r="N82" s="804"/>
      <c r="O82" s="804"/>
      <c r="P82" s="804"/>
      <c r="Q82" s="804"/>
      <c r="R82" s="804"/>
      <c r="S82" s="804"/>
      <c r="T82" s="804"/>
      <c r="U82" s="804"/>
      <c r="V82" s="804"/>
      <c r="W82" s="804"/>
    </row>
    <row r="83" spans="1:23" s="775" customFormat="1">
      <c r="A83" s="804"/>
      <c r="B83" s="804"/>
      <c r="C83" s="804"/>
      <c r="D83" s="804"/>
      <c r="E83" s="804"/>
      <c r="F83" s="806"/>
      <c r="G83" s="804"/>
      <c r="H83" s="804"/>
      <c r="I83" s="804"/>
      <c r="J83" s="804"/>
      <c r="K83" s="804"/>
      <c r="L83" s="804"/>
      <c r="M83" s="804"/>
      <c r="N83" s="804"/>
      <c r="O83" s="804"/>
      <c r="P83" s="804"/>
      <c r="Q83" s="804"/>
      <c r="R83" s="804"/>
      <c r="S83" s="804"/>
      <c r="T83" s="804"/>
      <c r="U83" s="804"/>
      <c r="V83" s="804"/>
      <c r="W83" s="804"/>
    </row>
    <row r="84" spans="1:23" s="775" customFormat="1">
      <c r="A84" s="804"/>
      <c r="B84" s="804"/>
      <c r="C84" s="804"/>
      <c r="D84" s="804"/>
      <c r="E84" s="804"/>
      <c r="F84" s="806"/>
      <c r="G84" s="804"/>
      <c r="H84" s="804"/>
      <c r="I84" s="804"/>
      <c r="J84" s="804"/>
      <c r="K84" s="804"/>
      <c r="L84" s="804"/>
      <c r="M84" s="804"/>
      <c r="N84" s="804"/>
      <c r="O84" s="804"/>
      <c r="P84" s="804"/>
      <c r="Q84" s="804"/>
      <c r="R84" s="804"/>
      <c r="S84" s="804"/>
      <c r="T84" s="804"/>
      <c r="U84" s="804"/>
      <c r="V84" s="804"/>
      <c r="W84" s="804"/>
    </row>
    <row r="85" spans="1:23" s="775" customFormat="1">
      <c r="A85" s="804"/>
      <c r="B85" s="804"/>
      <c r="C85" s="804"/>
      <c r="D85" s="804"/>
      <c r="E85" s="804"/>
      <c r="F85" s="806"/>
      <c r="G85" s="804"/>
      <c r="H85" s="804"/>
      <c r="I85" s="804"/>
      <c r="J85" s="804"/>
      <c r="K85" s="804"/>
      <c r="L85" s="804"/>
      <c r="M85" s="804"/>
      <c r="N85" s="804"/>
      <c r="O85" s="804"/>
      <c r="P85" s="804"/>
      <c r="Q85" s="804"/>
      <c r="R85" s="804"/>
      <c r="S85" s="804"/>
      <c r="T85" s="804"/>
      <c r="U85" s="804"/>
      <c r="V85" s="804"/>
      <c r="W85" s="804"/>
    </row>
    <row r="86" spans="1:23" s="775" customFormat="1">
      <c r="A86" s="804"/>
      <c r="B86" s="804"/>
      <c r="C86" s="804"/>
      <c r="D86" s="804"/>
      <c r="E86" s="804"/>
      <c r="F86" s="806"/>
      <c r="G86" s="804"/>
      <c r="H86" s="804"/>
      <c r="I86" s="804"/>
      <c r="J86" s="804"/>
      <c r="K86" s="804"/>
      <c r="L86" s="804"/>
      <c r="M86" s="804"/>
      <c r="N86" s="804"/>
      <c r="O86" s="804"/>
      <c r="P86" s="804"/>
      <c r="Q86" s="804"/>
      <c r="R86" s="804"/>
      <c r="S86" s="804"/>
      <c r="T86" s="804"/>
      <c r="U86" s="804"/>
      <c r="V86" s="804"/>
      <c r="W86" s="804"/>
    </row>
    <row r="87" spans="1:23" s="775" customFormat="1">
      <c r="A87" s="804"/>
      <c r="B87" s="804"/>
      <c r="C87" s="804"/>
      <c r="D87" s="804"/>
      <c r="E87" s="804"/>
      <c r="F87" s="806"/>
      <c r="G87" s="804"/>
      <c r="H87" s="804"/>
      <c r="I87" s="804"/>
      <c r="J87" s="804"/>
      <c r="K87" s="804"/>
      <c r="L87" s="804"/>
      <c r="M87" s="804"/>
      <c r="N87" s="804"/>
      <c r="O87" s="804"/>
      <c r="P87" s="804"/>
      <c r="Q87" s="804"/>
      <c r="R87" s="804"/>
      <c r="S87" s="804"/>
      <c r="T87" s="804"/>
      <c r="U87" s="804"/>
      <c r="V87" s="804"/>
      <c r="W87" s="804"/>
    </row>
    <row r="88" spans="1:23" s="775" customFormat="1">
      <c r="A88" s="804"/>
      <c r="B88" s="804"/>
      <c r="C88" s="804"/>
      <c r="D88" s="804"/>
      <c r="E88" s="804"/>
      <c r="F88" s="806"/>
      <c r="G88" s="804"/>
      <c r="H88" s="804"/>
      <c r="I88" s="804"/>
      <c r="J88" s="804"/>
      <c r="K88" s="804"/>
      <c r="L88" s="804"/>
      <c r="M88" s="804"/>
      <c r="N88" s="804"/>
      <c r="O88" s="804"/>
      <c r="P88" s="804"/>
      <c r="Q88" s="804"/>
      <c r="R88" s="804"/>
      <c r="S88" s="804"/>
      <c r="T88" s="804"/>
      <c r="U88" s="804"/>
      <c r="V88" s="804"/>
      <c r="W88" s="804"/>
    </row>
    <row r="89" spans="1:23" s="775" customFormat="1">
      <c r="A89" s="804"/>
      <c r="B89" s="804"/>
      <c r="C89" s="804"/>
      <c r="D89" s="804"/>
      <c r="E89" s="804"/>
      <c r="F89" s="806"/>
      <c r="G89" s="804"/>
      <c r="H89" s="804"/>
      <c r="I89" s="804"/>
      <c r="J89" s="804"/>
      <c r="K89" s="804"/>
      <c r="L89" s="804"/>
      <c r="M89" s="804"/>
      <c r="N89" s="804"/>
      <c r="O89" s="804"/>
      <c r="P89" s="804"/>
      <c r="Q89" s="804"/>
      <c r="R89" s="804"/>
      <c r="S89" s="804"/>
      <c r="T89" s="804"/>
      <c r="U89" s="804"/>
      <c r="V89" s="804"/>
      <c r="W89" s="804"/>
    </row>
    <row r="90" spans="1:23" s="775" customFormat="1">
      <c r="A90" s="804"/>
      <c r="B90" s="804"/>
      <c r="C90" s="804"/>
      <c r="D90" s="804"/>
      <c r="E90" s="804"/>
      <c r="F90" s="806"/>
      <c r="G90" s="804"/>
      <c r="H90" s="804"/>
      <c r="I90" s="804"/>
      <c r="J90" s="804"/>
      <c r="K90" s="804"/>
      <c r="L90" s="804"/>
      <c r="M90" s="804"/>
      <c r="N90" s="804"/>
      <c r="O90" s="804"/>
      <c r="P90" s="804"/>
      <c r="Q90" s="804"/>
      <c r="R90" s="804"/>
      <c r="S90" s="804"/>
      <c r="T90" s="804"/>
      <c r="U90" s="804"/>
      <c r="V90" s="804"/>
      <c r="W90" s="804"/>
    </row>
    <row r="91" spans="1:23" s="775" customFormat="1">
      <c r="A91" s="804"/>
      <c r="B91" s="804"/>
      <c r="C91" s="804"/>
      <c r="D91" s="804"/>
      <c r="E91" s="804"/>
      <c r="F91" s="806"/>
      <c r="G91" s="804"/>
      <c r="H91" s="804"/>
      <c r="I91" s="804"/>
      <c r="J91" s="804"/>
      <c r="K91" s="804"/>
      <c r="L91" s="804"/>
      <c r="M91" s="804"/>
      <c r="N91" s="804"/>
      <c r="O91" s="804"/>
      <c r="P91" s="804"/>
      <c r="Q91" s="804"/>
      <c r="R91" s="804"/>
      <c r="S91" s="804"/>
      <c r="T91" s="804"/>
      <c r="U91" s="804"/>
      <c r="V91" s="804"/>
      <c r="W91" s="804"/>
    </row>
    <row r="92" spans="1:23" s="775" customFormat="1">
      <c r="A92" s="804"/>
      <c r="B92" s="804"/>
      <c r="C92" s="804"/>
      <c r="D92" s="804"/>
      <c r="E92" s="804"/>
      <c r="F92" s="806"/>
      <c r="G92" s="804"/>
      <c r="H92" s="804"/>
      <c r="I92" s="804"/>
      <c r="J92" s="804"/>
      <c r="K92" s="804"/>
      <c r="L92" s="804"/>
      <c r="M92" s="804"/>
      <c r="N92" s="804"/>
      <c r="O92" s="804"/>
      <c r="P92" s="804"/>
      <c r="Q92" s="804"/>
      <c r="R92" s="804"/>
      <c r="S92" s="804"/>
      <c r="T92" s="804"/>
      <c r="U92" s="804"/>
      <c r="V92" s="804"/>
      <c r="W92" s="804"/>
    </row>
    <row r="93" spans="1:23" s="775" customFormat="1">
      <c r="A93" s="804"/>
      <c r="B93" s="804"/>
      <c r="C93" s="804"/>
      <c r="D93" s="804"/>
      <c r="E93" s="804"/>
      <c r="F93" s="806"/>
      <c r="G93" s="804"/>
      <c r="H93" s="804"/>
      <c r="I93" s="804"/>
      <c r="J93" s="804"/>
      <c r="K93" s="804"/>
      <c r="L93" s="804"/>
      <c r="M93" s="804"/>
      <c r="N93" s="804"/>
      <c r="O93" s="804"/>
      <c r="P93" s="804"/>
      <c r="Q93" s="804"/>
      <c r="R93" s="804"/>
      <c r="S93" s="804"/>
      <c r="T93" s="804"/>
      <c r="U93" s="804"/>
      <c r="V93" s="804"/>
      <c r="W93" s="804"/>
    </row>
    <row r="94" spans="1:23" s="775" customFormat="1">
      <c r="A94" s="804"/>
      <c r="B94" s="804"/>
      <c r="C94" s="804"/>
      <c r="D94" s="804"/>
      <c r="E94" s="804"/>
      <c r="F94" s="806"/>
      <c r="G94" s="804"/>
      <c r="H94" s="804"/>
      <c r="I94" s="804"/>
      <c r="J94" s="804"/>
      <c r="K94" s="804"/>
      <c r="L94" s="804"/>
      <c r="M94" s="804"/>
      <c r="N94" s="804"/>
      <c r="O94" s="804"/>
      <c r="P94" s="804"/>
      <c r="Q94" s="804"/>
      <c r="R94" s="804"/>
      <c r="S94" s="804"/>
      <c r="T94" s="804"/>
      <c r="U94" s="804"/>
      <c r="V94" s="804"/>
      <c r="W94" s="804"/>
    </row>
    <row r="95" spans="1:23" s="775" customFormat="1">
      <c r="A95" s="804"/>
      <c r="B95" s="804"/>
      <c r="C95" s="804"/>
      <c r="D95" s="804"/>
      <c r="E95" s="804"/>
      <c r="F95" s="806"/>
      <c r="G95" s="804"/>
      <c r="H95" s="804"/>
      <c r="I95" s="804"/>
      <c r="J95" s="804"/>
      <c r="K95" s="804"/>
      <c r="L95" s="804"/>
      <c r="M95" s="804"/>
      <c r="N95" s="804"/>
      <c r="O95" s="804"/>
      <c r="P95" s="804"/>
      <c r="Q95" s="804"/>
      <c r="R95" s="804"/>
      <c r="S95" s="804"/>
      <c r="T95" s="804"/>
      <c r="U95" s="804"/>
      <c r="V95" s="804"/>
      <c r="W95" s="804"/>
    </row>
    <row r="96" spans="1:23" s="775" customFormat="1">
      <c r="A96" s="804"/>
      <c r="B96" s="804"/>
      <c r="C96" s="804"/>
      <c r="D96" s="804"/>
      <c r="E96" s="804"/>
      <c r="F96" s="806"/>
      <c r="G96" s="804"/>
      <c r="H96" s="804"/>
      <c r="I96" s="804"/>
      <c r="J96" s="804"/>
      <c r="K96" s="804"/>
      <c r="L96" s="804"/>
      <c r="M96" s="804"/>
      <c r="N96" s="804"/>
      <c r="O96" s="804"/>
      <c r="P96" s="804"/>
      <c r="Q96" s="804"/>
      <c r="R96" s="804"/>
      <c r="S96" s="804"/>
      <c r="T96" s="804"/>
      <c r="U96" s="804"/>
      <c r="V96" s="804"/>
      <c r="W96" s="804"/>
    </row>
    <row r="97" spans="1:23" s="775" customFormat="1">
      <c r="A97" s="804"/>
      <c r="B97" s="804"/>
      <c r="C97" s="804"/>
      <c r="D97" s="804"/>
      <c r="E97" s="804"/>
      <c r="F97" s="806"/>
      <c r="G97" s="804"/>
      <c r="H97" s="804"/>
      <c r="I97" s="804"/>
      <c r="J97" s="804"/>
      <c r="K97" s="804"/>
      <c r="L97" s="804"/>
      <c r="M97" s="804"/>
      <c r="N97" s="804"/>
      <c r="O97" s="804"/>
      <c r="P97" s="804"/>
      <c r="Q97" s="804"/>
      <c r="R97" s="804"/>
      <c r="S97" s="804"/>
      <c r="T97" s="804"/>
      <c r="U97" s="804"/>
      <c r="V97" s="804"/>
      <c r="W97" s="804"/>
    </row>
    <row r="98" spans="1:23" s="775" customFormat="1">
      <c r="A98" s="804"/>
      <c r="B98" s="804"/>
      <c r="C98" s="804"/>
      <c r="D98" s="804"/>
      <c r="E98" s="804"/>
      <c r="F98" s="806"/>
      <c r="G98" s="804"/>
      <c r="H98" s="804"/>
      <c r="I98" s="804"/>
      <c r="J98" s="804"/>
      <c r="K98" s="804"/>
      <c r="L98" s="804"/>
      <c r="M98" s="804"/>
      <c r="N98" s="804"/>
      <c r="O98" s="804"/>
      <c r="P98" s="804"/>
      <c r="Q98" s="804"/>
      <c r="R98" s="804"/>
      <c r="S98" s="804"/>
      <c r="T98" s="804"/>
      <c r="U98" s="804"/>
      <c r="V98" s="804"/>
      <c r="W98" s="804"/>
    </row>
    <row r="99" spans="1:23" s="775" customFormat="1">
      <c r="A99" s="804"/>
      <c r="B99" s="804"/>
      <c r="C99" s="804"/>
      <c r="D99" s="804"/>
      <c r="E99" s="804"/>
      <c r="F99" s="806"/>
      <c r="G99" s="804"/>
      <c r="H99" s="804"/>
      <c r="I99" s="804"/>
      <c r="J99" s="804"/>
      <c r="K99" s="804"/>
      <c r="L99" s="804"/>
      <c r="M99" s="804"/>
      <c r="N99" s="804"/>
      <c r="O99" s="804"/>
      <c r="P99" s="804"/>
      <c r="Q99" s="804"/>
      <c r="R99" s="804"/>
      <c r="S99" s="804"/>
      <c r="T99" s="804"/>
      <c r="U99" s="804"/>
      <c r="V99" s="804"/>
      <c r="W99" s="804"/>
    </row>
    <row r="100" spans="1:23" s="775" customFormat="1">
      <c r="A100" s="804"/>
      <c r="B100" s="804"/>
      <c r="C100" s="804"/>
      <c r="D100" s="804"/>
      <c r="E100" s="804"/>
      <c r="F100" s="806"/>
      <c r="G100" s="804"/>
      <c r="H100" s="804"/>
      <c r="I100" s="804"/>
      <c r="J100" s="804"/>
      <c r="K100" s="804"/>
      <c r="L100" s="804"/>
      <c r="M100" s="804"/>
      <c r="N100" s="804"/>
      <c r="O100" s="804"/>
      <c r="P100" s="804"/>
      <c r="Q100" s="804"/>
      <c r="R100" s="804"/>
      <c r="S100" s="804"/>
      <c r="T100" s="804"/>
      <c r="U100" s="804"/>
      <c r="V100" s="804"/>
      <c r="W100" s="804"/>
    </row>
    <row r="101" spans="1:23" s="775" customFormat="1">
      <c r="A101" s="804"/>
      <c r="B101" s="804"/>
      <c r="C101" s="804"/>
      <c r="D101" s="804"/>
      <c r="E101" s="804"/>
      <c r="F101" s="806"/>
      <c r="G101" s="804"/>
      <c r="H101" s="804"/>
      <c r="I101" s="804"/>
      <c r="J101" s="804"/>
      <c r="K101" s="804"/>
      <c r="L101" s="804"/>
      <c r="M101" s="804"/>
      <c r="N101" s="804"/>
      <c r="O101" s="804"/>
      <c r="P101" s="804"/>
      <c r="Q101" s="804"/>
      <c r="R101" s="804"/>
      <c r="S101" s="804"/>
      <c r="T101" s="804"/>
      <c r="U101" s="804"/>
      <c r="V101" s="804"/>
      <c r="W101" s="804"/>
    </row>
    <row r="102" spans="1:23" s="775" customFormat="1">
      <c r="A102" s="804"/>
      <c r="B102" s="804"/>
      <c r="C102" s="804"/>
      <c r="D102" s="804"/>
      <c r="E102" s="804"/>
      <c r="F102" s="806"/>
      <c r="G102" s="804"/>
      <c r="H102" s="804"/>
      <c r="I102" s="804"/>
      <c r="J102" s="804"/>
      <c r="K102" s="804"/>
      <c r="L102" s="804"/>
      <c r="M102" s="804"/>
      <c r="N102" s="804"/>
      <c r="O102" s="804"/>
      <c r="P102" s="804"/>
      <c r="Q102" s="804"/>
      <c r="R102" s="804"/>
      <c r="S102" s="804"/>
      <c r="T102" s="804"/>
      <c r="U102" s="804"/>
      <c r="V102" s="804"/>
      <c r="W102" s="804"/>
    </row>
    <row r="103" spans="1:23" s="775" customFormat="1">
      <c r="A103" s="804"/>
      <c r="B103" s="804"/>
      <c r="C103" s="804"/>
      <c r="D103" s="804"/>
      <c r="E103" s="804"/>
      <c r="F103" s="806"/>
      <c r="G103" s="804"/>
      <c r="H103" s="804"/>
      <c r="I103" s="804"/>
      <c r="J103" s="804"/>
      <c r="K103" s="804"/>
      <c r="L103" s="804"/>
      <c r="M103" s="804"/>
      <c r="N103" s="804"/>
      <c r="O103" s="804"/>
      <c r="P103" s="804"/>
      <c r="Q103" s="804"/>
      <c r="R103" s="804"/>
      <c r="S103" s="804"/>
      <c r="T103" s="804"/>
      <c r="U103" s="804"/>
      <c r="V103" s="804"/>
      <c r="W103" s="804"/>
    </row>
    <row r="104" spans="1:23" s="775" customFormat="1">
      <c r="A104" s="804"/>
      <c r="B104" s="804"/>
      <c r="C104" s="804"/>
      <c r="D104" s="804"/>
      <c r="E104" s="804"/>
      <c r="F104" s="806"/>
      <c r="G104" s="804"/>
      <c r="H104" s="804"/>
      <c r="I104" s="804"/>
      <c r="J104" s="804"/>
      <c r="K104" s="804"/>
      <c r="L104" s="804"/>
      <c r="M104" s="804"/>
      <c r="N104" s="804"/>
      <c r="O104" s="804"/>
      <c r="P104" s="804"/>
      <c r="Q104" s="804"/>
      <c r="R104" s="804"/>
      <c r="S104" s="804"/>
      <c r="T104" s="804"/>
      <c r="U104" s="804"/>
      <c r="V104" s="804"/>
      <c r="W104" s="804"/>
    </row>
    <row r="105" spans="1:23" s="775" customFormat="1">
      <c r="A105" s="804"/>
      <c r="B105" s="804"/>
      <c r="C105" s="804"/>
      <c r="D105" s="804"/>
      <c r="E105" s="804"/>
      <c r="F105" s="806"/>
      <c r="G105" s="804"/>
      <c r="H105" s="804"/>
      <c r="I105" s="804"/>
      <c r="J105" s="804"/>
      <c r="K105" s="804"/>
      <c r="L105" s="804"/>
      <c r="M105" s="804"/>
      <c r="N105" s="804"/>
      <c r="O105" s="804"/>
      <c r="P105" s="804"/>
      <c r="Q105" s="804"/>
      <c r="R105" s="804"/>
      <c r="S105" s="804"/>
      <c r="T105" s="804"/>
      <c r="U105" s="804"/>
      <c r="V105" s="804"/>
      <c r="W105" s="804"/>
    </row>
    <row r="106" spans="1:23" s="775" customFormat="1">
      <c r="A106" s="804"/>
      <c r="B106" s="804"/>
      <c r="C106" s="804"/>
      <c r="D106" s="804"/>
      <c r="E106" s="804"/>
      <c r="F106" s="806"/>
      <c r="G106" s="804"/>
      <c r="H106" s="804"/>
      <c r="I106" s="804"/>
      <c r="J106" s="804"/>
      <c r="K106" s="804"/>
      <c r="L106" s="804"/>
      <c r="M106" s="804"/>
      <c r="N106" s="804"/>
      <c r="O106" s="804"/>
      <c r="P106" s="804"/>
      <c r="Q106" s="804"/>
      <c r="R106" s="804"/>
      <c r="S106" s="804"/>
      <c r="T106" s="804"/>
      <c r="U106" s="804"/>
      <c r="V106" s="804"/>
      <c r="W106" s="804"/>
    </row>
    <row r="107" spans="1:23" s="775" customFormat="1">
      <c r="A107" s="804"/>
      <c r="B107" s="804"/>
      <c r="C107" s="804"/>
      <c r="D107" s="804"/>
      <c r="E107" s="804"/>
      <c r="F107" s="806"/>
      <c r="G107" s="804"/>
      <c r="H107" s="804"/>
      <c r="I107" s="804"/>
      <c r="J107" s="804"/>
      <c r="K107" s="804"/>
      <c r="L107" s="804"/>
      <c r="M107" s="804"/>
      <c r="N107" s="804"/>
      <c r="O107" s="804"/>
      <c r="P107" s="804"/>
      <c r="Q107" s="804"/>
      <c r="R107" s="804"/>
      <c r="S107" s="804"/>
      <c r="T107" s="804"/>
      <c r="U107" s="804"/>
      <c r="V107" s="804"/>
      <c r="W107" s="804"/>
    </row>
    <row r="108" spans="1:23" s="775" customFormat="1">
      <c r="A108" s="804"/>
      <c r="B108" s="804"/>
      <c r="C108" s="804"/>
      <c r="D108" s="804"/>
      <c r="E108" s="804"/>
      <c r="F108" s="806"/>
      <c r="G108" s="804"/>
      <c r="H108" s="804"/>
      <c r="I108" s="804"/>
      <c r="J108" s="804"/>
      <c r="K108" s="804"/>
      <c r="L108" s="804"/>
      <c r="M108" s="804"/>
      <c r="N108" s="804"/>
      <c r="O108" s="804"/>
      <c r="P108" s="804"/>
      <c r="Q108" s="804"/>
      <c r="R108" s="804"/>
      <c r="S108" s="804"/>
      <c r="T108" s="804"/>
      <c r="U108" s="804"/>
      <c r="V108" s="804"/>
      <c r="W108" s="804"/>
    </row>
    <row r="109" spans="1:23" s="775" customFormat="1">
      <c r="A109" s="804"/>
      <c r="B109" s="804"/>
      <c r="C109" s="804"/>
      <c r="D109" s="804"/>
      <c r="E109" s="804"/>
      <c r="F109" s="806"/>
      <c r="G109" s="804"/>
      <c r="H109" s="804"/>
      <c r="I109" s="804"/>
      <c r="J109" s="804"/>
      <c r="K109" s="804"/>
      <c r="L109" s="804"/>
      <c r="M109" s="804"/>
      <c r="N109" s="804"/>
      <c r="O109" s="804"/>
      <c r="P109" s="804"/>
      <c r="Q109" s="804"/>
      <c r="R109" s="804"/>
      <c r="S109" s="804"/>
      <c r="T109" s="804"/>
      <c r="U109" s="804"/>
      <c r="V109" s="804"/>
      <c r="W109" s="804"/>
    </row>
    <row r="110" spans="1:23" s="775" customFormat="1">
      <c r="A110" s="804"/>
      <c r="B110" s="804"/>
      <c r="C110" s="804"/>
      <c r="D110" s="804"/>
      <c r="E110" s="804"/>
      <c r="F110" s="806"/>
      <c r="G110" s="804"/>
      <c r="H110" s="804"/>
      <c r="I110" s="804"/>
      <c r="J110" s="804"/>
      <c r="K110" s="804"/>
      <c r="L110" s="804"/>
      <c r="M110" s="804"/>
      <c r="N110" s="804"/>
      <c r="O110" s="804"/>
      <c r="P110" s="804"/>
      <c r="Q110" s="804"/>
      <c r="R110" s="804"/>
      <c r="S110" s="804"/>
      <c r="T110" s="804"/>
      <c r="U110" s="804"/>
      <c r="V110" s="804"/>
      <c r="W110" s="804"/>
    </row>
    <row r="111" spans="1:23" s="775" customFormat="1">
      <c r="A111" s="804"/>
      <c r="B111" s="804"/>
      <c r="C111" s="804"/>
      <c r="D111" s="804"/>
      <c r="E111" s="804"/>
      <c r="F111" s="806"/>
      <c r="G111" s="804"/>
      <c r="H111" s="804"/>
      <c r="I111" s="804"/>
      <c r="J111" s="804"/>
      <c r="K111" s="804"/>
      <c r="L111" s="804"/>
      <c r="M111" s="804"/>
      <c r="N111" s="804"/>
      <c r="O111" s="804"/>
      <c r="P111" s="804"/>
      <c r="Q111" s="804"/>
      <c r="R111" s="804"/>
      <c r="S111" s="804"/>
      <c r="T111" s="804"/>
      <c r="U111" s="804"/>
      <c r="V111" s="804"/>
      <c r="W111" s="804"/>
    </row>
    <row r="112" spans="1:23" s="775" customFormat="1">
      <c r="A112" s="804"/>
      <c r="B112" s="804"/>
      <c r="C112" s="804"/>
      <c r="D112" s="804"/>
      <c r="E112" s="804"/>
      <c r="F112" s="806"/>
      <c r="G112" s="804"/>
      <c r="H112" s="804"/>
      <c r="I112" s="804"/>
      <c r="J112" s="804"/>
      <c r="K112" s="804"/>
      <c r="L112" s="804"/>
      <c r="M112" s="804"/>
      <c r="N112" s="804"/>
      <c r="O112" s="804"/>
      <c r="P112" s="804"/>
      <c r="Q112" s="804"/>
      <c r="R112" s="804"/>
      <c r="S112" s="804"/>
      <c r="T112" s="804"/>
      <c r="U112" s="804"/>
      <c r="V112" s="804"/>
      <c r="W112" s="804"/>
    </row>
    <row r="113" spans="1:23" s="775" customFormat="1">
      <c r="A113" s="804"/>
      <c r="B113" s="804"/>
      <c r="C113" s="804"/>
      <c r="D113" s="804"/>
      <c r="E113" s="804"/>
      <c r="F113" s="806"/>
      <c r="G113" s="804"/>
      <c r="H113" s="804"/>
      <c r="I113" s="804"/>
      <c r="J113" s="804"/>
      <c r="K113" s="804"/>
      <c r="L113" s="804"/>
      <c r="M113" s="804"/>
      <c r="N113" s="804"/>
      <c r="O113" s="804"/>
      <c r="P113" s="804"/>
      <c r="Q113" s="804"/>
      <c r="R113" s="804"/>
      <c r="S113" s="804"/>
      <c r="T113" s="804"/>
      <c r="U113" s="804"/>
      <c r="V113" s="804"/>
      <c r="W113" s="804"/>
    </row>
    <row r="114" spans="1:23" s="775" customFormat="1">
      <c r="A114" s="804"/>
      <c r="B114" s="804"/>
      <c r="C114" s="804"/>
      <c r="D114" s="804"/>
      <c r="E114" s="804"/>
      <c r="F114" s="806"/>
      <c r="G114" s="804"/>
      <c r="H114" s="804"/>
      <c r="I114" s="804"/>
      <c r="J114" s="804"/>
      <c r="K114" s="804"/>
      <c r="L114" s="804"/>
      <c r="M114" s="804"/>
      <c r="N114" s="804"/>
      <c r="O114" s="804"/>
      <c r="P114" s="804"/>
      <c r="Q114" s="804"/>
      <c r="R114" s="804"/>
      <c r="S114" s="804"/>
      <c r="T114" s="804"/>
      <c r="U114" s="804"/>
      <c r="V114" s="804"/>
      <c r="W114" s="804"/>
    </row>
    <row r="115" spans="1:23" s="775" customFormat="1">
      <c r="A115" s="804"/>
      <c r="B115" s="804"/>
      <c r="C115" s="804"/>
      <c r="D115" s="804"/>
      <c r="E115" s="804"/>
      <c r="F115" s="806"/>
      <c r="G115" s="804"/>
      <c r="H115" s="804"/>
      <c r="I115" s="804"/>
      <c r="J115" s="804"/>
      <c r="K115" s="804"/>
      <c r="L115" s="804"/>
      <c r="M115" s="804"/>
      <c r="N115" s="804"/>
      <c r="O115" s="804"/>
      <c r="P115" s="804"/>
      <c r="Q115" s="804"/>
      <c r="R115" s="804"/>
      <c r="S115" s="804"/>
      <c r="T115" s="804"/>
      <c r="U115" s="804"/>
      <c r="V115" s="804"/>
      <c r="W115" s="804"/>
    </row>
    <row r="116" spans="1:23" s="775" customFormat="1">
      <c r="A116" s="804"/>
      <c r="B116" s="804"/>
      <c r="C116" s="804"/>
      <c r="D116" s="804"/>
      <c r="E116" s="804"/>
      <c r="F116" s="806"/>
      <c r="G116" s="804"/>
      <c r="H116" s="804"/>
      <c r="I116" s="804"/>
      <c r="J116" s="804"/>
      <c r="K116" s="804"/>
      <c r="L116" s="804"/>
      <c r="M116" s="804"/>
      <c r="N116" s="804"/>
      <c r="O116" s="804"/>
      <c r="P116" s="804"/>
      <c r="Q116" s="804"/>
      <c r="R116" s="804"/>
      <c r="S116" s="804"/>
      <c r="T116" s="804"/>
      <c r="U116" s="804"/>
      <c r="V116" s="804"/>
      <c r="W116" s="804"/>
    </row>
    <row r="117" spans="1:23" s="775" customFormat="1">
      <c r="A117" s="804"/>
      <c r="B117" s="804"/>
      <c r="C117" s="804"/>
      <c r="D117" s="804"/>
      <c r="E117" s="804"/>
      <c r="F117" s="806"/>
      <c r="G117" s="804"/>
      <c r="H117" s="804"/>
      <c r="I117" s="804"/>
      <c r="J117" s="804"/>
      <c r="K117" s="804"/>
      <c r="L117" s="804"/>
      <c r="M117" s="804"/>
      <c r="N117" s="804"/>
      <c r="O117" s="804"/>
      <c r="P117" s="804"/>
      <c r="Q117" s="804"/>
      <c r="R117" s="804"/>
      <c r="S117" s="804"/>
      <c r="T117" s="804"/>
      <c r="U117" s="804"/>
      <c r="V117" s="804"/>
      <c r="W117" s="804"/>
    </row>
    <row r="118" spans="1:23" s="775" customFormat="1">
      <c r="A118" s="804"/>
      <c r="B118" s="804"/>
      <c r="C118" s="804"/>
      <c r="D118" s="804"/>
      <c r="E118" s="804"/>
      <c r="F118" s="806"/>
      <c r="G118" s="804"/>
      <c r="H118" s="804"/>
      <c r="I118" s="804"/>
      <c r="J118" s="804"/>
      <c r="K118" s="804"/>
      <c r="L118" s="804"/>
      <c r="M118" s="804"/>
      <c r="N118" s="804"/>
      <c r="O118" s="804"/>
      <c r="P118" s="804"/>
      <c r="Q118" s="804"/>
      <c r="R118" s="804"/>
      <c r="S118" s="804"/>
      <c r="T118" s="804"/>
      <c r="U118" s="804"/>
      <c r="V118" s="804"/>
      <c r="W118" s="804"/>
    </row>
    <row r="119" spans="1:23" s="775" customFormat="1">
      <c r="A119" s="804"/>
      <c r="B119" s="804"/>
      <c r="C119" s="804"/>
      <c r="D119" s="804"/>
      <c r="E119" s="804"/>
      <c r="F119" s="806"/>
      <c r="G119" s="804"/>
      <c r="H119" s="804"/>
      <c r="I119" s="804"/>
      <c r="J119" s="804"/>
      <c r="K119" s="804"/>
      <c r="L119" s="804"/>
      <c r="M119" s="804"/>
      <c r="N119" s="804"/>
      <c r="O119" s="804"/>
      <c r="P119" s="804"/>
      <c r="Q119" s="804"/>
      <c r="R119" s="804"/>
      <c r="S119" s="804"/>
      <c r="T119" s="804"/>
      <c r="U119" s="804"/>
      <c r="V119" s="804"/>
      <c r="W119" s="804"/>
    </row>
    <row r="120" spans="1:23" s="775" customFormat="1">
      <c r="A120" s="804"/>
      <c r="B120" s="804"/>
      <c r="C120" s="804"/>
      <c r="D120" s="804"/>
      <c r="E120" s="804"/>
      <c r="F120" s="806"/>
      <c r="G120" s="804"/>
      <c r="H120" s="804"/>
      <c r="I120" s="804"/>
      <c r="J120" s="804"/>
      <c r="K120" s="804"/>
      <c r="L120" s="804"/>
      <c r="M120" s="804"/>
      <c r="N120" s="804"/>
      <c r="O120" s="804"/>
      <c r="P120" s="804"/>
      <c r="Q120" s="804"/>
      <c r="R120" s="804"/>
      <c r="S120" s="804"/>
      <c r="T120" s="804"/>
      <c r="U120" s="804"/>
      <c r="V120" s="804"/>
      <c r="W120" s="804"/>
    </row>
    <row r="121" spans="1:23" s="775" customFormat="1">
      <c r="A121" s="804"/>
      <c r="B121" s="804"/>
      <c r="C121" s="804"/>
      <c r="D121" s="804"/>
      <c r="E121" s="804"/>
      <c r="F121" s="806"/>
      <c r="G121" s="804"/>
      <c r="H121" s="804"/>
      <c r="I121" s="804"/>
      <c r="J121" s="804"/>
      <c r="K121" s="804"/>
      <c r="L121" s="804"/>
      <c r="M121" s="804"/>
      <c r="N121" s="804"/>
      <c r="O121" s="804"/>
      <c r="P121" s="804"/>
      <c r="Q121" s="804"/>
      <c r="R121" s="804"/>
      <c r="S121" s="804"/>
      <c r="T121" s="804"/>
      <c r="U121" s="804"/>
      <c r="V121" s="804"/>
      <c r="W121" s="804"/>
    </row>
    <row r="122" spans="1:23" s="775" customFormat="1">
      <c r="A122" s="804"/>
      <c r="B122" s="804"/>
      <c r="C122" s="804"/>
      <c r="D122" s="804"/>
      <c r="E122" s="804"/>
      <c r="F122" s="806"/>
      <c r="G122" s="804"/>
      <c r="H122" s="804"/>
      <c r="I122" s="804"/>
      <c r="J122" s="804"/>
      <c r="K122" s="804"/>
      <c r="L122" s="804"/>
      <c r="M122" s="804"/>
      <c r="N122" s="804"/>
      <c r="O122" s="804"/>
      <c r="P122" s="804"/>
      <c r="Q122" s="804"/>
      <c r="R122" s="804"/>
      <c r="S122" s="804"/>
      <c r="T122" s="804"/>
      <c r="U122" s="804"/>
      <c r="V122" s="804"/>
      <c r="W122" s="804"/>
    </row>
    <row r="123" spans="1:23" s="775" customFormat="1">
      <c r="A123" s="804"/>
      <c r="B123" s="804"/>
      <c r="C123" s="804"/>
      <c r="D123" s="804"/>
      <c r="E123" s="804"/>
      <c r="F123" s="806"/>
      <c r="G123" s="804"/>
      <c r="H123" s="804"/>
      <c r="I123" s="804"/>
      <c r="J123" s="804"/>
      <c r="K123" s="804"/>
      <c r="L123" s="804"/>
      <c r="M123" s="804"/>
      <c r="N123" s="804"/>
      <c r="O123" s="804"/>
      <c r="P123" s="804"/>
      <c r="Q123" s="804"/>
      <c r="R123" s="804"/>
      <c r="S123" s="804"/>
      <c r="T123" s="804"/>
      <c r="U123" s="804"/>
      <c r="V123" s="804"/>
      <c r="W123" s="804"/>
    </row>
    <row r="124" spans="1:23" s="775" customFormat="1">
      <c r="A124" s="804"/>
      <c r="B124" s="804"/>
      <c r="C124" s="804"/>
      <c r="D124" s="804"/>
      <c r="E124" s="804"/>
      <c r="F124" s="806"/>
      <c r="G124" s="804"/>
      <c r="H124" s="804"/>
      <c r="I124" s="804"/>
      <c r="J124" s="804"/>
      <c r="K124" s="804"/>
      <c r="L124" s="804"/>
      <c r="M124" s="804"/>
      <c r="N124" s="804"/>
      <c r="O124" s="804"/>
      <c r="P124" s="804"/>
      <c r="Q124" s="804"/>
      <c r="R124" s="804"/>
      <c r="S124" s="804"/>
      <c r="T124" s="804"/>
      <c r="U124" s="804"/>
      <c r="V124" s="804"/>
      <c r="W124" s="804"/>
    </row>
    <row r="125" spans="1:23" s="775" customFormat="1">
      <c r="A125" s="804"/>
      <c r="B125" s="804"/>
      <c r="C125" s="804"/>
      <c r="D125" s="804"/>
      <c r="E125" s="804"/>
      <c r="F125" s="806"/>
      <c r="G125" s="804"/>
      <c r="H125" s="804"/>
      <c r="I125" s="804"/>
      <c r="J125" s="804"/>
      <c r="K125" s="804"/>
      <c r="L125" s="804"/>
      <c r="M125" s="804"/>
      <c r="N125" s="804"/>
      <c r="O125" s="804"/>
      <c r="P125" s="804"/>
      <c r="Q125" s="804"/>
      <c r="R125" s="804"/>
      <c r="S125" s="804"/>
      <c r="T125" s="804"/>
      <c r="U125" s="804"/>
      <c r="V125" s="804"/>
      <c r="W125" s="804"/>
    </row>
    <row r="126" spans="1:23" s="775" customFormat="1">
      <c r="A126" s="804"/>
      <c r="B126" s="804"/>
      <c r="C126" s="804"/>
      <c r="D126" s="804"/>
      <c r="E126" s="804"/>
      <c r="F126" s="806"/>
      <c r="G126" s="804"/>
      <c r="H126" s="804"/>
      <c r="I126" s="804"/>
      <c r="J126" s="804"/>
      <c r="K126" s="804"/>
      <c r="L126" s="804"/>
      <c r="M126" s="804"/>
      <c r="N126" s="804"/>
      <c r="O126" s="804"/>
      <c r="P126" s="804"/>
      <c r="Q126" s="804"/>
      <c r="R126" s="804"/>
      <c r="S126" s="804"/>
      <c r="T126" s="804"/>
      <c r="U126" s="804"/>
      <c r="V126" s="804"/>
      <c r="W126" s="804"/>
    </row>
    <row r="127" spans="1:23" s="775" customFormat="1">
      <c r="A127" s="804"/>
      <c r="B127" s="804"/>
      <c r="C127" s="804"/>
      <c r="D127" s="804"/>
      <c r="E127" s="804"/>
      <c r="F127" s="806"/>
      <c r="G127" s="804"/>
      <c r="H127" s="804"/>
      <c r="I127" s="804"/>
      <c r="J127" s="804"/>
      <c r="K127" s="804"/>
      <c r="L127" s="804"/>
      <c r="M127" s="804"/>
      <c r="N127" s="804"/>
      <c r="O127" s="804"/>
      <c r="P127" s="804"/>
      <c r="Q127" s="804"/>
      <c r="R127" s="804"/>
      <c r="S127" s="804"/>
      <c r="T127" s="804"/>
      <c r="U127" s="804"/>
      <c r="V127" s="804"/>
      <c r="W127" s="804"/>
    </row>
    <row r="128" spans="1:23" s="775" customFormat="1">
      <c r="A128" s="804"/>
      <c r="B128" s="804"/>
      <c r="C128" s="804"/>
      <c r="D128" s="804"/>
      <c r="E128" s="804"/>
      <c r="F128" s="806"/>
      <c r="G128" s="804"/>
      <c r="H128" s="804"/>
      <c r="I128" s="804"/>
      <c r="J128" s="804"/>
      <c r="K128" s="804"/>
      <c r="L128" s="804"/>
      <c r="M128" s="804"/>
      <c r="N128" s="804"/>
      <c r="O128" s="804"/>
      <c r="P128" s="804"/>
      <c r="Q128" s="804"/>
      <c r="R128" s="804"/>
      <c r="S128" s="804"/>
      <c r="T128" s="804"/>
      <c r="U128" s="804"/>
      <c r="V128" s="804"/>
      <c r="W128" s="804"/>
    </row>
    <row r="129" spans="1:23" s="775" customFormat="1">
      <c r="A129" s="804"/>
      <c r="B129" s="804"/>
      <c r="C129" s="804"/>
      <c r="D129" s="804"/>
      <c r="E129" s="804"/>
      <c r="F129" s="806"/>
      <c r="G129" s="804"/>
      <c r="H129" s="804"/>
      <c r="I129" s="804"/>
      <c r="J129" s="804"/>
      <c r="K129" s="804"/>
      <c r="L129" s="804"/>
      <c r="M129" s="804"/>
      <c r="N129" s="804"/>
      <c r="O129" s="804"/>
      <c r="P129" s="804"/>
      <c r="Q129" s="804"/>
      <c r="R129" s="804"/>
      <c r="S129" s="804"/>
      <c r="T129" s="804"/>
      <c r="U129" s="804"/>
      <c r="V129" s="804"/>
      <c r="W129" s="804"/>
    </row>
    <row r="130" spans="1:23" s="775" customFormat="1">
      <c r="A130" s="804"/>
      <c r="B130" s="804"/>
      <c r="C130" s="804"/>
      <c r="D130" s="804"/>
      <c r="E130" s="804"/>
      <c r="F130" s="806"/>
      <c r="G130" s="804"/>
      <c r="H130" s="804"/>
      <c r="I130" s="804"/>
      <c r="J130" s="804"/>
      <c r="K130" s="804"/>
      <c r="L130" s="804"/>
      <c r="M130" s="804"/>
      <c r="N130" s="804"/>
      <c r="O130" s="804"/>
      <c r="P130" s="804"/>
      <c r="Q130" s="804"/>
      <c r="R130" s="804"/>
      <c r="S130" s="804"/>
      <c r="T130" s="804"/>
      <c r="U130" s="804"/>
      <c r="V130" s="804"/>
      <c r="W130" s="804"/>
    </row>
    <row r="131" spans="1:23" s="775" customFormat="1">
      <c r="A131" s="804"/>
      <c r="B131" s="804"/>
      <c r="C131" s="804"/>
      <c r="D131" s="804"/>
      <c r="E131" s="804"/>
      <c r="F131" s="806"/>
      <c r="G131" s="804"/>
      <c r="H131" s="804"/>
      <c r="I131" s="804"/>
      <c r="J131" s="804"/>
      <c r="K131" s="804"/>
      <c r="L131" s="804"/>
      <c r="M131" s="804"/>
      <c r="N131" s="804"/>
      <c r="O131" s="804"/>
      <c r="P131" s="804"/>
      <c r="Q131" s="804"/>
      <c r="R131" s="804"/>
      <c r="S131" s="804"/>
      <c r="T131" s="804"/>
      <c r="U131" s="804"/>
      <c r="V131" s="804"/>
      <c r="W131" s="804"/>
    </row>
    <row r="132" spans="1:23" s="775" customFormat="1">
      <c r="A132" s="804"/>
      <c r="B132" s="804"/>
      <c r="C132" s="804"/>
      <c r="D132" s="804"/>
      <c r="E132" s="804"/>
      <c r="F132" s="806"/>
      <c r="G132" s="804"/>
      <c r="H132" s="804"/>
      <c r="I132" s="804"/>
      <c r="J132" s="804"/>
      <c r="K132" s="804"/>
      <c r="L132" s="804"/>
      <c r="M132" s="804"/>
      <c r="N132" s="804"/>
      <c r="O132" s="804"/>
      <c r="P132" s="804"/>
      <c r="Q132" s="804"/>
      <c r="R132" s="804"/>
      <c r="S132" s="804"/>
      <c r="T132" s="804"/>
      <c r="U132" s="804"/>
      <c r="V132" s="804"/>
      <c r="W132" s="804"/>
    </row>
    <row r="133" spans="1:23" s="775" customFormat="1">
      <c r="A133" s="804"/>
      <c r="B133" s="804"/>
      <c r="C133" s="804"/>
      <c r="D133" s="804"/>
      <c r="E133" s="804"/>
      <c r="F133" s="806"/>
      <c r="G133" s="804"/>
      <c r="H133" s="804"/>
      <c r="I133" s="804"/>
      <c r="J133" s="804"/>
      <c r="K133" s="804"/>
      <c r="L133" s="804"/>
      <c r="M133" s="804"/>
      <c r="N133" s="804"/>
      <c r="O133" s="804"/>
      <c r="P133" s="804"/>
      <c r="Q133" s="804"/>
      <c r="R133" s="804"/>
      <c r="S133" s="804"/>
      <c r="T133" s="804"/>
      <c r="U133" s="804"/>
      <c r="V133" s="804"/>
      <c r="W133" s="804"/>
    </row>
    <row r="134" spans="1:23" s="775" customFormat="1">
      <c r="A134" s="804"/>
      <c r="B134" s="804"/>
      <c r="C134" s="804"/>
      <c r="D134" s="804"/>
      <c r="E134" s="804"/>
      <c r="F134" s="806"/>
      <c r="G134" s="804"/>
      <c r="H134" s="804"/>
      <c r="I134" s="804"/>
      <c r="J134" s="804"/>
      <c r="K134" s="804"/>
      <c r="L134" s="804"/>
      <c r="M134" s="804"/>
      <c r="N134" s="804"/>
      <c r="O134" s="804"/>
      <c r="P134" s="804"/>
      <c r="Q134" s="804"/>
      <c r="R134" s="804"/>
      <c r="S134" s="804"/>
      <c r="T134" s="804"/>
      <c r="U134" s="804"/>
      <c r="V134" s="804"/>
      <c r="W134" s="804"/>
    </row>
    <row r="135" spans="1:23" s="775" customFormat="1">
      <c r="A135" s="804"/>
      <c r="B135" s="804"/>
      <c r="C135" s="804"/>
      <c r="D135" s="804"/>
      <c r="E135" s="804"/>
      <c r="F135" s="806"/>
      <c r="G135" s="804"/>
      <c r="H135" s="804"/>
      <c r="I135" s="804"/>
      <c r="J135" s="804"/>
      <c r="K135" s="804"/>
      <c r="L135" s="804"/>
      <c r="M135" s="804"/>
      <c r="N135" s="804"/>
      <c r="O135" s="804"/>
      <c r="P135" s="804"/>
      <c r="Q135" s="804"/>
      <c r="R135" s="804"/>
      <c r="S135" s="804"/>
      <c r="T135" s="804"/>
      <c r="U135" s="804"/>
      <c r="V135" s="804"/>
      <c r="W135" s="804"/>
    </row>
    <row r="136" spans="1:23" s="775" customFormat="1">
      <c r="A136" s="804"/>
      <c r="B136" s="804"/>
      <c r="C136" s="804"/>
      <c r="D136" s="804"/>
      <c r="E136" s="804"/>
      <c r="F136" s="806"/>
      <c r="G136" s="804"/>
      <c r="H136" s="804"/>
      <c r="I136" s="804"/>
      <c r="J136" s="804"/>
      <c r="K136" s="804"/>
      <c r="L136" s="804"/>
      <c r="M136" s="804"/>
      <c r="N136" s="804"/>
      <c r="O136" s="804"/>
      <c r="P136" s="804"/>
      <c r="Q136" s="804"/>
      <c r="R136" s="804"/>
      <c r="S136" s="804"/>
      <c r="T136" s="804"/>
      <c r="U136" s="804"/>
      <c r="V136" s="804"/>
      <c r="W136" s="804"/>
    </row>
    <row r="137" spans="1:23" s="775" customFormat="1">
      <c r="A137" s="804"/>
      <c r="B137" s="804"/>
      <c r="C137" s="804"/>
      <c r="D137" s="804"/>
      <c r="E137" s="804"/>
      <c r="F137" s="806"/>
      <c r="G137" s="804"/>
      <c r="H137" s="804"/>
      <c r="I137" s="804"/>
      <c r="J137" s="804"/>
      <c r="K137" s="804"/>
      <c r="L137" s="804"/>
      <c r="M137" s="804"/>
      <c r="N137" s="804"/>
      <c r="O137" s="804"/>
      <c r="P137" s="804"/>
      <c r="Q137" s="804"/>
      <c r="R137" s="804"/>
      <c r="S137" s="804"/>
      <c r="T137" s="804"/>
      <c r="U137" s="804"/>
      <c r="V137" s="804"/>
      <c r="W137" s="804"/>
    </row>
    <row r="138" spans="1:23" s="775" customFormat="1">
      <c r="A138" s="804"/>
      <c r="B138" s="804"/>
      <c r="C138" s="804"/>
      <c r="D138" s="804"/>
      <c r="E138" s="804"/>
      <c r="F138" s="806"/>
      <c r="G138" s="804"/>
      <c r="H138" s="804"/>
      <c r="I138" s="804"/>
      <c r="J138" s="804"/>
      <c r="K138" s="804"/>
      <c r="L138" s="804"/>
      <c r="M138" s="804"/>
      <c r="N138" s="804"/>
      <c r="O138" s="804"/>
      <c r="P138" s="804"/>
      <c r="Q138" s="804"/>
      <c r="R138" s="804"/>
      <c r="S138" s="804"/>
      <c r="T138" s="804"/>
      <c r="U138" s="804"/>
      <c r="V138" s="804"/>
      <c r="W138" s="804"/>
    </row>
    <row r="139" spans="1:23" s="775" customFormat="1">
      <c r="A139" s="804"/>
      <c r="B139" s="804"/>
      <c r="C139" s="804"/>
      <c r="D139" s="804"/>
      <c r="E139" s="804"/>
      <c r="F139" s="806"/>
      <c r="G139" s="804"/>
      <c r="H139" s="804"/>
      <c r="I139" s="804"/>
      <c r="J139" s="804"/>
      <c r="K139" s="804"/>
      <c r="L139" s="804"/>
      <c r="M139" s="804"/>
      <c r="N139" s="804"/>
      <c r="O139" s="804"/>
      <c r="P139" s="804"/>
      <c r="Q139" s="804"/>
      <c r="R139" s="804"/>
      <c r="S139" s="804"/>
      <c r="T139" s="804"/>
      <c r="U139" s="804"/>
      <c r="V139" s="804"/>
      <c r="W139" s="804"/>
    </row>
    <row r="140" spans="1:23" s="775" customFormat="1">
      <c r="A140" s="804"/>
      <c r="B140" s="804"/>
      <c r="C140" s="804"/>
      <c r="D140" s="804"/>
      <c r="E140" s="804"/>
      <c r="F140" s="806"/>
      <c r="G140" s="804"/>
      <c r="H140" s="804"/>
      <c r="I140" s="804"/>
      <c r="J140" s="804"/>
      <c r="K140" s="804"/>
      <c r="L140" s="804"/>
      <c r="M140" s="804"/>
      <c r="N140" s="804"/>
      <c r="O140" s="804"/>
      <c r="P140" s="804"/>
      <c r="Q140" s="804"/>
      <c r="R140" s="804"/>
      <c r="S140" s="804"/>
      <c r="T140" s="804"/>
      <c r="U140" s="804"/>
      <c r="V140" s="804"/>
      <c r="W140" s="804"/>
    </row>
    <row r="141" spans="1:23" s="775" customFormat="1">
      <c r="A141" s="804"/>
      <c r="B141" s="804"/>
      <c r="C141" s="804"/>
      <c r="D141" s="804"/>
      <c r="E141" s="804"/>
      <c r="F141" s="806"/>
      <c r="G141" s="804"/>
      <c r="H141" s="804"/>
      <c r="I141" s="804"/>
      <c r="J141" s="804"/>
      <c r="K141" s="804"/>
      <c r="L141" s="804"/>
      <c r="M141" s="804"/>
      <c r="N141" s="804"/>
      <c r="O141" s="804"/>
      <c r="P141" s="804"/>
      <c r="Q141" s="804"/>
      <c r="R141" s="804"/>
      <c r="S141" s="804"/>
      <c r="T141" s="804"/>
      <c r="U141" s="804"/>
      <c r="V141" s="804"/>
      <c r="W141" s="804"/>
    </row>
    <row r="142" spans="1:23" s="775" customFormat="1">
      <c r="A142" s="804"/>
      <c r="B142" s="804"/>
      <c r="C142" s="804"/>
      <c r="D142" s="804"/>
      <c r="E142" s="804"/>
      <c r="F142" s="806"/>
      <c r="G142" s="804"/>
      <c r="H142" s="804"/>
      <c r="I142" s="804"/>
      <c r="J142" s="804"/>
      <c r="K142" s="804"/>
      <c r="L142" s="804"/>
      <c r="M142" s="804"/>
      <c r="N142" s="804"/>
      <c r="O142" s="804"/>
      <c r="P142" s="804"/>
      <c r="Q142" s="804"/>
      <c r="R142" s="804"/>
      <c r="S142" s="804"/>
      <c r="T142" s="804"/>
      <c r="U142" s="804"/>
      <c r="V142" s="804"/>
      <c r="W142" s="804"/>
    </row>
    <row r="143" spans="1:23" s="775" customFormat="1">
      <c r="A143" s="804"/>
      <c r="B143" s="804"/>
      <c r="C143" s="804"/>
      <c r="D143" s="804"/>
      <c r="E143" s="804"/>
      <c r="F143" s="806"/>
      <c r="G143" s="804"/>
      <c r="H143" s="804"/>
      <c r="I143" s="804"/>
      <c r="J143" s="804"/>
      <c r="K143" s="804"/>
      <c r="L143" s="804"/>
      <c r="M143" s="804"/>
      <c r="N143" s="804"/>
      <c r="O143" s="804"/>
      <c r="P143" s="804"/>
      <c r="Q143" s="804"/>
      <c r="R143" s="804"/>
      <c r="S143" s="804"/>
      <c r="T143" s="804"/>
      <c r="U143" s="804"/>
      <c r="V143" s="804"/>
      <c r="W143" s="804"/>
    </row>
    <row r="144" spans="1:23" s="775" customFormat="1">
      <c r="A144" s="804"/>
      <c r="B144" s="804"/>
      <c r="C144" s="804"/>
      <c r="D144" s="804"/>
      <c r="E144" s="804"/>
      <c r="F144" s="806"/>
      <c r="G144" s="804"/>
      <c r="H144" s="804"/>
      <c r="I144" s="804"/>
      <c r="J144" s="804"/>
      <c r="K144" s="804"/>
      <c r="L144" s="804"/>
      <c r="M144" s="804"/>
      <c r="N144" s="804"/>
      <c r="O144" s="804"/>
      <c r="P144" s="804"/>
      <c r="Q144" s="804"/>
      <c r="R144" s="804"/>
      <c r="S144" s="804"/>
      <c r="T144" s="804"/>
      <c r="U144" s="804"/>
      <c r="V144" s="804"/>
      <c r="W144" s="804"/>
    </row>
    <row r="145" spans="1:23" s="775" customFormat="1">
      <c r="A145" s="804"/>
      <c r="B145" s="804"/>
      <c r="C145" s="804"/>
      <c r="D145" s="804"/>
      <c r="E145" s="804"/>
      <c r="F145" s="806"/>
      <c r="G145" s="804"/>
      <c r="H145" s="804"/>
      <c r="I145" s="804"/>
      <c r="J145" s="804"/>
      <c r="K145" s="804"/>
      <c r="L145" s="804"/>
      <c r="M145" s="804"/>
      <c r="N145" s="804"/>
      <c r="O145" s="804"/>
      <c r="P145" s="804"/>
      <c r="Q145" s="804"/>
      <c r="R145" s="804"/>
      <c r="S145" s="804"/>
      <c r="T145" s="804"/>
      <c r="U145" s="804"/>
      <c r="V145" s="804"/>
      <c r="W145" s="804"/>
    </row>
    <row r="146" spans="1:23" s="775" customFormat="1">
      <c r="A146" s="804"/>
      <c r="B146" s="804"/>
      <c r="C146" s="804"/>
      <c r="D146" s="804"/>
      <c r="E146" s="804"/>
      <c r="F146" s="806"/>
      <c r="G146" s="804"/>
      <c r="H146" s="804"/>
      <c r="I146" s="804"/>
      <c r="J146" s="804"/>
      <c r="K146" s="804"/>
      <c r="L146" s="804"/>
      <c r="M146" s="804"/>
      <c r="N146" s="804"/>
      <c r="O146" s="804"/>
      <c r="P146" s="804"/>
      <c r="Q146" s="804"/>
      <c r="R146" s="804"/>
      <c r="S146" s="804"/>
      <c r="T146" s="804"/>
      <c r="U146" s="804"/>
      <c r="V146" s="804"/>
      <c r="W146" s="804"/>
    </row>
    <row r="147" spans="1:23" s="775" customFormat="1">
      <c r="A147" s="804"/>
      <c r="B147" s="804"/>
      <c r="C147" s="804"/>
      <c r="D147" s="804"/>
      <c r="E147" s="804"/>
      <c r="F147" s="806"/>
      <c r="G147" s="804"/>
      <c r="H147" s="804"/>
      <c r="I147" s="804"/>
      <c r="J147" s="804"/>
      <c r="K147" s="804"/>
      <c r="L147" s="804"/>
      <c r="M147" s="804"/>
      <c r="N147" s="804"/>
      <c r="O147" s="804"/>
      <c r="P147" s="804"/>
      <c r="Q147" s="804"/>
      <c r="R147" s="804"/>
      <c r="S147" s="804"/>
      <c r="T147" s="804"/>
      <c r="U147" s="804"/>
      <c r="V147" s="804"/>
      <c r="W147" s="804"/>
    </row>
    <row r="148" spans="1:23" s="775" customFormat="1">
      <c r="A148" s="804"/>
      <c r="B148" s="804"/>
      <c r="C148" s="804"/>
      <c r="D148" s="804"/>
      <c r="E148" s="804"/>
      <c r="F148" s="806"/>
      <c r="G148" s="804"/>
      <c r="H148" s="804"/>
      <c r="I148" s="804"/>
      <c r="J148" s="804"/>
      <c r="K148" s="804"/>
      <c r="L148" s="804"/>
      <c r="M148" s="804"/>
      <c r="N148" s="804"/>
      <c r="O148" s="804"/>
      <c r="P148" s="804"/>
      <c r="Q148" s="804"/>
      <c r="R148" s="804"/>
      <c r="S148" s="804"/>
      <c r="T148" s="804"/>
      <c r="U148" s="804"/>
      <c r="V148" s="804"/>
      <c r="W148" s="804"/>
    </row>
    <row r="149" spans="1:23" s="775" customFormat="1">
      <c r="A149" s="804"/>
      <c r="B149" s="804"/>
      <c r="C149" s="804"/>
      <c r="D149" s="804"/>
      <c r="E149" s="804"/>
      <c r="F149" s="806"/>
      <c r="G149" s="804"/>
      <c r="H149" s="804"/>
      <c r="I149" s="804"/>
      <c r="J149" s="804"/>
      <c r="K149" s="804"/>
      <c r="L149" s="804"/>
      <c r="M149" s="804"/>
      <c r="N149" s="804"/>
      <c r="O149" s="804"/>
      <c r="P149" s="804"/>
      <c r="Q149" s="804"/>
      <c r="R149" s="804"/>
      <c r="S149" s="804"/>
      <c r="T149" s="804"/>
      <c r="U149" s="804"/>
      <c r="V149" s="804"/>
      <c r="W149" s="804"/>
    </row>
    <row r="150" spans="1:23" s="775" customFormat="1">
      <c r="A150" s="804"/>
      <c r="B150" s="804"/>
      <c r="C150" s="804"/>
      <c r="D150" s="804"/>
      <c r="E150" s="804"/>
      <c r="F150" s="806"/>
      <c r="G150" s="804"/>
      <c r="H150" s="804"/>
      <c r="I150" s="804"/>
      <c r="J150" s="804"/>
      <c r="K150" s="804"/>
      <c r="L150" s="804"/>
      <c r="M150" s="804"/>
      <c r="N150" s="804"/>
      <c r="O150" s="804"/>
      <c r="P150" s="804"/>
      <c r="Q150" s="804"/>
      <c r="R150" s="804"/>
      <c r="S150" s="804"/>
      <c r="T150" s="804"/>
      <c r="U150" s="804"/>
      <c r="V150" s="804"/>
      <c r="W150" s="804"/>
    </row>
    <row r="151" spans="1:23" s="775" customFormat="1">
      <c r="A151" s="804"/>
      <c r="B151" s="804"/>
      <c r="C151" s="804"/>
      <c r="D151" s="804"/>
      <c r="E151" s="804"/>
      <c r="F151" s="806"/>
      <c r="G151" s="804"/>
      <c r="H151" s="804"/>
      <c r="I151" s="804"/>
      <c r="J151" s="804"/>
      <c r="K151" s="804"/>
      <c r="L151" s="804"/>
      <c r="M151" s="804"/>
      <c r="N151" s="804"/>
      <c r="O151" s="804"/>
      <c r="P151" s="804"/>
      <c r="Q151" s="804"/>
      <c r="R151" s="804"/>
      <c r="S151" s="804"/>
      <c r="T151" s="804"/>
      <c r="U151" s="804"/>
      <c r="V151" s="804"/>
      <c r="W151" s="804"/>
    </row>
    <row r="152" spans="1:23" s="775" customFormat="1">
      <c r="A152" s="804"/>
      <c r="B152" s="804"/>
      <c r="C152" s="804"/>
      <c r="D152" s="804"/>
      <c r="E152" s="804"/>
      <c r="F152" s="806"/>
      <c r="G152" s="804"/>
      <c r="H152" s="804"/>
      <c r="I152" s="804"/>
      <c r="J152" s="804"/>
      <c r="K152" s="804"/>
      <c r="L152" s="804"/>
      <c r="M152" s="804"/>
      <c r="N152" s="804"/>
      <c r="O152" s="804"/>
      <c r="P152" s="804"/>
      <c r="Q152" s="804"/>
      <c r="R152" s="804"/>
      <c r="S152" s="804"/>
      <c r="T152" s="804"/>
      <c r="U152" s="804"/>
      <c r="V152" s="804"/>
      <c r="W152" s="804"/>
    </row>
    <row r="153" spans="1:23" s="775" customFormat="1">
      <c r="A153" s="804"/>
      <c r="B153" s="804"/>
      <c r="C153" s="804"/>
      <c r="D153" s="804"/>
      <c r="E153" s="804"/>
      <c r="F153" s="806"/>
      <c r="G153" s="804"/>
      <c r="H153" s="804"/>
      <c r="I153" s="804"/>
      <c r="J153" s="804"/>
      <c r="K153" s="804"/>
      <c r="L153" s="804"/>
      <c r="M153" s="804"/>
      <c r="N153" s="804"/>
      <c r="O153" s="804"/>
      <c r="P153" s="804"/>
      <c r="Q153" s="804"/>
      <c r="R153" s="804"/>
      <c r="S153" s="804"/>
      <c r="T153" s="804"/>
      <c r="U153" s="804"/>
      <c r="V153" s="804"/>
      <c r="W153" s="804"/>
    </row>
    <row r="154" spans="1:23" s="775" customFormat="1">
      <c r="A154" s="804"/>
      <c r="B154" s="804"/>
      <c r="C154" s="804"/>
      <c r="D154" s="804"/>
      <c r="E154" s="804"/>
      <c r="F154" s="806"/>
      <c r="G154" s="804"/>
      <c r="H154" s="804"/>
      <c r="I154" s="804"/>
      <c r="J154" s="804"/>
      <c r="K154" s="804"/>
      <c r="L154" s="804"/>
      <c r="M154" s="804"/>
      <c r="N154" s="804"/>
      <c r="O154" s="804"/>
      <c r="P154" s="804"/>
      <c r="Q154" s="804"/>
      <c r="R154" s="804"/>
      <c r="S154" s="804"/>
      <c r="T154" s="804"/>
      <c r="U154" s="804"/>
      <c r="V154" s="804"/>
      <c r="W154" s="804"/>
    </row>
    <row r="155" spans="1:23" s="775" customFormat="1">
      <c r="A155" s="804"/>
      <c r="B155" s="804"/>
      <c r="C155" s="804"/>
      <c r="D155" s="804"/>
      <c r="E155" s="804"/>
      <c r="F155" s="806"/>
      <c r="G155" s="804"/>
      <c r="H155" s="804"/>
      <c r="I155" s="804"/>
      <c r="J155" s="804"/>
      <c r="K155" s="804"/>
      <c r="L155" s="804"/>
      <c r="M155" s="804"/>
      <c r="N155" s="804"/>
      <c r="O155" s="804"/>
      <c r="P155" s="804"/>
      <c r="Q155" s="804"/>
      <c r="R155" s="804"/>
      <c r="S155" s="804"/>
      <c r="T155" s="804"/>
      <c r="U155" s="804"/>
      <c r="V155" s="804"/>
      <c r="W155" s="804"/>
    </row>
    <row r="156" spans="1:23" s="775" customFormat="1">
      <c r="A156" s="804"/>
      <c r="B156" s="804"/>
      <c r="C156" s="804"/>
      <c r="D156" s="804"/>
      <c r="E156" s="804"/>
      <c r="F156" s="806"/>
      <c r="G156" s="804"/>
      <c r="H156" s="804"/>
      <c r="I156" s="804"/>
      <c r="J156" s="804"/>
      <c r="K156" s="804"/>
      <c r="L156" s="804"/>
      <c r="M156" s="804"/>
      <c r="N156" s="804"/>
      <c r="O156" s="804"/>
      <c r="P156" s="804"/>
      <c r="Q156" s="804"/>
      <c r="R156" s="804"/>
      <c r="S156" s="804"/>
      <c r="T156" s="804"/>
      <c r="U156" s="804"/>
      <c r="V156" s="804"/>
      <c r="W156" s="804"/>
    </row>
    <row r="157" spans="1:23" s="775" customFormat="1">
      <c r="A157" s="804"/>
      <c r="B157" s="804"/>
      <c r="C157" s="804"/>
      <c r="D157" s="804"/>
      <c r="E157" s="804"/>
      <c r="F157" s="806"/>
      <c r="G157" s="804"/>
      <c r="H157" s="804"/>
      <c r="I157" s="804"/>
      <c r="J157" s="804"/>
      <c r="K157" s="804"/>
      <c r="L157" s="804"/>
      <c r="M157" s="804"/>
      <c r="N157" s="804"/>
      <c r="O157" s="804"/>
      <c r="P157" s="804"/>
      <c r="Q157" s="804"/>
      <c r="R157" s="804"/>
      <c r="S157" s="804"/>
      <c r="T157" s="804"/>
      <c r="U157" s="804"/>
      <c r="V157" s="804"/>
      <c r="W157" s="804"/>
    </row>
    <row r="158" spans="1:23" s="775" customFormat="1">
      <c r="A158" s="804"/>
      <c r="B158" s="804"/>
      <c r="C158" s="804"/>
      <c r="D158" s="804"/>
      <c r="E158" s="804"/>
      <c r="F158" s="806"/>
      <c r="G158" s="804"/>
      <c r="H158" s="804"/>
      <c r="I158" s="804"/>
      <c r="J158" s="804"/>
      <c r="K158" s="804"/>
      <c r="L158" s="804"/>
      <c r="M158" s="804"/>
      <c r="N158" s="804"/>
      <c r="O158" s="804"/>
      <c r="P158" s="804"/>
      <c r="Q158" s="804"/>
      <c r="R158" s="804"/>
      <c r="S158" s="804"/>
      <c r="T158" s="804"/>
      <c r="U158" s="804"/>
      <c r="V158" s="804"/>
      <c r="W158" s="804"/>
    </row>
    <row r="159" spans="1:23" s="775" customFormat="1">
      <c r="A159" s="804"/>
      <c r="B159" s="804"/>
      <c r="C159" s="804"/>
      <c r="D159" s="804"/>
      <c r="E159" s="804"/>
      <c r="F159" s="806"/>
      <c r="G159" s="804"/>
      <c r="H159" s="804"/>
      <c r="I159" s="804"/>
      <c r="J159" s="804"/>
      <c r="K159" s="804"/>
      <c r="L159" s="804"/>
      <c r="M159" s="804"/>
      <c r="N159" s="804"/>
      <c r="O159" s="804"/>
      <c r="P159" s="804"/>
      <c r="Q159" s="804"/>
      <c r="R159" s="804"/>
      <c r="S159" s="804"/>
      <c r="T159" s="804"/>
      <c r="U159" s="804"/>
      <c r="V159" s="804"/>
      <c r="W159" s="804"/>
    </row>
    <row r="160" spans="1:23" s="775" customFormat="1">
      <c r="A160" s="804"/>
      <c r="B160" s="804"/>
      <c r="C160" s="804"/>
      <c r="D160" s="804"/>
      <c r="E160" s="804"/>
      <c r="F160" s="806"/>
      <c r="G160" s="804"/>
      <c r="H160" s="804"/>
      <c r="I160" s="804"/>
      <c r="J160" s="804"/>
      <c r="K160" s="804"/>
      <c r="L160" s="804"/>
      <c r="M160" s="804"/>
      <c r="N160" s="804"/>
      <c r="O160" s="804"/>
      <c r="P160" s="804"/>
      <c r="Q160" s="804"/>
      <c r="R160" s="804"/>
      <c r="S160" s="804"/>
      <c r="T160" s="804"/>
      <c r="U160" s="804"/>
      <c r="V160" s="804"/>
      <c r="W160" s="804"/>
    </row>
    <row r="161" spans="1:23" s="775" customFormat="1">
      <c r="A161" s="804"/>
      <c r="B161" s="804"/>
      <c r="C161" s="804"/>
      <c r="D161" s="804"/>
      <c r="E161" s="804"/>
      <c r="F161" s="806"/>
      <c r="G161" s="804"/>
      <c r="H161" s="804"/>
      <c r="I161" s="804"/>
      <c r="J161" s="804"/>
      <c r="K161" s="804"/>
      <c r="L161" s="804"/>
      <c r="M161" s="804"/>
      <c r="N161" s="804"/>
      <c r="O161" s="804"/>
      <c r="P161" s="804"/>
      <c r="Q161" s="804"/>
      <c r="R161" s="804"/>
      <c r="S161" s="804"/>
      <c r="T161" s="804"/>
      <c r="U161" s="804"/>
      <c r="V161" s="804"/>
      <c r="W161" s="804"/>
    </row>
    <row r="162" spans="1:23" s="775" customFormat="1">
      <c r="A162" s="804"/>
      <c r="B162" s="804"/>
      <c r="C162" s="804"/>
      <c r="D162" s="804"/>
      <c r="E162" s="804"/>
      <c r="F162" s="806"/>
      <c r="G162" s="804"/>
      <c r="H162" s="804"/>
      <c r="I162" s="804"/>
      <c r="J162" s="804"/>
      <c r="K162" s="804"/>
      <c r="L162" s="804"/>
      <c r="M162" s="804"/>
      <c r="N162" s="804"/>
      <c r="O162" s="804"/>
      <c r="P162" s="804"/>
      <c r="Q162" s="804"/>
      <c r="R162" s="804"/>
      <c r="S162" s="804"/>
      <c r="T162" s="804"/>
      <c r="U162" s="804"/>
      <c r="V162" s="804"/>
      <c r="W162" s="804"/>
    </row>
    <row r="163" spans="1:23" s="775" customFormat="1">
      <c r="A163" s="804"/>
      <c r="B163" s="804"/>
      <c r="C163" s="804"/>
      <c r="D163" s="804"/>
      <c r="E163" s="804"/>
      <c r="F163" s="806"/>
      <c r="G163" s="804"/>
      <c r="H163" s="804"/>
      <c r="I163" s="804"/>
      <c r="J163" s="804"/>
      <c r="K163" s="804"/>
      <c r="L163" s="804"/>
      <c r="M163" s="804"/>
      <c r="N163" s="804"/>
      <c r="O163" s="804"/>
      <c r="P163" s="804"/>
      <c r="Q163" s="804"/>
      <c r="R163" s="804"/>
      <c r="S163" s="804"/>
      <c r="T163" s="804"/>
      <c r="U163" s="804"/>
      <c r="V163" s="804"/>
      <c r="W163" s="804"/>
    </row>
    <row r="164" spans="1:23" s="775" customFormat="1">
      <c r="A164" s="804"/>
      <c r="B164" s="804"/>
      <c r="C164" s="804"/>
      <c r="D164" s="804"/>
      <c r="E164" s="804"/>
      <c r="F164" s="806"/>
      <c r="G164" s="804"/>
      <c r="H164" s="804"/>
      <c r="I164" s="804"/>
      <c r="J164" s="804"/>
      <c r="K164" s="804"/>
      <c r="L164" s="804"/>
      <c r="M164" s="804"/>
      <c r="N164" s="804"/>
      <c r="O164" s="804"/>
      <c r="P164" s="804"/>
      <c r="Q164" s="804"/>
      <c r="R164" s="804"/>
      <c r="S164" s="804"/>
      <c r="T164" s="804"/>
      <c r="U164" s="804"/>
      <c r="V164" s="804"/>
      <c r="W164" s="804"/>
    </row>
    <row r="165" spans="1:23" s="775" customFormat="1">
      <c r="A165" s="804"/>
      <c r="B165" s="804"/>
      <c r="C165" s="804"/>
      <c r="D165" s="804"/>
      <c r="E165" s="804"/>
      <c r="F165" s="806"/>
      <c r="G165" s="804"/>
      <c r="H165" s="804"/>
      <c r="I165" s="804"/>
      <c r="J165" s="804"/>
      <c r="K165" s="804"/>
      <c r="L165" s="804"/>
      <c r="M165" s="804"/>
      <c r="N165" s="804"/>
      <c r="O165" s="804"/>
      <c r="P165" s="804"/>
      <c r="Q165" s="804"/>
      <c r="R165" s="804"/>
      <c r="S165" s="804"/>
      <c r="T165" s="804"/>
      <c r="U165" s="804"/>
      <c r="V165" s="804"/>
      <c r="W165" s="804"/>
    </row>
    <row r="166" spans="1:23" s="775" customFormat="1">
      <c r="A166" s="804"/>
      <c r="B166" s="804"/>
      <c r="C166" s="804"/>
      <c r="D166" s="804"/>
      <c r="E166" s="804"/>
      <c r="F166" s="806"/>
      <c r="G166" s="804"/>
      <c r="H166" s="804"/>
      <c r="I166" s="804"/>
      <c r="J166" s="804"/>
      <c r="K166" s="804"/>
      <c r="L166" s="804"/>
      <c r="M166" s="804"/>
      <c r="N166" s="804"/>
      <c r="O166" s="804"/>
      <c r="P166" s="804"/>
      <c r="Q166" s="804"/>
      <c r="R166" s="804"/>
      <c r="S166" s="804"/>
      <c r="T166" s="804"/>
      <c r="U166" s="804"/>
      <c r="V166" s="804"/>
      <c r="W166" s="804"/>
    </row>
    <row r="167" spans="1:23" s="775" customFormat="1">
      <c r="A167" s="804"/>
      <c r="B167" s="804"/>
      <c r="C167" s="804"/>
      <c r="D167" s="804"/>
      <c r="E167" s="804"/>
      <c r="F167" s="806"/>
      <c r="G167" s="804"/>
      <c r="H167" s="804"/>
      <c r="I167" s="804"/>
      <c r="J167" s="804"/>
      <c r="K167" s="804"/>
      <c r="L167" s="804"/>
      <c r="M167" s="804"/>
      <c r="N167" s="804"/>
      <c r="O167" s="804"/>
      <c r="P167" s="804"/>
      <c r="Q167" s="804"/>
      <c r="R167" s="804"/>
      <c r="S167" s="804"/>
      <c r="T167" s="804"/>
      <c r="U167" s="804"/>
      <c r="V167" s="804"/>
      <c r="W167" s="804"/>
    </row>
    <row r="168" spans="1:23" s="775" customFormat="1">
      <c r="A168" s="804"/>
      <c r="B168" s="804"/>
      <c r="C168" s="804"/>
      <c r="D168" s="804"/>
      <c r="E168" s="804"/>
      <c r="F168" s="806"/>
      <c r="G168" s="804"/>
      <c r="H168" s="804"/>
      <c r="I168" s="804"/>
      <c r="J168" s="804"/>
      <c r="K168" s="804"/>
      <c r="L168" s="804"/>
      <c r="M168" s="804"/>
      <c r="N168" s="804"/>
      <c r="O168" s="804"/>
      <c r="P168" s="804"/>
      <c r="Q168" s="804"/>
      <c r="R168" s="804"/>
      <c r="S168" s="804"/>
      <c r="T168" s="804"/>
      <c r="U168" s="804"/>
      <c r="V168" s="804"/>
      <c r="W168" s="804"/>
    </row>
    <row r="169" spans="1:23" s="775" customFormat="1">
      <c r="A169" s="804"/>
      <c r="B169" s="804"/>
      <c r="C169" s="804"/>
      <c r="D169" s="804"/>
      <c r="E169" s="804"/>
      <c r="F169" s="806"/>
      <c r="G169" s="804"/>
      <c r="H169" s="804"/>
      <c r="I169" s="804"/>
      <c r="J169" s="804"/>
      <c r="K169" s="804"/>
      <c r="L169" s="804"/>
      <c r="M169" s="804"/>
      <c r="N169" s="804"/>
      <c r="O169" s="804"/>
      <c r="P169" s="804"/>
      <c r="Q169" s="804"/>
      <c r="R169" s="804"/>
      <c r="S169" s="804"/>
      <c r="T169" s="804"/>
      <c r="U169" s="804"/>
      <c r="V169" s="804"/>
      <c r="W169" s="804"/>
    </row>
    <row r="170" spans="1:23" s="775" customFormat="1">
      <c r="A170" s="804"/>
      <c r="B170" s="804"/>
      <c r="C170" s="804"/>
      <c r="D170" s="804"/>
      <c r="E170" s="804"/>
      <c r="F170" s="806"/>
      <c r="G170" s="804"/>
      <c r="H170" s="804"/>
      <c r="I170" s="804"/>
      <c r="J170" s="804"/>
      <c r="K170" s="804"/>
      <c r="L170" s="804"/>
      <c r="M170" s="804"/>
      <c r="N170" s="804"/>
      <c r="O170" s="804"/>
      <c r="P170" s="804"/>
      <c r="Q170" s="804"/>
      <c r="R170" s="804"/>
      <c r="S170" s="804"/>
      <c r="T170" s="804"/>
      <c r="U170" s="804"/>
      <c r="V170" s="804"/>
      <c r="W170" s="804"/>
    </row>
    <row r="171" spans="1:23" s="775" customFormat="1">
      <c r="A171" s="804"/>
      <c r="B171" s="804"/>
      <c r="C171" s="804"/>
      <c r="D171" s="804"/>
      <c r="E171" s="804"/>
      <c r="F171" s="806"/>
      <c r="G171" s="804"/>
      <c r="H171" s="804"/>
      <c r="I171" s="804"/>
      <c r="J171" s="804"/>
      <c r="K171" s="804"/>
      <c r="L171" s="804"/>
      <c r="M171" s="804"/>
      <c r="N171" s="804"/>
      <c r="O171" s="804"/>
      <c r="P171" s="804"/>
      <c r="Q171" s="804"/>
      <c r="R171" s="804"/>
      <c r="S171" s="804"/>
      <c r="T171" s="804"/>
      <c r="U171" s="804"/>
      <c r="V171" s="804"/>
      <c r="W171" s="804"/>
    </row>
    <row r="172" spans="1:23" s="775" customFormat="1">
      <c r="A172" s="804"/>
      <c r="B172" s="804"/>
      <c r="C172" s="804"/>
      <c r="D172" s="804"/>
      <c r="E172" s="804"/>
      <c r="F172" s="806"/>
      <c r="G172" s="804"/>
      <c r="H172" s="804"/>
      <c r="I172" s="804"/>
      <c r="J172" s="804"/>
      <c r="K172" s="804"/>
      <c r="L172" s="804"/>
      <c r="M172" s="804"/>
      <c r="N172" s="804"/>
      <c r="O172" s="804"/>
      <c r="P172" s="804"/>
      <c r="Q172" s="804"/>
      <c r="R172" s="804"/>
      <c r="S172" s="804"/>
      <c r="T172" s="804"/>
      <c r="U172" s="804"/>
      <c r="V172" s="804"/>
      <c r="W172" s="804"/>
    </row>
    <row r="173" spans="1:23" s="775" customFormat="1">
      <c r="A173" s="804"/>
      <c r="B173" s="804"/>
      <c r="C173" s="804"/>
      <c r="D173" s="804"/>
      <c r="E173" s="804"/>
      <c r="F173" s="806"/>
      <c r="G173" s="804"/>
      <c r="H173" s="804"/>
      <c r="I173" s="804"/>
      <c r="J173" s="804"/>
      <c r="K173" s="804"/>
      <c r="L173" s="804"/>
      <c r="M173" s="804"/>
      <c r="N173" s="804"/>
      <c r="O173" s="804"/>
      <c r="P173" s="804"/>
      <c r="Q173" s="804"/>
      <c r="R173" s="804"/>
      <c r="S173" s="804"/>
      <c r="T173" s="804"/>
      <c r="U173" s="804"/>
      <c r="V173" s="804"/>
      <c r="W173" s="804"/>
    </row>
    <row r="174" spans="1:23" s="775" customFormat="1">
      <c r="A174" s="804"/>
      <c r="B174" s="804"/>
      <c r="C174" s="804"/>
      <c r="D174" s="804"/>
      <c r="E174" s="804"/>
      <c r="F174" s="806"/>
      <c r="G174" s="804"/>
      <c r="H174" s="804"/>
      <c r="I174" s="804"/>
      <c r="J174" s="804"/>
      <c r="K174" s="804"/>
      <c r="L174" s="804"/>
      <c r="M174" s="804"/>
      <c r="N174" s="804"/>
      <c r="O174" s="804"/>
      <c r="P174" s="804"/>
      <c r="Q174" s="804"/>
      <c r="R174" s="804"/>
      <c r="S174" s="804"/>
      <c r="T174" s="804"/>
      <c r="U174" s="804"/>
      <c r="V174" s="804"/>
      <c r="W174" s="804"/>
    </row>
    <row r="175" spans="1:23" s="775" customFormat="1">
      <c r="A175" s="804"/>
      <c r="B175" s="804"/>
      <c r="C175" s="804"/>
      <c r="D175" s="804"/>
      <c r="E175" s="804"/>
      <c r="F175" s="806"/>
      <c r="G175" s="804"/>
      <c r="H175" s="804"/>
      <c r="I175" s="804"/>
      <c r="J175" s="804"/>
      <c r="K175" s="804"/>
      <c r="L175" s="804"/>
      <c r="M175" s="804"/>
      <c r="N175" s="804"/>
      <c r="O175" s="804"/>
      <c r="P175" s="804"/>
      <c r="Q175" s="804"/>
      <c r="R175" s="804"/>
      <c r="S175" s="804"/>
      <c r="T175" s="804"/>
      <c r="U175" s="804"/>
      <c r="V175" s="804"/>
      <c r="W175" s="804"/>
    </row>
    <row r="176" spans="1:23" s="775" customFormat="1">
      <c r="A176" s="804"/>
      <c r="B176" s="804"/>
      <c r="C176" s="804"/>
      <c r="D176" s="804"/>
      <c r="E176" s="804"/>
      <c r="F176" s="806"/>
      <c r="G176" s="804"/>
      <c r="H176" s="804"/>
      <c r="I176" s="804"/>
      <c r="J176" s="804"/>
      <c r="K176" s="804"/>
      <c r="L176" s="804"/>
      <c r="M176" s="804"/>
      <c r="N176" s="804"/>
      <c r="O176" s="804"/>
      <c r="P176" s="804"/>
      <c r="Q176" s="804"/>
      <c r="R176" s="804"/>
      <c r="S176" s="804"/>
      <c r="T176" s="804"/>
      <c r="U176" s="804"/>
      <c r="V176" s="804"/>
      <c r="W176" s="804"/>
    </row>
    <row r="177" spans="1:23" s="775" customFormat="1">
      <c r="A177" s="804"/>
      <c r="B177" s="804"/>
      <c r="C177" s="804"/>
      <c r="D177" s="804"/>
      <c r="E177" s="804"/>
      <c r="F177" s="806"/>
      <c r="G177" s="804"/>
      <c r="H177" s="804"/>
      <c r="I177" s="804"/>
      <c r="J177" s="804"/>
      <c r="K177" s="804"/>
      <c r="L177" s="804"/>
      <c r="M177" s="804"/>
      <c r="N177" s="804"/>
      <c r="O177" s="804"/>
      <c r="P177" s="804"/>
      <c r="Q177" s="804"/>
      <c r="R177" s="804"/>
      <c r="S177" s="804"/>
      <c r="T177" s="804"/>
      <c r="U177" s="804"/>
      <c r="V177" s="804"/>
      <c r="W177" s="804"/>
    </row>
    <row r="178" spans="1:23" s="775" customFormat="1">
      <c r="A178" s="804"/>
      <c r="B178" s="804"/>
      <c r="C178" s="804"/>
      <c r="D178" s="804"/>
      <c r="E178" s="804"/>
      <c r="F178" s="806"/>
      <c r="G178" s="804"/>
      <c r="H178" s="804"/>
      <c r="I178" s="804"/>
      <c r="J178" s="804"/>
      <c r="K178" s="804"/>
      <c r="L178" s="804"/>
      <c r="M178" s="804"/>
      <c r="N178" s="804"/>
      <c r="O178" s="804"/>
      <c r="P178" s="804"/>
      <c r="Q178" s="804"/>
      <c r="R178" s="804"/>
      <c r="S178" s="804"/>
      <c r="T178" s="804"/>
      <c r="U178" s="804"/>
      <c r="V178" s="804"/>
      <c r="W178" s="804"/>
    </row>
    <row r="179" spans="1:23" s="775" customFormat="1">
      <c r="A179" s="804"/>
      <c r="B179" s="804"/>
      <c r="C179" s="804"/>
      <c r="D179" s="804"/>
      <c r="E179" s="804"/>
      <c r="F179" s="806"/>
      <c r="G179" s="804"/>
      <c r="H179" s="804"/>
      <c r="I179" s="804"/>
      <c r="J179" s="804"/>
      <c r="K179" s="804"/>
      <c r="L179" s="804"/>
      <c r="M179" s="804"/>
      <c r="N179" s="804"/>
      <c r="O179" s="804"/>
      <c r="P179" s="804"/>
      <c r="Q179" s="804"/>
      <c r="R179" s="804"/>
      <c r="S179" s="804"/>
      <c r="T179" s="804"/>
      <c r="U179" s="804"/>
      <c r="V179" s="804"/>
      <c r="W179" s="804"/>
    </row>
    <row r="180" spans="1:23" s="775" customFormat="1">
      <c r="A180" s="804"/>
      <c r="B180" s="804"/>
      <c r="C180" s="804"/>
      <c r="D180" s="804"/>
      <c r="E180" s="804"/>
      <c r="F180" s="806"/>
      <c r="G180" s="804"/>
      <c r="H180" s="804"/>
      <c r="I180" s="804"/>
      <c r="J180" s="804"/>
      <c r="K180" s="804"/>
      <c r="L180" s="804"/>
      <c r="M180" s="804"/>
      <c r="N180" s="804"/>
      <c r="O180" s="804"/>
      <c r="P180" s="804"/>
      <c r="Q180" s="804"/>
      <c r="R180" s="804"/>
      <c r="S180" s="804"/>
      <c r="T180" s="804"/>
      <c r="U180" s="804"/>
      <c r="V180" s="804"/>
      <c r="W180" s="804"/>
    </row>
    <row r="181" spans="1:23" s="775" customFormat="1">
      <c r="A181" s="804"/>
      <c r="B181" s="804"/>
      <c r="C181" s="804"/>
      <c r="D181" s="804"/>
      <c r="E181" s="804"/>
      <c r="F181" s="806"/>
      <c r="G181" s="804"/>
      <c r="H181" s="804"/>
      <c r="I181" s="804"/>
      <c r="J181" s="804"/>
      <c r="K181" s="804"/>
      <c r="L181" s="804"/>
      <c r="M181" s="804"/>
      <c r="N181" s="804"/>
      <c r="O181" s="804"/>
      <c r="P181" s="804"/>
      <c r="Q181" s="804"/>
      <c r="R181" s="804"/>
      <c r="S181" s="804"/>
      <c r="T181" s="804"/>
      <c r="U181" s="804"/>
      <c r="V181" s="804"/>
      <c r="W181" s="804"/>
    </row>
  </sheetData>
  <sheetProtection algorithmName="SHA-512" hashValue="y7459qKEKZXdnL50H9mA5zx8sIkc+1Nx9XNGKZ8C5HNiFq6VVZ5mKfh3a/GjeQniJGPpMBwgs9WpypzdIzRftg==" saltValue="m3ybA7cWOM+cyh3Z6LB2FQ==" spinCount="100000" sheet="1" objects="1" scenarios="1"/>
  <mergeCells count="14">
    <mergeCell ref="J54:K54"/>
    <mergeCell ref="H54:I54"/>
    <mergeCell ref="F54:G54"/>
    <mergeCell ref="A1:C1"/>
    <mergeCell ref="J51:K51"/>
    <mergeCell ref="J52:K52"/>
    <mergeCell ref="J53:K53"/>
    <mergeCell ref="C3:E5"/>
    <mergeCell ref="F51:G51"/>
    <mergeCell ref="F52:G52"/>
    <mergeCell ref="F53:G53"/>
    <mergeCell ref="H51:I51"/>
    <mergeCell ref="H52:I52"/>
    <mergeCell ref="H53:I53"/>
  </mergeCells>
  <phoneticPr fontId="67" type="noConversion"/>
  <dataValidations count="1">
    <dataValidation type="decimal" allowBlank="1" showInputMessage="1" showErrorMessage="1" sqref="G31">
      <formula1>0</formula1>
      <formula2>100</formula2>
    </dataValidation>
  </dataValidations>
  <printOptions horizontalCentered="1"/>
  <pageMargins left="0.11811023622047245" right="0.11811023622047245" top="0.51181102362204722" bottom="0.51181102362204722" header="0.39370078740157483" footer="0.51181102362204722"/>
  <pageSetup paperSize="8" scale="41" orientation="landscape" r:id="rId1"/>
  <headerFooter alignWithMargins="0">
    <oddHeader>&amp;CJutīguma analīze&amp;R9.pielikums</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theme="6"/>
    <pageSetUpPr fitToPage="1"/>
  </sheetPr>
  <dimension ref="A1:W107"/>
  <sheetViews>
    <sheetView topLeftCell="A45" zoomScale="85" zoomScaleNormal="85" workbookViewId="0">
      <selection activeCell="J88" activeCellId="1" sqref="E9:E51 J88"/>
    </sheetView>
  </sheetViews>
  <sheetFormatPr defaultRowHeight="12.75"/>
  <cols>
    <col min="1" max="1" width="3.140625" style="761" customWidth="1"/>
    <col min="2" max="2" width="8.85546875" style="761" customWidth="1"/>
    <col min="3" max="3" width="66.85546875" style="761" customWidth="1"/>
    <col min="4" max="4" width="4.7109375" style="761" hidden="1" customWidth="1"/>
    <col min="5" max="5" width="6.5703125" style="761" customWidth="1"/>
    <col min="6" max="6" width="12.28515625" style="761" customWidth="1"/>
    <col min="7" max="7" width="11" style="761" customWidth="1"/>
    <col min="8" max="8" width="11.5703125" style="761" bestFit="1" customWidth="1"/>
    <col min="9" max="9" width="11" style="761" bestFit="1" customWidth="1"/>
    <col min="10" max="10" width="12" style="761" bestFit="1" customWidth="1"/>
    <col min="11" max="14" width="10.7109375" style="761" customWidth="1"/>
    <col min="15" max="19" width="8.85546875" style="761" bestFit="1" customWidth="1"/>
    <col min="20" max="20" width="10" style="761" bestFit="1" customWidth="1"/>
    <col min="21" max="21" width="8.85546875" style="761" bestFit="1" customWidth="1"/>
    <col min="22" max="22" width="11.5703125" style="761" bestFit="1" customWidth="1"/>
    <col min="23" max="23" width="9.28515625" style="761" bestFit="1" customWidth="1"/>
    <col min="24" max="16384" width="9.140625" style="761"/>
  </cols>
  <sheetData>
    <row r="1" spans="1:23" ht="27" customHeight="1">
      <c r="A1" s="2182" t="s">
        <v>1058</v>
      </c>
      <c r="B1" s="2182"/>
      <c r="C1" s="2182"/>
    </row>
    <row r="2" spans="1:23" s="1431" customFormat="1" ht="24.95" customHeight="1">
      <c r="A2" s="1432" t="s">
        <v>1036</v>
      </c>
    </row>
    <row r="3" spans="1:23" ht="15.75" customHeight="1">
      <c r="A3" s="1571"/>
      <c r="B3" s="1539"/>
      <c r="C3" s="2209" t="s">
        <v>70</v>
      </c>
      <c r="D3" s="1982"/>
      <c r="E3" s="1982"/>
      <c r="F3" s="1572"/>
      <c r="G3" s="1703" t="str">
        <f>'3. DL invest.n.pl.AR pr.'!F4</f>
        <v>0 / 1</v>
      </c>
      <c r="H3" s="1703">
        <f>'3. DL invest.n.pl.AR pr.'!G4</f>
        <v>2</v>
      </c>
      <c r="I3" s="1703">
        <f>'3. DL invest.n.pl.AR pr.'!H4</f>
        <v>3</v>
      </c>
      <c r="J3" s="1703">
        <f>'3. DL invest.n.pl.AR pr.'!I4</f>
        <v>4</v>
      </c>
      <c r="K3" s="1703">
        <f>'3. DL invest.n.pl.AR pr.'!J4</f>
        <v>5</v>
      </c>
      <c r="L3" s="1703">
        <f>'3. DL invest.n.pl.AR pr.'!K4</f>
        <v>6</v>
      </c>
      <c r="M3" s="1703">
        <f>'3. DL invest.n.pl.AR pr.'!L4</f>
        <v>7</v>
      </c>
      <c r="N3" s="1703">
        <f>'3. DL invest.n.pl.AR pr.'!M4</f>
        <v>8</v>
      </c>
      <c r="O3" s="1703">
        <f>'3. DL invest.n.pl.AR pr.'!N4</f>
        <v>9</v>
      </c>
      <c r="P3" s="1703">
        <f>'3. DL invest.n.pl.AR pr.'!O4</f>
        <v>10</v>
      </c>
      <c r="Q3" s="1703">
        <f>'3. DL invest.n.pl.AR pr.'!P4</f>
        <v>11</v>
      </c>
      <c r="R3" s="1703">
        <f>'3. DL invest.n.pl.AR pr.'!Q4</f>
        <v>12</v>
      </c>
      <c r="S3" s="1703">
        <f>'3. DL invest.n.pl.AR pr.'!R4</f>
        <v>13</v>
      </c>
      <c r="T3" s="1703">
        <f>'3. DL invest.n.pl.AR pr.'!S4</f>
        <v>14</v>
      </c>
      <c r="U3" s="1703">
        <f>'3. DL invest.n.pl.AR pr.'!T4</f>
        <v>15</v>
      </c>
      <c r="V3" s="1409"/>
    </row>
    <row r="4" spans="1:23">
      <c r="A4" s="1415"/>
      <c r="B4" s="1416"/>
      <c r="C4" s="2210"/>
      <c r="D4" s="1983"/>
      <c r="E4" s="1983"/>
      <c r="F4" s="1449" t="s">
        <v>1</v>
      </c>
      <c r="G4" s="1450">
        <f>'3. DL invest.n.pl.AR pr.'!F5</f>
        <v>2017</v>
      </c>
      <c r="H4" s="1450">
        <f>'3. DL invest.n.pl.AR pr.'!G5</f>
        <v>2018</v>
      </c>
      <c r="I4" s="1450">
        <f>'3. DL invest.n.pl.AR pr.'!H5</f>
        <v>2019</v>
      </c>
      <c r="J4" s="1450">
        <f>'3. DL invest.n.pl.AR pr.'!I5</f>
        <v>2020</v>
      </c>
      <c r="K4" s="1450">
        <f>'3. DL invest.n.pl.AR pr.'!J5</f>
        <v>2021</v>
      </c>
      <c r="L4" s="1450">
        <f>'3. DL invest.n.pl.AR pr.'!K5</f>
        <v>2022</v>
      </c>
      <c r="M4" s="1450">
        <f>'3. DL invest.n.pl.AR pr.'!L5</f>
        <v>2023</v>
      </c>
      <c r="N4" s="1450">
        <f>'3. DL invest.n.pl.AR pr.'!M5</f>
        <v>2024</v>
      </c>
      <c r="O4" s="1450">
        <f>'3. DL invest.n.pl.AR pr.'!N5</f>
        <v>2025</v>
      </c>
      <c r="P4" s="1450">
        <f>'3. DL invest.n.pl.AR pr.'!O5</f>
        <v>2026</v>
      </c>
      <c r="Q4" s="1450">
        <f>'3. DL invest.n.pl.AR pr.'!P5</f>
        <v>2027</v>
      </c>
      <c r="R4" s="1450">
        <f>'3. DL invest.n.pl.AR pr.'!Q5</f>
        <v>2028</v>
      </c>
      <c r="S4" s="1450">
        <f>'3. DL invest.n.pl.AR pr.'!R5</f>
        <v>2029</v>
      </c>
      <c r="T4" s="1450">
        <f>'3. DL invest.n.pl.AR pr.'!S5</f>
        <v>2030</v>
      </c>
      <c r="U4" s="1450">
        <f>'3. DL invest.n.pl.AR pr.'!T5</f>
        <v>2031</v>
      </c>
      <c r="V4" s="1481" t="s">
        <v>2</v>
      </c>
    </row>
    <row r="5" spans="1:23">
      <c r="A5" s="762"/>
      <c r="B5" s="762"/>
      <c r="C5" s="762"/>
      <c r="D5" s="762"/>
      <c r="E5" s="762"/>
      <c r="F5" s="763"/>
      <c r="G5" s="764"/>
      <c r="H5" s="764"/>
      <c r="I5" s="764"/>
      <c r="J5" s="764"/>
      <c r="K5" s="764"/>
      <c r="L5" s="764"/>
      <c r="M5" s="764"/>
      <c r="N5" s="764"/>
      <c r="O5" s="764"/>
      <c r="P5" s="764"/>
      <c r="Q5" s="764"/>
      <c r="R5" s="764"/>
      <c r="S5" s="764"/>
      <c r="T5" s="764"/>
      <c r="U5" s="764"/>
      <c r="V5" s="764"/>
    </row>
    <row r="6" spans="1:23">
      <c r="A6" s="1420">
        <v>1</v>
      </c>
      <c r="B6" s="1421" t="s">
        <v>126</v>
      </c>
      <c r="C6" s="1421"/>
      <c r="D6" s="1421"/>
      <c r="E6" s="1421"/>
      <c r="F6" s="1421"/>
      <c r="G6" s="1422"/>
      <c r="H6" s="1422"/>
      <c r="I6" s="1422"/>
      <c r="J6" s="1422"/>
      <c r="K6" s="1422"/>
      <c r="L6" s="1422"/>
      <c r="M6" s="1422"/>
      <c r="N6" s="1422"/>
      <c r="O6" s="1422"/>
      <c r="P6" s="1422"/>
      <c r="Q6" s="1422"/>
      <c r="R6" s="1422"/>
      <c r="S6" s="1422"/>
      <c r="T6" s="1422"/>
      <c r="U6" s="1422"/>
      <c r="V6" s="1423"/>
    </row>
    <row r="7" spans="1:23">
      <c r="A7" s="762"/>
      <c r="B7" s="762"/>
      <c r="C7" s="762"/>
      <c r="D7" s="762"/>
      <c r="E7" s="762"/>
      <c r="F7" s="763"/>
      <c r="G7" s="764"/>
      <c r="H7" s="764"/>
      <c r="I7" s="764"/>
      <c r="J7" s="764"/>
      <c r="K7" s="764"/>
      <c r="L7" s="764"/>
      <c r="M7" s="764"/>
      <c r="N7" s="764"/>
      <c r="O7" s="764"/>
      <c r="P7" s="764"/>
      <c r="Q7" s="764"/>
      <c r="R7" s="764"/>
      <c r="S7" s="764"/>
      <c r="T7" s="764"/>
      <c r="U7" s="764"/>
      <c r="V7" s="764"/>
    </row>
    <row r="8" spans="1:23" s="789" customFormat="1">
      <c r="A8" s="785"/>
      <c r="B8" s="819" t="s">
        <v>3</v>
      </c>
      <c r="C8" s="786" t="s">
        <v>112</v>
      </c>
      <c r="D8" s="786"/>
      <c r="E8" s="787"/>
      <c r="F8" s="788" t="s">
        <v>873</v>
      </c>
      <c r="G8" s="1454">
        <f>SUM(G9:G17)</f>
        <v>9090</v>
      </c>
      <c r="H8" s="1454">
        <f>SUM(H9:H17)</f>
        <v>9090</v>
      </c>
      <c r="I8" s="1454">
        <f t="shared" ref="I8:J8" si="0">SUM(I9:I17)</f>
        <v>9090</v>
      </c>
      <c r="J8" s="1454">
        <f t="shared" si="0"/>
        <v>9090</v>
      </c>
      <c r="K8" s="1454">
        <f t="shared" ref="K8:U8" si="1">SUM(K9:K17)</f>
        <v>9090</v>
      </c>
      <c r="L8" s="1454">
        <f t="shared" si="1"/>
        <v>9090</v>
      </c>
      <c r="M8" s="1454">
        <f t="shared" si="1"/>
        <v>9090</v>
      </c>
      <c r="N8" s="1454">
        <f t="shared" si="1"/>
        <v>9090</v>
      </c>
      <c r="O8" s="1454">
        <f t="shared" si="1"/>
        <v>9090</v>
      </c>
      <c r="P8" s="1454">
        <f t="shared" si="1"/>
        <v>9090</v>
      </c>
      <c r="Q8" s="1454">
        <f t="shared" si="1"/>
        <v>9090</v>
      </c>
      <c r="R8" s="1454">
        <f t="shared" si="1"/>
        <v>9090</v>
      </c>
      <c r="S8" s="1454">
        <f t="shared" si="1"/>
        <v>9090</v>
      </c>
      <c r="T8" s="1454">
        <f t="shared" si="1"/>
        <v>9090</v>
      </c>
      <c r="U8" s="1454">
        <f t="shared" si="1"/>
        <v>9090</v>
      </c>
      <c r="V8" s="1455">
        <f t="shared" ref="V8:V53" si="2">SUM(G8:U8)</f>
        <v>136350</v>
      </c>
      <c r="W8" s="1711">
        <f>'10. AL soc.ekonom. anal.'!T8</f>
        <v>135000</v>
      </c>
    </row>
    <row r="9" spans="1:23">
      <c r="A9" s="768"/>
      <c r="B9" s="800" t="s">
        <v>64</v>
      </c>
      <c r="C9" s="808" t="str">
        <f>'5. DL soc.econom. analīze'!B7</f>
        <v>Ieguvums ...</v>
      </c>
      <c r="D9" s="790"/>
      <c r="E9" s="1660">
        <v>0.01</v>
      </c>
      <c r="F9" s="1342" t="s">
        <v>873</v>
      </c>
      <c r="G9" s="1457">
        <f>'5. DL soc.econom. analīze'!D7*(1+$E9)</f>
        <v>3030</v>
      </c>
      <c r="H9" s="1457">
        <f>'5. DL soc.econom. analīze'!E7*(1+$E9)</f>
        <v>3030</v>
      </c>
      <c r="I9" s="1457">
        <f>'5. DL soc.econom. analīze'!F7*(1+$E9)</f>
        <v>3030</v>
      </c>
      <c r="J9" s="1457">
        <f>'5. DL soc.econom. analīze'!G7*(1+$E9)</f>
        <v>3030</v>
      </c>
      <c r="K9" s="1457">
        <f>'5. DL soc.econom. analīze'!H7*(1+$E9)</f>
        <v>3030</v>
      </c>
      <c r="L9" s="1457">
        <f>'5. DL soc.econom. analīze'!I7*(1+$E9)</f>
        <v>3030</v>
      </c>
      <c r="M9" s="1457">
        <f>'5. DL soc.econom. analīze'!J7*(1+$E9)</f>
        <v>3030</v>
      </c>
      <c r="N9" s="1457">
        <f>'5. DL soc.econom. analīze'!K7*(1+$E9)</f>
        <v>3030</v>
      </c>
      <c r="O9" s="1457">
        <f>'5. DL soc.econom. analīze'!L7*(1+$E9)</f>
        <v>3030</v>
      </c>
      <c r="P9" s="1457">
        <f>'5. DL soc.econom. analīze'!M7*(1+$E9)</f>
        <v>3030</v>
      </c>
      <c r="Q9" s="1457">
        <f>'5. DL soc.econom. analīze'!N7*(1+$E9)</f>
        <v>3030</v>
      </c>
      <c r="R9" s="1457">
        <f>'5. DL soc.econom. analīze'!O7*(1+$E9)</f>
        <v>3030</v>
      </c>
      <c r="S9" s="1457">
        <f>'5. DL soc.econom. analīze'!P7*(1+$E9)</f>
        <v>3030</v>
      </c>
      <c r="T9" s="1457">
        <f>'5. DL soc.econom. analīze'!Q7*(1+$E9)</f>
        <v>3030</v>
      </c>
      <c r="U9" s="1457">
        <f>'5. DL soc.econom. analīze'!R7*(1+$E9)</f>
        <v>3030</v>
      </c>
      <c r="V9" s="1460">
        <f t="shared" si="2"/>
        <v>45450</v>
      </c>
      <c r="W9" s="1711"/>
    </row>
    <row r="10" spans="1:23">
      <c r="A10" s="768"/>
      <c r="B10" s="800" t="s">
        <v>65</v>
      </c>
      <c r="C10" s="808" t="str">
        <f>'5. DL soc.econom. analīze'!B8</f>
        <v>Ieguvums ...</v>
      </c>
      <c r="D10" s="790"/>
      <c r="E10" s="1660">
        <v>0.01</v>
      </c>
      <c r="F10" s="1342" t="s">
        <v>873</v>
      </c>
      <c r="G10" s="1457">
        <f>'5. DL soc.econom. analīze'!D8*(1+$E10)</f>
        <v>3030</v>
      </c>
      <c r="H10" s="1457">
        <f>'5. DL soc.econom. analīze'!E8*(1+$E10)</f>
        <v>3030</v>
      </c>
      <c r="I10" s="1457">
        <f>'5. DL soc.econom. analīze'!F8*(1+$E10)</f>
        <v>3030</v>
      </c>
      <c r="J10" s="1457">
        <f>'5. DL soc.econom. analīze'!G8*(1+$E10)</f>
        <v>3030</v>
      </c>
      <c r="K10" s="1457">
        <f>'5. DL soc.econom. analīze'!H8*(1+$E10)</f>
        <v>3030</v>
      </c>
      <c r="L10" s="1457">
        <f>'5. DL soc.econom. analīze'!I8*(1+$E10)</f>
        <v>3030</v>
      </c>
      <c r="M10" s="1457">
        <f>'5. DL soc.econom. analīze'!J8*(1+$E10)</f>
        <v>3030</v>
      </c>
      <c r="N10" s="1457">
        <f>'5. DL soc.econom. analīze'!K8*(1+$E10)</f>
        <v>3030</v>
      </c>
      <c r="O10" s="1457">
        <f>'5. DL soc.econom. analīze'!L8*(1+$E10)</f>
        <v>3030</v>
      </c>
      <c r="P10" s="1457">
        <f>'5. DL soc.econom. analīze'!M8*(1+$E10)</f>
        <v>3030</v>
      </c>
      <c r="Q10" s="1457">
        <f>'5. DL soc.econom. analīze'!N8*(1+$E10)</f>
        <v>3030</v>
      </c>
      <c r="R10" s="1457">
        <f>'5. DL soc.econom. analīze'!O8*(1+$E10)</f>
        <v>3030</v>
      </c>
      <c r="S10" s="1457">
        <f>'5. DL soc.econom. analīze'!P8*(1+$E10)</f>
        <v>3030</v>
      </c>
      <c r="T10" s="1457">
        <f>'5. DL soc.econom. analīze'!Q8*(1+$E10)</f>
        <v>3030</v>
      </c>
      <c r="U10" s="1457">
        <f>'5. DL soc.econom. analīze'!R8*(1+$E10)</f>
        <v>3030</v>
      </c>
      <c r="V10" s="1460">
        <f t="shared" si="2"/>
        <v>45450</v>
      </c>
      <c r="W10" s="1711"/>
    </row>
    <row r="11" spans="1:23">
      <c r="A11" s="768"/>
      <c r="B11" s="800" t="s">
        <v>842</v>
      </c>
      <c r="C11" s="808" t="str">
        <f>'5. DL soc.econom. analīze'!B9</f>
        <v>Ieguvums ...</v>
      </c>
      <c r="D11" s="790"/>
      <c r="E11" s="1660">
        <v>0.01</v>
      </c>
      <c r="F11" s="1342" t="s">
        <v>873</v>
      </c>
      <c r="G11" s="1457">
        <f>'5. DL soc.econom. analīze'!D9*(1+$E11)</f>
        <v>3030</v>
      </c>
      <c r="H11" s="1457">
        <f>'5. DL soc.econom. analīze'!E9*(1+$E11)</f>
        <v>3030</v>
      </c>
      <c r="I11" s="1457">
        <f>'5. DL soc.econom. analīze'!F9*(1+$E11)</f>
        <v>3030</v>
      </c>
      <c r="J11" s="1457">
        <f>'5. DL soc.econom. analīze'!G9*(1+$E11)</f>
        <v>3030</v>
      </c>
      <c r="K11" s="1457">
        <f>'5. DL soc.econom. analīze'!H9*(1+$E11)</f>
        <v>3030</v>
      </c>
      <c r="L11" s="1457">
        <f>'5. DL soc.econom. analīze'!I9*(1+$E11)</f>
        <v>3030</v>
      </c>
      <c r="M11" s="1457">
        <f>'5. DL soc.econom. analīze'!J9*(1+$E11)</f>
        <v>3030</v>
      </c>
      <c r="N11" s="1457">
        <f>'5. DL soc.econom. analīze'!K9*(1+$E11)</f>
        <v>3030</v>
      </c>
      <c r="O11" s="1457">
        <f>'5. DL soc.econom. analīze'!L9*(1+$E11)</f>
        <v>3030</v>
      </c>
      <c r="P11" s="1457">
        <f>'5. DL soc.econom. analīze'!M9*(1+$E11)</f>
        <v>3030</v>
      </c>
      <c r="Q11" s="1457">
        <f>'5. DL soc.econom. analīze'!N9*(1+$E11)</f>
        <v>3030</v>
      </c>
      <c r="R11" s="1457">
        <f>'5. DL soc.econom. analīze'!O9*(1+$E11)</f>
        <v>3030</v>
      </c>
      <c r="S11" s="1457">
        <f>'5. DL soc.econom. analīze'!P9*(1+$E11)</f>
        <v>3030</v>
      </c>
      <c r="T11" s="1457">
        <f>'5. DL soc.econom. analīze'!Q9*(1+$E11)</f>
        <v>3030</v>
      </c>
      <c r="U11" s="1457">
        <f>'5. DL soc.econom. analīze'!R9*(1+$E11)</f>
        <v>3030</v>
      </c>
      <c r="V11" s="1460">
        <f t="shared" si="2"/>
        <v>45450</v>
      </c>
      <c r="W11" s="1501" t="b">
        <f>V11='5. DL soc.econom. analīze'!S9</f>
        <v>0</v>
      </c>
    </row>
    <row r="12" spans="1:23">
      <c r="A12" s="768"/>
      <c r="B12" s="800" t="s">
        <v>843</v>
      </c>
      <c r="C12" s="808" t="str">
        <f>'5. DL soc.econom. analīze'!B10</f>
        <v>Ieguvums ...</v>
      </c>
      <c r="D12" s="790"/>
      <c r="E12" s="1660">
        <v>0</v>
      </c>
      <c r="F12" s="1342" t="s">
        <v>873</v>
      </c>
      <c r="G12" s="1457">
        <f>'5. DL soc.econom. analīze'!D10*(1+$E12)</f>
        <v>0</v>
      </c>
      <c r="H12" s="1457">
        <f>'5. DL soc.econom. analīze'!E10*(1+$E12)</f>
        <v>0</v>
      </c>
      <c r="I12" s="1457">
        <f>'5. DL soc.econom. analīze'!F10*(1+$E12)</f>
        <v>0</v>
      </c>
      <c r="J12" s="1457">
        <f>'5. DL soc.econom. analīze'!G10*(1+$E12)</f>
        <v>0</v>
      </c>
      <c r="K12" s="1457">
        <f>'5. DL soc.econom. analīze'!H10*(1+$E12)</f>
        <v>0</v>
      </c>
      <c r="L12" s="1457">
        <f>'5. DL soc.econom. analīze'!I10*(1+$E12)</f>
        <v>0</v>
      </c>
      <c r="M12" s="1457">
        <f>'5. DL soc.econom. analīze'!J10*(1+$E12)</f>
        <v>0</v>
      </c>
      <c r="N12" s="1457">
        <f>'5. DL soc.econom. analīze'!K10*(1+$E12)</f>
        <v>0</v>
      </c>
      <c r="O12" s="1457">
        <f>'5. DL soc.econom. analīze'!L10*(1+$E12)</f>
        <v>0</v>
      </c>
      <c r="P12" s="1457">
        <f>'5. DL soc.econom. analīze'!M10*(1+$E12)</f>
        <v>0</v>
      </c>
      <c r="Q12" s="1457">
        <f>'5. DL soc.econom. analīze'!N10*(1+$E12)</f>
        <v>0</v>
      </c>
      <c r="R12" s="1457">
        <f>'5. DL soc.econom. analīze'!O10*(1+$E12)</f>
        <v>0</v>
      </c>
      <c r="S12" s="1457">
        <f>'5. DL soc.econom. analīze'!P10*(1+$E12)</f>
        <v>0</v>
      </c>
      <c r="T12" s="1457">
        <f>'5. DL soc.econom. analīze'!Q10*(1+$E12)</f>
        <v>0</v>
      </c>
      <c r="U12" s="1457">
        <f>'5. DL soc.econom. analīze'!R10*(1+$E12)</f>
        <v>0</v>
      </c>
      <c r="V12" s="1460">
        <f t="shared" si="2"/>
        <v>0</v>
      </c>
      <c r="W12" s="1501" t="b">
        <f>V12='5. DL soc.econom. analīze'!S14</f>
        <v>1</v>
      </c>
    </row>
    <row r="13" spans="1:23">
      <c r="A13" s="768"/>
      <c r="B13" s="800" t="s">
        <v>844</v>
      </c>
      <c r="C13" s="808" t="str">
        <f>'5. DL soc.econom. analīze'!B11</f>
        <v>Ieguvums ...</v>
      </c>
      <c r="D13" s="790"/>
      <c r="E13" s="1660">
        <v>0</v>
      </c>
      <c r="F13" s="1342" t="s">
        <v>873</v>
      </c>
      <c r="G13" s="1457">
        <f>'5. DL soc.econom. analīze'!D11*(1+$E13)</f>
        <v>0</v>
      </c>
      <c r="H13" s="1457">
        <f>'5. DL soc.econom. analīze'!E11*(1+$E13)</f>
        <v>0</v>
      </c>
      <c r="I13" s="1457">
        <f>'5. DL soc.econom. analīze'!F11*(1+$E13)</f>
        <v>0</v>
      </c>
      <c r="J13" s="1457">
        <f>'5. DL soc.econom. analīze'!G11*(1+$E13)</f>
        <v>0</v>
      </c>
      <c r="K13" s="1457">
        <f>'5. DL soc.econom. analīze'!H11*(1+$E13)</f>
        <v>0</v>
      </c>
      <c r="L13" s="1457">
        <f>'5. DL soc.econom. analīze'!I11*(1+$E13)</f>
        <v>0</v>
      </c>
      <c r="M13" s="1457">
        <f>'5. DL soc.econom. analīze'!J11*(1+$E13)</f>
        <v>0</v>
      </c>
      <c r="N13" s="1457">
        <f>'5. DL soc.econom. analīze'!K11*(1+$E13)</f>
        <v>0</v>
      </c>
      <c r="O13" s="1457">
        <f>'5. DL soc.econom. analīze'!L11*(1+$E13)</f>
        <v>0</v>
      </c>
      <c r="P13" s="1457">
        <f>'5. DL soc.econom. analīze'!M11*(1+$E13)</f>
        <v>0</v>
      </c>
      <c r="Q13" s="1457">
        <f>'5. DL soc.econom. analīze'!N11*(1+$E13)</f>
        <v>0</v>
      </c>
      <c r="R13" s="1457">
        <f>'5. DL soc.econom. analīze'!O11*(1+$E13)</f>
        <v>0</v>
      </c>
      <c r="S13" s="1457">
        <f>'5. DL soc.econom. analīze'!P11*(1+$E13)</f>
        <v>0</v>
      </c>
      <c r="T13" s="1457">
        <f>'5. DL soc.econom. analīze'!Q11*(1+$E13)</f>
        <v>0</v>
      </c>
      <c r="U13" s="1457">
        <f>'5. DL soc.econom. analīze'!R11*(1+$E13)</f>
        <v>0</v>
      </c>
      <c r="V13" s="1460">
        <f t="shared" si="2"/>
        <v>0</v>
      </c>
      <c r="W13" s="1501"/>
    </row>
    <row r="14" spans="1:23">
      <c r="A14" s="768"/>
      <c r="B14" s="800" t="s">
        <v>1072</v>
      </c>
      <c r="C14" s="808" t="str">
        <f>'5. DL soc.econom. analīze'!B12</f>
        <v>Ieguvums ...</v>
      </c>
      <c r="D14" s="790"/>
      <c r="E14" s="1660">
        <v>0</v>
      </c>
      <c r="F14" s="1342" t="s">
        <v>873</v>
      </c>
      <c r="G14" s="1457">
        <f>'5. DL soc.econom. analīze'!D12*(1+$E14)</f>
        <v>0</v>
      </c>
      <c r="H14" s="1457">
        <f>'5. DL soc.econom. analīze'!E12*(1+$E14)</f>
        <v>0</v>
      </c>
      <c r="I14" s="1457">
        <f>'5. DL soc.econom. analīze'!F12*(1+$E14)</f>
        <v>0</v>
      </c>
      <c r="J14" s="1457">
        <f>'5. DL soc.econom. analīze'!G12*(1+$E14)</f>
        <v>0</v>
      </c>
      <c r="K14" s="1457">
        <f>'5. DL soc.econom. analīze'!H12*(1+$E14)</f>
        <v>0</v>
      </c>
      <c r="L14" s="1457">
        <f>'5. DL soc.econom. analīze'!I12*(1+$E14)</f>
        <v>0</v>
      </c>
      <c r="M14" s="1457">
        <f>'5. DL soc.econom. analīze'!J12*(1+$E14)</f>
        <v>0</v>
      </c>
      <c r="N14" s="1457">
        <f>'5. DL soc.econom. analīze'!K12*(1+$E14)</f>
        <v>0</v>
      </c>
      <c r="O14" s="1457">
        <f>'5. DL soc.econom. analīze'!L12*(1+$E14)</f>
        <v>0</v>
      </c>
      <c r="P14" s="1457">
        <f>'5. DL soc.econom. analīze'!M12*(1+$E14)</f>
        <v>0</v>
      </c>
      <c r="Q14" s="1457">
        <f>'5. DL soc.econom. analīze'!N12*(1+$E14)</f>
        <v>0</v>
      </c>
      <c r="R14" s="1457">
        <f>'5. DL soc.econom. analīze'!O12*(1+$E14)</f>
        <v>0</v>
      </c>
      <c r="S14" s="1457">
        <f>'5. DL soc.econom. analīze'!P12*(1+$E14)</f>
        <v>0</v>
      </c>
      <c r="T14" s="1457">
        <f>'5. DL soc.econom. analīze'!Q12*(1+$E14)</f>
        <v>0</v>
      </c>
      <c r="U14" s="1457">
        <f>'5. DL soc.econom. analīze'!R12*(1+$E14)</f>
        <v>0</v>
      </c>
      <c r="V14" s="1460">
        <f t="shared" si="2"/>
        <v>0</v>
      </c>
      <c r="W14" s="1501"/>
    </row>
    <row r="15" spans="1:23">
      <c r="A15" s="768"/>
      <c r="B15" s="800" t="s">
        <v>1082</v>
      </c>
      <c r="C15" s="808" t="str">
        <f>'5. DL soc.econom. analīze'!B13</f>
        <v>Ieguvums ...</v>
      </c>
      <c r="D15" s="790"/>
      <c r="E15" s="1660">
        <v>0</v>
      </c>
      <c r="F15" s="1342" t="s">
        <v>873</v>
      </c>
      <c r="G15" s="1457">
        <f>'5. DL soc.econom. analīze'!D13*(1+$E15)</f>
        <v>0</v>
      </c>
      <c r="H15" s="1457">
        <f>'5. DL soc.econom. analīze'!E13*(1+$E15)</f>
        <v>0</v>
      </c>
      <c r="I15" s="1457">
        <f>'5. DL soc.econom. analīze'!F13*(1+$E15)</f>
        <v>0</v>
      </c>
      <c r="J15" s="1457">
        <f>'5. DL soc.econom. analīze'!G13*(1+$E15)</f>
        <v>0</v>
      </c>
      <c r="K15" s="1457">
        <f>'5. DL soc.econom. analīze'!H13*(1+$E15)</f>
        <v>0</v>
      </c>
      <c r="L15" s="1457">
        <f>'5. DL soc.econom. analīze'!I13*(1+$E15)</f>
        <v>0</v>
      </c>
      <c r="M15" s="1457">
        <f>'5. DL soc.econom. analīze'!J13*(1+$E15)</f>
        <v>0</v>
      </c>
      <c r="N15" s="1457">
        <f>'5. DL soc.econom. analīze'!K13*(1+$E15)</f>
        <v>0</v>
      </c>
      <c r="O15" s="1457">
        <f>'5. DL soc.econom. analīze'!L13*(1+$E15)</f>
        <v>0</v>
      </c>
      <c r="P15" s="1457">
        <f>'5. DL soc.econom. analīze'!M13*(1+$E15)</f>
        <v>0</v>
      </c>
      <c r="Q15" s="1457">
        <f>'5. DL soc.econom. analīze'!N13*(1+$E15)</f>
        <v>0</v>
      </c>
      <c r="R15" s="1457">
        <f>'5. DL soc.econom. analīze'!O13*(1+$E15)</f>
        <v>0</v>
      </c>
      <c r="S15" s="1457">
        <f>'5. DL soc.econom. analīze'!P13*(1+$E15)</f>
        <v>0</v>
      </c>
      <c r="T15" s="1457">
        <f>'5. DL soc.econom. analīze'!Q13*(1+$E15)</f>
        <v>0</v>
      </c>
      <c r="U15" s="1457">
        <f>'5. DL soc.econom. analīze'!R13*(1+$E15)</f>
        <v>0</v>
      </c>
      <c r="V15" s="1460">
        <f t="shared" si="2"/>
        <v>0</v>
      </c>
      <c r="W15" s="1501"/>
    </row>
    <row r="16" spans="1:23">
      <c r="A16" s="768"/>
      <c r="B16" s="800" t="s">
        <v>1083</v>
      </c>
      <c r="C16" s="808" t="str">
        <f>'5. DL soc.econom. analīze'!B14</f>
        <v>Ieguvums ...</v>
      </c>
      <c r="D16" s="790"/>
      <c r="E16" s="1660">
        <v>0</v>
      </c>
      <c r="F16" s="1342" t="s">
        <v>873</v>
      </c>
      <c r="G16" s="1457">
        <f>'5. DL soc.econom. analīze'!D14*(1+$E16)</f>
        <v>0</v>
      </c>
      <c r="H16" s="1457">
        <f>'5. DL soc.econom. analīze'!E14*(1+$E16)</f>
        <v>0</v>
      </c>
      <c r="I16" s="1457">
        <f>'5. DL soc.econom. analīze'!F14*(1+$E16)</f>
        <v>0</v>
      </c>
      <c r="J16" s="1457">
        <f>'5. DL soc.econom. analīze'!G14*(1+$E16)</f>
        <v>0</v>
      </c>
      <c r="K16" s="1457">
        <f>'5. DL soc.econom. analīze'!H14*(1+$E16)</f>
        <v>0</v>
      </c>
      <c r="L16" s="1457">
        <f>'5. DL soc.econom. analīze'!I14*(1+$E16)</f>
        <v>0</v>
      </c>
      <c r="M16" s="1457">
        <f>'5. DL soc.econom. analīze'!J14*(1+$E16)</f>
        <v>0</v>
      </c>
      <c r="N16" s="1457">
        <f>'5. DL soc.econom. analīze'!K14*(1+$E16)</f>
        <v>0</v>
      </c>
      <c r="O16" s="1457">
        <f>'5. DL soc.econom. analīze'!L14*(1+$E16)</f>
        <v>0</v>
      </c>
      <c r="P16" s="1457">
        <f>'5. DL soc.econom. analīze'!M14*(1+$E16)</f>
        <v>0</v>
      </c>
      <c r="Q16" s="1457">
        <f>'5. DL soc.econom. analīze'!N14*(1+$E16)</f>
        <v>0</v>
      </c>
      <c r="R16" s="1457">
        <f>'5. DL soc.econom. analīze'!O14*(1+$E16)</f>
        <v>0</v>
      </c>
      <c r="S16" s="1457">
        <f>'5. DL soc.econom. analīze'!P14*(1+$E16)</f>
        <v>0</v>
      </c>
      <c r="T16" s="1457">
        <f>'5. DL soc.econom. analīze'!Q14*(1+$E16)</f>
        <v>0</v>
      </c>
      <c r="U16" s="1457">
        <f>'5. DL soc.econom. analīze'!R14*(1+$E16)</f>
        <v>0</v>
      </c>
      <c r="V16" s="1460">
        <f t="shared" si="2"/>
        <v>0</v>
      </c>
      <c r="W16" s="1501"/>
    </row>
    <row r="17" spans="1:23">
      <c r="A17" s="768"/>
      <c r="B17" s="1683" t="s">
        <v>1084</v>
      </c>
      <c r="C17" s="808" t="str">
        <f>'5. DL soc.econom. analīze'!B15</f>
        <v>Ieguvums ...</v>
      </c>
      <c r="D17" s="790"/>
      <c r="E17" s="1660">
        <v>0</v>
      </c>
      <c r="F17" s="1342" t="s">
        <v>873</v>
      </c>
      <c r="G17" s="1457">
        <f>'5. DL soc.econom. analīze'!D15*(1+$E17)</f>
        <v>0</v>
      </c>
      <c r="H17" s="1457">
        <f>'5. DL soc.econom. analīze'!E15*(1+$E17)</f>
        <v>0</v>
      </c>
      <c r="I17" s="1457">
        <f>'5. DL soc.econom. analīze'!F15*(1+$E17)</f>
        <v>0</v>
      </c>
      <c r="J17" s="1457">
        <f>'5. DL soc.econom. analīze'!G15*(1+$E17)</f>
        <v>0</v>
      </c>
      <c r="K17" s="1457">
        <f>'5. DL soc.econom. analīze'!H15*(1+$E17)</f>
        <v>0</v>
      </c>
      <c r="L17" s="1457">
        <f>'5. DL soc.econom. analīze'!I15*(1+$E17)</f>
        <v>0</v>
      </c>
      <c r="M17" s="1457">
        <f>'5. DL soc.econom. analīze'!J15*(1+$E17)</f>
        <v>0</v>
      </c>
      <c r="N17" s="1457">
        <f>'5. DL soc.econom. analīze'!K15*(1+$E17)</f>
        <v>0</v>
      </c>
      <c r="O17" s="1457">
        <f>'5. DL soc.econom. analīze'!L15*(1+$E17)</f>
        <v>0</v>
      </c>
      <c r="P17" s="1457">
        <f>'5. DL soc.econom. analīze'!M15*(1+$E17)</f>
        <v>0</v>
      </c>
      <c r="Q17" s="1457">
        <f>'5. DL soc.econom. analīze'!N15*(1+$E17)</f>
        <v>0</v>
      </c>
      <c r="R17" s="1457">
        <f>'5. DL soc.econom. analīze'!O15*(1+$E17)</f>
        <v>0</v>
      </c>
      <c r="S17" s="1457">
        <f>'5. DL soc.econom. analīze'!P15*(1+$E17)</f>
        <v>0</v>
      </c>
      <c r="T17" s="1457">
        <f>'5. DL soc.econom. analīze'!Q15*(1+$E17)</f>
        <v>0</v>
      </c>
      <c r="U17" s="1457">
        <f>'5. DL soc.econom. analīze'!R15*(1+$E17)</f>
        <v>0</v>
      </c>
      <c r="V17" s="1460">
        <f t="shared" si="2"/>
        <v>0</v>
      </c>
      <c r="W17" s="1501" t="b">
        <f>V17='5. DL soc.econom. analīze'!S15</f>
        <v>1</v>
      </c>
    </row>
    <row r="18" spans="1:23" s="789" customFormat="1">
      <c r="A18" s="791"/>
      <c r="B18" s="792" t="s">
        <v>5</v>
      </c>
      <c r="C18" s="792" t="s">
        <v>974</v>
      </c>
      <c r="D18" s="793"/>
      <c r="E18" s="794"/>
      <c r="F18" s="1342" t="s">
        <v>873</v>
      </c>
      <c r="G18" s="1459">
        <f>SUM(G19:G24)</f>
        <v>360</v>
      </c>
      <c r="H18" s="1459">
        <f t="shared" ref="H18:J18" si="3">SUM(H19:H24)</f>
        <v>360</v>
      </c>
      <c r="I18" s="1459">
        <f t="shared" si="3"/>
        <v>360</v>
      </c>
      <c r="J18" s="1459">
        <f t="shared" si="3"/>
        <v>360</v>
      </c>
      <c r="K18" s="1459">
        <f t="shared" ref="K18:U18" si="4">SUM(K19:K24)</f>
        <v>360</v>
      </c>
      <c r="L18" s="1459">
        <f t="shared" si="4"/>
        <v>360</v>
      </c>
      <c r="M18" s="1459">
        <f t="shared" si="4"/>
        <v>360</v>
      </c>
      <c r="N18" s="1459">
        <f t="shared" si="4"/>
        <v>360</v>
      </c>
      <c r="O18" s="1459">
        <f t="shared" si="4"/>
        <v>360</v>
      </c>
      <c r="P18" s="1459">
        <f t="shared" si="4"/>
        <v>360</v>
      </c>
      <c r="Q18" s="1459">
        <f t="shared" si="4"/>
        <v>360</v>
      </c>
      <c r="R18" s="1459">
        <f t="shared" si="4"/>
        <v>360</v>
      </c>
      <c r="S18" s="1459">
        <f t="shared" si="4"/>
        <v>360</v>
      </c>
      <c r="T18" s="1459">
        <f t="shared" si="4"/>
        <v>360</v>
      </c>
      <c r="U18" s="1459">
        <f t="shared" si="4"/>
        <v>360</v>
      </c>
      <c r="V18" s="1460">
        <f t="shared" si="2"/>
        <v>5400</v>
      </c>
      <c r="W18" s="1501">
        <f>'10. AL soc.ekonom. anal.'!T9</f>
        <v>6400</v>
      </c>
    </row>
    <row r="19" spans="1:23">
      <c r="A19" s="768"/>
      <c r="B19" s="800" t="s">
        <v>61</v>
      </c>
      <c r="C19" s="1898" t="str">
        <f>'3. DL invest.n.pl.AR pr.'!C10</f>
        <v>Ieņēmumi…</v>
      </c>
      <c r="D19" s="790"/>
      <c r="E19" s="1660">
        <v>0</v>
      </c>
      <c r="F19" s="1342" t="s">
        <v>873</v>
      </c>
      <c r="G19" s="1457">
        <f>('3. DL invest.n.pl.AR pr.'!F10-'2. DL invest.n.pl.BEZ pr.'!E10)*(1+$E19)</f>
        <v>360</v>
      </c>
      <c r="H19" s="1457">
        <f>('3. DL invest.n.pl.AR pr.'!G10-'2. DL invest.n.pl.BEZ pr.'!F10)*(1+$E19)</f>
        <v>360</v>
      </c>
      <c r="I19" s="1457">
        <f>('3. DL invest.n.pl.AR pr.'!H10-'2. DL invest.n.pl.BEZ pr.'!G10)*(1+$E19)</f>
        <v>360</v>
      </c>
      <c r="J19" s="1457">
        <f>('3. DL invest.n.pl.AR pr.'!I10-'2. DL invest.n.pl.BEZ pr.'!H10)*(1+$E19)</f>
        <v>360</v>
      </c>
      <c r="K19" s="1457">
        <f>('3. DL invest.n.pl.AR pr.'!J10-'2. DL invest.n.pl.BEZ pr.'!I10)*(1+$E19)</f>
        <v>360</v>
      </c>
      <c r="L19" s="1457">
        <f>('3. DL invest.n.pl.AR pr.'!K10-'2. DL invest.n.pl.BEZ pr.'!J10)*(1+$E19)</f>
        <v>360</v>
      </c>
      <c r="M19" s="1457">
        <f>('3. DL invest.n.pl.AR pr.'!L10-'2. DL invest.n.pl.BEZ pr.'!K10)*(1+$E19)</f>
        <v>360</v>
      </c>
      <c r="N19" s="1457">
        <f>('3. DL invest.n.pl.AR pr.'!M10-'2. DL invest.n.pl.BEZ pr.'!L10)*(1+$E19)</f>
        <v>360</v>
      </c>
      <c r="O19" s="1457">
        <f>('3. DL invest.n.pl.AR pr.'!N10-'2. DL invest.n.pl.BEZ pr.'!M10)*(1+$E19)</f>
        <v>360</v>
      </c>
      <c r="P19" s="1457">
        <f>('3. DL invest.n.pl.AR pr.'!O10-'2. DL invest.n.pl.BEZ pr.'!N10)*(1+$E19)</f>
        <v>360</v>
      </c>
      <c r="Q19" s="1457">
        <f>('3. DL invest.n.pl.AR pr.'!P10-'2. DL invest.n.pl.BEZ pr.'!O10)*(1+$E19)</f>
        <v>360</v>
      </c>
      <c r="R19" s="1457">
        <f>('3. DL invest.n.pl.AR pr.'!Q10-'2. DL invest.n.pl.BEZ pr.'!P10)*(1+$E19)</f>
        <v>360</v>
      </c>
      <c r="S19" s="1457">
        <f>('3. DL invest.n.pl.AR pr.'!R10-'2. DL invest.n.pl.BEZ pr.'!Q10)*(1+$E19)</f>
        <v>360</v>
      </c>
      <c r="T19" s="1457">
        <f>('3. DL invest.n.pl.AR pr.'!S10-'2. DL invest.n.pl.BEZ pr.'!R10)*(1+$E19)</f>
        <v>360</v>
      </c>
      <c r="U19" s="1457">
        <f>('3. DL invest.n.pl.AR pr.'!T10-'2. DL invest.n.pl.BEZ pr.'!S10)*(1+$E19)</f>
        <v>360</v>
      </c>
      <c r="V19" s="1460">
        <f t="shared" si="2"/>
        <v>5400</v>
      </c>
      <c r="W19" s="1501" t="b">
        <f>V19='3. DL invest.n.pl.AR pr.'!U10</f>
        <v>1</v>
      </c>
    </row>
    <row r="20" spans="1:23">
      <c r="A20" s="768"/>
      <c r="B20" s="800" t="s">
        <v>62</v>
      </c>
      <c r="C20" s="1898" t="str">
        <f>'3. DL invest.n.pl.AR pr.'!C11</f>
        <v>Ieņēmumi…</v>
      </c>
      <c r="D20" s="790"/>
      <c r="E20" s="1660">
        <v>0</v>
      </c>
      <c r="F20" s="1342" t="s">
        <v>873</v>
      </c>
      <c r="G20" s="1457">
        <f>('3. DL invest.n.pl.AR pr.'!F11-'2. DL invest.n.pl.BEZ pr.'!E11)*(1+$E20)</f>
        <v>0</v>
      </c>
      <c r="H20" s="1457">
        <f>('3. DL invest.n.pl.AR pr.'!G11-'2. DL invest.n.pl.BEZ pr.'!F11)*(1+$E20)</f>
        <v>0</v>
      </c>
      <c r="I20" s="1457">
        <f>('3. DL invest.n.pl.AR pr.'!H11-'2. DL invest.n.pl.BEZ pr.'!G11)*(1+$E20)</f>
        <v>0</v>
      </c>
      <c r="J20" s="1457">
        <f>('3. DL invest.n.pl.AR pr.'!I11-'2. DL invest.n.pl.BEZ pr.'!H11)*(1+$E20)</f>
        <v>0</v>
      </c>
      <c r="K20" s="1457">
        <f>('3. DL invest.n.pl.AR pr.'!J11-'2. DL invest.n.pl.BEZ pr.'!I11)*(1+$E20)</f>
        <v>0</v>
      </c>
      <c r="L20" s="1457">
        <f>('3. DL invest.n.pl.AR pr.'!K11-'2. DL invest.n.pl.BEZ pr.'!J11)*(1+$E20)</f>
        <v>0</v>
      </c>
      <c r="M20" s="1457">
        <f>('3. DL invest.n.pl.AR pr.'!L11-'2. DL invest.n.pl.BEZ pr.'!K11)*(1+$E20)</f>
        <v>0</v>
      </c>
      <c r="N20" s="1457">
        <f>('3. DL invest.n.pl.AR pr.'!M11-'2. DL invest.n.pl.BEZ pr.'!L11)*(1+$E20)</f>
        <v>0</v>
      </c>
      <c r="O20" s="1457">
        <f>('3. DL invest.n.pl.AR pr.'!N11-'2. DL invest.n.pl.BEZ pr.'!M11)*(1+$E20)</f>
        <v>0</v>
      </c>
      <c r="P20" s="1457">
        <f>('3. DL invest.n.pl.AR pr.'!O11-'2. DL invest.n.pl.BEZ pr.'!N11)*(1+$E20)</f>
        <v>0</v>
      </c>
      <c r="Q20" s="1457">
        <f>('3. DL invest.n.pl.AR pr.'!P11-'2. DL invest.n.pl.BEZ pr.'!O11)*(1+$E20)</f>
        <v>0</v>
      </c>
      <c r="R20" s="1457">
        <f>('3. DL invest.n.pl.AR pr.'!Q11-'2. DL invest.n.pl.BEZ pr.'!P11)*(1+$E20)</f>
        <v>0</v>
      </c>
      <c r="S20" s="1457">
        <f>('3. DL invest.n.pl.AR pr.'!R11-'2. DL invest.n.pl.BEZ pr.'!Q11)*(1+$E20)</f>
        <v>0</v>
      </c>
      <c r="T20" s="1457">
        <f>('3. DL invest.n.pl.AR pr.'!S11-'2. DL invest.n.pl.BEZ pr.'!R11)*(1+$E20)</f>
        <v>0</v>
      </c>
      <c r="U20" s="1457">
        <f>('3. DL invest.n.pl.AR pr.'!T11-'2. DL invest.n.pl.BEZ pr.'!S11)*(1+$E20)</f>
        <v>0</v>
      </c>
      <c r="V20" s="1460">
        <f t="shared" si="2"/>
        <v>0</v>
      </c>
      <c r="W20" s="1501" t="b">
        <f>V20='3. DL invest.n.pl.AR pr.'!U11</f>
        <v>1</v>
      </c>
    </row>
    <row r="21" spans="1:23">
      <c r="A21" s="768"/>
      <c r="B21" s="800" t="s">
        <v>877</v>
      </c>
      <c r="C21" s="1898" t="str">
        <f>'3. DL invest.n.pl.AR pr.'!C12</f>
        <v>Ieņēmumi…</v>
      </c>
      <c r="D21" s="790"/>
      <c r="E21" s="1660">
        <v>0</v>
      </c>
      <c r="F21" s="1342" t="s">
        <v>873</v>
      </c>
      <c r="G21" s="1457">
        <f>('3. DL invest.n.pl.AR pr.'!F12-'2. DL invest.n.pl.BEZ pr.'!E12)*(1+$E21)</f>
        <v>0</v>
      </c>
      <c r="H21" s="1457">
        <f>('3. DL invest.n.pl.AR pr.'!G12-'2. DL invest.n.pl.BEZ pr.'!F12)*(1+$E21)</f>
        <v>0</v>
      </c>
      <c r="I21" s="1457">
        <f>('3. DL invest.n.pl.AR pr.'!H12-'2. DL invest.n.pl.BEZ pr.'!G12)*(1+$E21)</f>
        <v>0</v>
      </c>
      <c r="J21" s="1457">
        <f>('3. DL invest.n.pl.AR pr.'!I12-'2. DL invest.n.pl.BEZ pr.'!H12)*(1+$E21)</f>
        <v>0</v>
      </c>
      <c r="K21" s="1457">
        <f>('3. DL invest.n.pl.AR pr.'!J12-'2. DL invest.n.pl.BEZ pr.'!I12)*(1+$E21)</f>
        <v>0</v>
      </c>
      <c r="L21" s="1457">
        <f>('3. DL invest.n.pl.AR pr.'!K12-'2. DL invest.n.pl.BEZ pr.'!J12)*(1+$E21)</f>
        <v>0</v>
      </c>
      <c r="M21" s="1457">
        <f>('3. DL invest.n.pl.AR pr.'!L12-'2. DL invest.n.pl.BEZ pr.'!K12)*(1+$E21)</f>
        <v>0</v>
      </c>
      <c r="N21" s="1457">
        <f>('3. DL invest.n.pl.AR pr.'!M12-'2. DL invest.n.pl.BEZ pr.'!L12)*(1+$E21)</f>
        <v>0</v>
      </c>
      <c r="O21" s="1457">
        <f>('3. DL invest.n.pl.AR pr.'!N12-'2. DL invest.n.pl.BEZ pr.'!M12)*(1+$E21)</f>
        <v>0</v>
      </c>
      <c r="P21" s="1457">
        <f>('3. DL invest.n.pl.AR pr.'!O12-'2. DL invest.n.pl.BEZ pr.'!N12)*(1+$E21)</f>
        <v>0</v>
      </c>
      <c r="Q21" s="1457">
        <f>('3. DL invest.n.pl.AR pr.'!P12-'2. DL invest.n.pl.BEZ pr.'!O12)*(1+$E21)</f>
        <v>0</v>
      </c>
      <c r="R21" s="1457">
        <f>('3. DL invest.n.pl.AR pr.'!Q12-'2. DL invest.n.pl.BEZ pr.'!P12)*(1+$E21)</f>
        <v>0</v>
      </c>
      <c r="S21" s="1457">
        <f>('3. DL invest.n.pl.AR pr.'!R12-'2. DL invest.n.pl.BEZ pr.'!Q12)*(1+$E21)</f>
        <v>0</v>
      </c>
      <c r="T21" s="1457">
        <f>('3. DL invest.n.pl.AR pr.'!S12-'2. DL invest.n.pl.BEZ pr.'!R12)*(1+$E21)</f>
        <v>0</v>
      </c>
      <c r="U21" s="1457">
        <f>('3. DL invest.n.pl.AR pr.'!T12-'2. DL invest.n.pl.BEZ pr.'!S12)*(1+$E21)</f>
        <v>0</v>
      </c>
      <c r="V21" s="1460">
        <f t="shared" si="2"/>
        <v>0</v>
      </c>
      <c r="W21" s="1501"/>
    </row>
    <row r="22" spans="1:23">
      <c r="A22" s="768"/>
      <c r="B22" s="800" t="s">
        <v>971</v>
      </c>
      <c r="C22" s="1898" t="str">
        <f>'3. DL invest.n.pl.AR pr.'!C13</f>
        <v>Ieņēmumi…</v>
      </c>
      <c r="D22" s="790"/>
      <c r="E22" s="1660">
        <v>0</v>
      </c>
      <c r="F22" s="1342" t="s">
        <v>873</v>
      </c>
      <c r="G22" s="1457">
        <f>('3. DL invest.n.pl.AR pr.'!F13-'2. DL invest.n.pl.BEZ pr.'!E13)*(1+$E22)</f>
        <v>0</v>
      </c>
      <c r="H22" s="1457">
        <f>('3. DL invest.n.pl.AR pr.'!G13-'2. DL invest.n.pl.BEZ pr.'!F13)*(1+$E22)</f>
        <v>0</v>
      </c>
      <c r="I22" s="1457">
        <f>('3. DL invest.n.pl.AR pr.'!H13-'2. DL invest.n.pl.BEZ pr.'!G13)*(1+$E22)</f>
        <v>0</v>
      </c>
      <c r="J22" s="1457">
        <f>('3. DL invest.n.pl.AR pr.'!I13-'2. DL invest.n.pl.BEZ pr.'!H13)*(1+$E22)</f>
        <v>0</v>
      </c>
      <c r="K22" s="1457">
        <f>('3. DL invest.n.pl.AR pr.'!J13-'2. DL invest.n.pl.BEZ pr.'!I13)*(1+$E22)</f>
        <v>0</v>
      </c>
      <c r="L22" s="1457">
        <f>('3. DL invest.n.pl.AR pr.'!K13-'2. DL invest.n.pl.BEZ pr.'!J13)*(1+$E22)</f>
        <v>0</v>
      </c>
      <c r="M22" s="1457">
        <f>('3. DL invest.n.pl.AR pr.'!L13-'2. DL invest.n.pl.BEZ pr.'!K13)*(1+$E22)</f>
        <v>0</v>
      </c>
      <c r="N22" s="1457">
        <f>('3. DL invest.n.pl.AR pr.'!M13-'2. DL invest.n.pl.BEZ pr.'!L13)*(1+$E22)</f>
        <v>0</v>
      </c>
      <c r="O22" s="1457">
        <f>('3. DL invest.n.pl.AR pr.'!N13-'2. DL invest.n.pl.BEZ pr.'!M13)*(1+$E22)</f>
        <v>0</v>
      </c>
      <c r="P22" s="1457">
        <f>('3. DL invest.n.pl.AR pr.'!O13-'2. DL invest.n.pl.BEZ pr.'!N13)*(1+$E22)</f>
        <v>0</v>
      </c>
      <c r="Q22" s="1457">
        <f>('3. DL invest.n.pl.AR pr.'!P13-'2. DL invest.n.pl.BEZ pr.'!O13)*(1+$E22)</f>
        <v>0</v>
      </c>
      <c r="R22" s="1457">
        <f>('3. DL invest.n.pl.AR pr.'!Q13-'2. DL invest.n.pl.BEZ pr.'!P13)*(1+$E22)</f>
        <v>0</v>
      </c>
      <c r="S22" s="1457">
        <f>('3. DL invest.n.pl.AR pr.'!R13-'2. DL invest.n.pl.BEZ pr.'!Q13)*(1+$E22)</f>
        <v>0</v>
      </c>
      <c r="T22" s="1457">
        <f>('3. DL invest.n.pl.AR pr.'!S13-'2. DL invest.n.pl.BEZ pr.'!R13)*(1+$E22)</f>
        <v>0</v>
      </c>
      <c r="U22" s="1457">
        <f>('3. DL invest.n.pl.AR pr.'!T13-'2. DL invest.n.pl.BEZ pr.'!S13)*(1+$E22)</f>
        <v>0</v>
      </c>
      <c r="V22" s="1460">
        <f t="shared" si="2"/>
        <v>0</v>
      </c>
      <c r="W22" s="1501"/>
    </row>
    <row r="23" spans="1:23">
      <c r="A23" s="768"/>
      <c r="B23" s="800" t="s">
        <v>1073</v>
      </c>
      <c r="C23" s="1898" t="str">
        <f>'3. DL invest.n.pl.AR pr.'!C14</f>
        <v>Ieņēmumi….</v>
      </c>
      <c r="D23" s="790"/>
      <c r="E23" s="1660">
        <v>0</v>
      </c>
      <c r="F23" s="1342" t="s">
        <v>873</v>
      </c>
      <c r="G23" s="1457">
        <f>('3. DL invest.n.pl.AR pr.'!F14-'2. DL invest.n.pl.BEZ pr.'!E14)*(1+$E23)</f>
        <v>0</v>
      </c>
      <c r="H23" s="1457">
        <f>('3. DL invest.n.pl.AR pr.'!G14-'2. DL invest.n.pl.BEZ pr.'!F14)*(1+$E23)</f>
        <v>0</v>
      </c>
      <c r="I23" s="1457">
        <f>('3. DL invest.n.pl.AR pr.'!H14-'2. DL invest.n.pl.BEZ pr.'!G14)*(1+$E23)</f>
        <v>0</v>
      </c>
      <c r="J23" s="1457">
        <f>('3. DL invest.n.pl.AR pr.'!I14-'2. DL invest.n.pl.BEZ pr.'!H14)*(1+$E23)</f>
        <v>0</v>
      </c>
      <c r="K23" s="1457">
        <f>('3. DL invest.n.pl.AR pr.'!J14-'2. DL invest.n.pl.BEZ pr.'!I14)*(1+$E23)</f>
        <v>0</v>
      </c>
      <c r="L23" s="1457">
        <f>('3. DL invest.n.pl.AR pr.'!K14-'2. DL invest.n.pl.BEZ pr.'!J14)*(1+$E23)</f>
        <v>0</v>
      </c>
      <c r="M23" s="1457">
        <f>('3. DL invest.n.pl.AR pr.'!L14-'2. DL invest.n.pl.BEZ pr.'!K14)*(1+$E23)</f>
        <v>0</v>
      </c>
      <c r="N23" s="1457">
        <f>('3. DL invest.n.pl.AR pr.'!M14-'2. DL invest.n.pl.BEZ pr.'!L14)*(1+$E23)</f>
        <v>0</v>
      </c>
      <c r="O23" s="1457">
        <f>('3. DL invest.n.pl.AR pr.'!N14-'2. DL invest.n.pl.BEZ pr.'!M14)*(1+$E23)</f>
        <v>0</v>
      </c>
      <c r="P23" s="1457">
        <f>('3. DL invest.n.pl.AR pr.'!O14-'2. DL invest.n.pl.BEZ pr.'!N14)*(1+$E23)</f>
        <v>0</v>
      </c>
      <c r="Q23" s="1457">
        <f>('3. DL invest.n.pl.AR pr.'!P14-'2. DL invest.n.pl.BEZ pr.'!O14)*(1+$E23)</f>
        <v>0</v>
      </c>
      <c r="R23" s="1457">
        <f>('3. DL invest.n.pl.AR pr.'!Q14-'2. DL invest.n.pl.BEZ pr.'!P14)*(1+$E23)</f>
        <v>0</v>
      </c>
      <c r="S23" s="1457">
        <f>('3. DL invest.n.pl.AR pr.'!R14-'2. DL invest.n.pl.BEZ pr.'!Q14)*(1+$E23)</f>
        <v>0</v>
      </c>
      <c r="T23" s="1457">
        <f>('3. DL invest.n.pl.AR pr.'!S14-'2. DL invest.n.pl.BEZ pr.'!R14)*(1+$E23)</f>
        <v>0</v>
      </c>
      <c r="U23" s="1457">
        <f>('3. DL invest.n.pl.AR pr.'!T14-'2. DL invest.n.pl.BEZ pr.'!S14)*(1+$E23)</f>
        <v>0</v>
      </c>
      <c r="V23" s="1460">
        <f t="shared" si="2"/>
        <v>0</v>
      </c>
      <c r="W23" s="1501"/>
    </row>
    <row r="24" spans="1:23">
      <c r="A24" s="768"/>
      <c r="B24" s="1683" t="s">
        <v>1074</v>
      </c>
      <c r="C24" s="1898" t="str">
        <f>'3. DL invest.n.pl.AR pr.'!C15</f>
        <v>Ieņēmumi….</v>
      </c>
      <c r="D24" s="790"/>
      <c r="E24" s="1660">
        <v>0</v>
      </c>
      <c r="F24" s="1342" t="s">
        <v>873</v>
      </c>
      <c r="G24" s="1457">
        <f>('3. DL invest.n.pl.AR pr.'!F15-'2. DL invest.n.pl.BEZ pr.'!E15)*(1+$E24)</f>
        <v>0</v>
      </c>
      <c r="H24" s="1457">
        <f>('3. DL invest.n.pl.AR pr.'!G15-'2. DL invest.n.pl.BEZ pr.'!F15)*(1+$E24)</f>
        <v>0</v>
      </c>
      <c r="I24" s="1457">
        <f>('3. DL invest.n.pl.AR pr.'!H15-'2. DL invest.n.pl.BEZ pr.'!G15)*(1+$E24)</f>
        <v>0</v>
      </c>
      <c r="J24" s="1457">
        <f>('3. DL invest.n.pl.AR pr.'!I15-'2. DL invest.n.pl.BEZ pr.'!H15)*(1+$E24)</f>
        <v>0</v>
      </c>
      <c r="K24" s="1457">
        <f>('3. DL invest.n.pl.AR pr.'!J15-'2. DL invest.n.pl.BEZ pr.'!I15)*(1+$E24)</f>
        <v>0</v>
      </c>
      <c r="L24" s="1457">
        <f>('3. DL invest.n.pl.AR pr.'!K15-'2. DL invest.n.pl.BEZ pr.'!J15)*(1+$E24)</f>
        <v>0</v>
      </c>
      <c r="M24" s="1457">
        <f>('3. DL invest.n.pl.AR pr.'!L15-'2. DL invest.n.pl.BEZ pr.'!K15)*(1+$E24)</f>
        <v>0</v>
      </c>
      <c r="N24" s="1457">
        <f>('3. DL invest.n.pl.AR pr.'!M15-'2. DL invest.n.pl.BEZ pr.'!L15)*(1+$E24)</f>
        <v>0</v>
      </c>
      <c r="O24" s="1457">
        <f>('3. DL invest.n.pl.AR pr.'!N15-'2. DL invest.n.pl.BEZ pr.'!M15)*(1+$E24)</f>
        <v>0</v>
      </c>
      <c r="P24" s="1457">
        <f>('3. DL invest.n.pl.AR pr.'!O15-'2. DL invest.n.pl.BEZ pr.'!N15)*(1+$E24)</f>
        <v>0</v>
      </c>
      <c r="Q24" s="1457">
        <f>('3. DL invest.n.pl.AR pr.'!P15-'2. DL invest.n.pl.BEZ pr.'!O15)*(1+$E24)</f>
        <v>0</v>
      </c>
      <c r="R24" s="1457">
        <f>('3. DL invest.n.pl.AR pr.'!Q15-'2. DL invest.n.pl.BEZ pr.'!P15)*(1+$E24)</f>
        <v>0</v>
      </c>
      <c r="S24" s="1457">
        <f>('3. DL invest.n.pl.AR pr.'!R15-'2. DL invest.n.pl.BEZ pr.'!Q15)*(1+$E24)</f>
        <v>0</v>
      </c>
      <c r="T24" s="1457">
        <f>('3. DL invest.n.pl.AR pr.'!S15-'2. DL invest.n.pl.BEZ pr.'!R15)*(1+$E24)</f>
        <v>0</v>
      </c>
      <c r="U24" s="1457">
        <f>('3. DL invest.n.pl.AR pr.'!T15-'2. DL invest.n.pl.BEZ pr.'!S15)*(1+$E24)</f>
        <v>0</v>
      </c>
      <c r="V24" s="1460">
        <f t="shared" si="2"/>
        <v>0</v>
      </c>
      <c r="W24" s="1501"/>
    </row>
    <row r="25" spans="1:23" s="789" customFormat="1">
      <c r="A25" s="791"/>
      <c r="B25" s="792" t="s">
        <v>7</v>
      </c>
      <c r="C25" s="792" t="s">
        <v>10</v>
      </c>
      <c r="D25" s="795"/>
      <c r="E25" s="1660">
        <v>0</v>
      </c>
      <c r="F25" s="1342" t="s">
        <v>873</v>
      </c>
      <c r="G25" s="1459">
        <f>'3. DL invest.n.pl.AR pr.'!F31*(1+$E25)</f>
        <v>0</v>
      </c>
      <c r="H25" s="1459">
        <f>'3. DL invest.n.pl.AR pr.'!G31*(1+$E25)</f>
        <v>0</v>
      </c>
      <c r="I25" s="1459">
        <f>'3. DL invest.n.pl.AR pr.'!H31*(1+$E25)</f>
        <v>0</v>
      </c>
      <c r="J25" s="1459">
        <f>'3. DL invest.n.pl.AR pr.'!I31*(1+$E25)</f>
        <v>0</v>
      </c>
      <c r="K25" s="1459">
        <f>'3. DL invest.n.pl.AR pr.'!J31*(1+$E25)</f>
        <v>0</v>
      </c>
      <c r="L25" s="1459">
        <f>'3. DL invest.n.pl.AR pr.'!K31*(1+$E25)</f>
        <v>0</v>
      </c>
      <c r="M25" s="1459">
        <f>'3. DL invest.n.pl.AR pr.'!L31*(1+$E25)</f>
        <v>0</v>
      </c>
      <c r="N25" s="1459">
        <f>'3. DL invest.n.pl.AR pr.'!M31*(1+$E25)</f>
        <v>0</v>
      </c>
      <c r="O25" s="1459">
        <f>'3. DL invest.n.pl.AR pr.'!N31*(1+$E25)</f>
        <v>0</v>
      </c>
      <c r="P25" s="1459">
        <f>'3. DL invest.n.pl.AR pr.'!O31*(1+$E25)</f>
        <v>0</v>
      </c>
      <c r="Q25" s="1459">
        <f>'3. DL invest.n.pl.AR pr.'!P31*(1+$E25)</f>
        <v>0</v>
      </c>
      <c r="R25" s="1459">
        <f>'3. DL invest.n.pl.AR pr.'!Q31*(1+$E25)</f>
        <v>0</v>
      </c>
      <c r="S25" s="1459">
        <f>'3. DL invest.n.pl.AR pr.'!R31*(1+$E25)</f>
        <v>0</v>
      </c>
      <c r="T25" s="1459">
        <f>'3. DL invest.n.pl.AR pr.'!S31*(1+$E25)</f>
        <v>0</v>
      </c>
      <c r="U25" s="1459">
        <f>'3. DL invest.n.pl.AR pr.'!T31*(1+$E25)</f>
        <v>1000</v>
      </c>
      <c r="V25" s="1460">
        <f t="shared" si="2"/>
        <v>1000</v>
      </c>
      <c r="W25" s="1501" t="b">
        <f>V25='3. DL invest.n.pl.AR pr.'!U30</f>
        <v>1</v>
      </c>
    </row>
    <row r="26" spans="1:23" s="789" customFormat="1">
      <c r="A26" s="791"/>
      <c r="B26" s="792" t="s">
        <v>9</v>
      </c>
      <c r="C26" s="792" t="s">
        <v>1018</v>
      </c>
      <c r="D26" s="796"/>
      <c r="E26" s="1986"/>
      <c r="F26" s="1342" t="s">
        <v>873</v>
      </c>
      <c r="G26" s="1459">
        <f>G25+G18+G8</f>
        <v>9450</v>
      </c>
      <c r="H26" s="1459">
        <f t="shared" ref="H26:J26" si="5">H25+H18+H8</f>
        <v>9450</v>
      </c>
      <c r="I26" s="1459">
        <f t="shared" si="5"/>
        <v>9450</v>
      </c>
      <c r="J26" s="1459">
        <f t="shared" si="5"/>
        <v>9450</v>
      </c>
      <c r="K26" s="1459">
        <f t="shared" ref="K26:U26" si="6">K25+K18+K8</f>
        <v>9450</v>
      </c>
      <c r="L26" s="1459">
        <f t="shared" si="6"/>
        <v>9450</v>
      </c>
      <c r="M26" s="1459">
        <f t="shared" si="6"/>
        <v>9450</v>
      </c>
      <c r="N26" s="1459">
        <f t="shared" si="6"/>
        <v>9450</v>
      </c>
      <c r="O26" s="1459">
        <f>O25+O18+O8</f>
        <v>9450</v>
      </c>
      <c r="P26" s="1459">
        <f t="shared" si="6"/>
        <v>9450</v>
      </c>
      <c r="Q26" s="1459">
        <f t="shared" si="6"/>
        <v>9450</v>
      </c>
      <c r="R26" s="1459">
        <f t="shared" si="6"/>
        <v>9450</v>
      </c>
      <c r="S26" s="1459">
        <f t="shared" si="6"/>
        <v>9450</v>
      </c>
      <c r="T26" s="1459">
        <f t="shared" si="6"/>
        <v>9450</v>
      </c>
      <c r="U26" s="1459">
        <f t="shared" si="6"/>
        <v>10450</v>
      </c>
      <c r="V26" s="1460">
        <f t="shared" si="2"/>
        <v>142750</v>
      </c>
      <c r="W26" s="1501"/>
    </row>
    <row r="27" spans="1:23" s="789" customFormat="1">
      <c r="A27" s="791"/>
      <c r="B27" s="792" t="s">
        <v>11</v>
      </c>
      <c r="C27" s="757" t="s">
        <v>115</v>
      </c>
      <c r="D27" s="757"/>
      <c r="E27" s="1987"/>
      <c r="F27" s="1342" t="s">
        <v>873</v>
      </c>
      <c r="G27" s="1489">
        <f>SUM(G28:G28)</f>
        <v>-150</v>
      </c>
      <c r="H27" s="1489">
        <f>SUM(H28:H28)</f>
        <v>-150</v>
      </c>
      <c r="I27" s="1489">
        <f>SUM(I28:I28)</f>
        <v>-150</v>
      </c>
      <c r="J27" s="1489">
        <f t="shared" ref="J27" si="7">SUM(J28:J29)</f>
        <v>-150</v>
      </c>
      <c r="K27" s="1489">
        <f t="shared" ref="K27:U27" si="8">SUM(K28:K29)</f>
        <v>-150</v>
      </c>
      <c r="L27" s="1489">
        <f t="shared" si="8"/>
        <v>-150</v>
      </c>
      <c r="M27" s="1489">
        <f t="shared" si="8"/>
        <v>-150</v>
      </c>
      <c r="N27" s="1489">
        <f t="shared" si="8"/>
        <v>-150</v>
      </c>
      <c r="O27" s="1489">
        <f t="shared" si="8"/>
        <v>-150</v>
      </c>
      <c r="P27" s="1489">
        <f t="shared" si="8"/>
        <v>-150</v>
      </c>
      <c r="Q27" s="1489">
        <f t="shared" si="8"/>
        <v>-150</v>
      </c>
      <c r="R27" s="1489">
        <f t="shared" si="8"/>
        <v>-150</v>
      </c>
      <c r="S27" s="1489">
        <f t="shared" si="8"/>
        <v>-150</v>
      </c>
      <c r="T27" s="1489">
        <f t="shared" si="8"/>
        <v>-150</v>
      </c>
      <c r="U27" s="1489">
        <f t="shared" si="8"/>
        <v>-150</v>
      </c>
      <c r="V27" s="1460">
        <f t="shared" si="2"/>
        <v>-2250</v>
      </c>
      <c r="W27" s="1501"/>
    </row>
    <row r="28" spans="1:23">
      <c r="A28" s="768"/>
      <c r="B28" s="800" t="s">
        <v>81</v>
      </c>
      <c r="C28" s="808" t="str">
        <f>'5. DL soc.econom. analīze'!B17</f>
        <v>Zaudējumi...</v>
      </c>
      <c r="D28" s="790"/>
      <c r="E28" s="1660">
        <v>0</v>
      </c>
      <c r="F28" s="1342" t="s">
        <v>873</v>
      </c>
      <c r="G28" s="1425">
        <f>'5. DL soc.econom. analīze'!D17*(1+$E28)</f>
        <v>-150</v>
      </c>
      <c r="H28" s="1425">
        <f>'5. DL soc.econom. analīze'!E17*(1+$E28)</f>
        <v>-150</v>
      </c>
      <c r="I28" s="1425">
        <f>'5. DL soc.econom. analīze'!F17*(1+$E28)</f>
        <v>-150</v>
      </c>
      <c r="J28" s="1425">
        <f>'5. DL soc.econom. analīze'!G17*(1+$E28)</f>
        <v>-150</v>
      </c>
      <c r="K28" s="1425">
        <f>'5. DL soc.econom. analīze'!H17*(1+$E28)</f>
        <v>-150</v>
      </c>
      <c r="L28" s="1425">
        <f>'5. DL soc.econom. analīze'!I17*(1+$E28)</f>
        <v>-150</v>
      </c>
      <c r="M28" s="1425">
        <f>'5. DL soc.econom. analīze'!J17*(1+$E28)</f>
        <v>-150</v>
      </c>
      <c r="N28" s="1425">
        <f>'5. DL soc.econom. analīze'!K17*(1+$E28)</f>
        <v>-150</v>
      </c>
      <c r="O28" s="1425">
        <f>'5. DL soc.econom. analīze'!L17*(1+$E28)</f>
        <v>-150</v>
      </c>
      <c r="P28" s="1425">
        <f>'5. DL soc.econom. analīze'!M17*(1+$E28)</f>
        <v>-150</v>
      </c>
      <c r="Q28" s="1425">
        <f>'5. DL soc.econom. analīze'!N17*(1+$E28)</f>
        <v>-150</v>
      </c>
      <c r="R28" s="1425">
        <f>'5. DL soc.econom. analīze'!O17*(1+$E28)</f>
        <v>-150</v>
      </c>
      <c r="S28" s="1425">
        <f>'5. DL soc.econom. analīze'!P17*(1+$E28)</f>
        <v>-150</v>
      </c>
      <c r="T28" s="1425">
        <f>'5. DL soc.econom. analīze'!Q17*(1+$E28)</f>
        <v>-150</v>
      </c>
      <c r="U28" s="1425">
        <f>'5. DL soc.econom. analīze'!R17*(1+$E28)</f>
        <v>-150</v>
      </c>
      <c r="V28" s="1460">
        <f t="shared" si="2"/>
        <v>-2250</v>
      </c>
      <c r="W28" s="1501"/>
    </row>
    <row r="29" spans="1:23">
      <c r="A29" s="768"/>
      <c r="B29" s="800" t="s">
        <v>96</v>
      </c>
      <c r="C29" s="808" t="str">
        <f>'5. DL soc.econom. analīze'!B18</f>
        <v>Zaudējumi...</v>
      </c>
      <c r="D29" s="823"/>
      <c r="E29" s="1660">
        <v>0</v>
      </c>
      <c r="F29" s="1342" t="s">
        <v>873</v>
      </c>
      <c r="G29" s="1425">
        <f>'5. DL soc.econom. analīze'!D18*(1+$E29)</f>
        <v>0</v>
      </c>
      <c r="H29" s="1425">
        <f>'5. DL soc.econom. analīze'!E18*(1+$E29)</f>
        <v>0</v>
      </c>
      <c r="I29" s="1425">
        <f>'5. DL soc.econom. analīze'!F18*(1+$E29)</f>
        <v>0</v>
      </c>
      <c r="J29" s="1425">
        <f>'5. DL soc.econom. analīze'!G18*(1+$E29)</f>
        <v>0</v>
      </c>
      <c r="K29" s="1425">
        <f>'5. DL soc.econom. analīze'!H18*(1+$E29)</f>
        <v>0</v>
      </c>
      <c r="L29" s="1425">
        <f>'5. DL soc.econom. analīze'!I18*(1+$E29)</f>
        <v>0</v>
      </c>
      <c r="M29" s="1425">
        <f>'5. DL soc.econom. analīze'!J18*(1+$E29)</f>
        <v>0</v>
      </c>
      <c r="N29" s="1425">
        <f>'5. DL soc.econom. analīze'!K18*(1+$E29)</f>
        <v>0</v>
      </c>
      <c r="O29" s="1425">
        <f>'5. DL soc.econom. analīze'!L18*(1+$E29)</f>
        <v>0</v>
      </c>
      <c r="P29" s="1425">
        <f>'5. DL soc.econom. analīze'!M18*(1+$E29)</f>
        <v>0</v>
      </c>
      <c r="Q29" s="1425">
        <f>'5. DL soc.econom. analīze'!N18*(1+$E29)</f>
        <v>0</v>
      </c>
      <c r="R29" s="1425">
        <f>'5. DL soc.econom. analīze'!O18*(1+$E29)</f>
        <v>0</v>
      </c>
      <c r="S29" s="1425">
        <f>'5. DL soc.econom. analīze'!P18*(1+$E29)</f>
        <v>0</v>
      </c>
      <c r="T29" s="1425">
        <f>'5. DL soc.econom. analīze'!Q18*(1+$E29)</f>
        <v>0</v>
      </c>
      <c r="U29" s="1425">
        <f>'5. DL soc.econom. analīze'!R18*(1+$E29)</f>
        <v>0</v>
      </c>
      <c r="V29" s="1460">
        <f t="shared" si="2"/>
        <v>0</v>
      </c>
      <c r="W29" s="1501"/>
    </row>
    <row r="30" spans="1:23">
      <c r="A30" s="768"/>
      <c r="B30" s="800" t="s">
        <v>894</v>
      </c>
      <c r="C30" s="808" t="str">
        <f>'5. DL soc.econom. analīze'!B19</f>
        <v>Zaudējumi...</v>
      </c>
      <c r="D30" s="823"/>
      <c r="E30" s="1660">
        <v>0</v>
      </c>
      <c r="F30" s="1342" t="s">
        <v>873</v>
      </c>
      <c r="G30" s="1425">
        <f>'5. DL soc.econom. analīze'!D19*(1+$E30)</f>
        <v>0</v>
      </c>
      <c r="H30" s="1425">
        <f>'5. DL soc.econom. analīze'!E19*(1+$E30)</f>
        <v>0</v>
      </c>
      <c r="I30" s="1425">
        <f>'5. DL soc.econom. analīze'!F19*(1+$E30)</f>
        <v>0</v>
      </c>
      <c r="J30" s="1425">
        <f>'5. DL soc.econom. analīze'!G19*(1+$E30)</f>
        <v>0</v>
      </c>
      <c r="K30" s="1425">
        <f>'5. DL soc.econom. analīze'!H19*(1+$E30)</f>
        <v>0</v>
      </c>
      <c r="L30" s="1425">
        <f>'5. DL soc.econom. analīze'!I19*(1+$E30)</f>
        <v>0</v>
      </c>
      <c r="M30" s="1425">
        <f>'5. DL soc.econom. analīze'!J19*(1+$E30)</f>
        <v>0</v>
      </c>
      <c r="N30" s="1425">
        <f>'5. DL soc.econom. analīze'!K19*(1+$E30)</f>
        <v>0</v>
      </c>
      <c r="O30" s="1425">
        <f>'5. DL soc.econom. analīze'!L19*(1+$E30)</f>
        <v>0</v>
      </c>
      <c r="P30" s="1425">
        <f>'5. DL soc.econom. analīze'!M19*(1+$E30)</f>
        <v>0</v>
      </c>
      <c r="Q30" s="1425">
        <f>'5. DL soc.econom. analīze'!N19*(1+$E30)</f>
        <v>0</v>
      </c>
      <c r="R30" s="1425">
        <f>'5. DL soc.econom. analīze'!O19*(1+$E30)</f>
        <v>0</v>
      </c>
      <c r="S30" s="1425">
        <f>'5. DL soc.econom. analīze'!P19*(1+$E30)</f>
        <v>0</v>
      </c>
      <c r="T30" s="1425">
        <f>'5. DL soc.econom. analīze'!Q19*(1+$E30)</f>
        <v>0</v>
      </c>
      <c r="U30" s="1425">
        <f>'5. DL soc.econom. analīze'!R19*(1+$E30)</f>
        <v>0</v>
      </c>
      <c r="V30" s="1460">
        <f t="shared" si="2"/>
        <v>0</v>
      </c>
      <c r="W30" s="1501"/>
    </row>
    <row r="31" spans="1:23">
      <c r="A31" s="768"/>
      <c r="B31" s="800" t="s">
        <v>895</v>
      </c>
      <c r="C31" s="808" t="str">
        <f>'5. DL soc.econom. analīze'!B20</f>
        <v>Zaudējumi...</v>
      </c>
      <c r="D31" s="823"/>
      <c r="E31" s="1660">
        <v>0</v>
      </c>
      <c r="F31" s="1342" t="s">
        <v>873</v>
      </c>
      <c r="G31" s="1425">
        <f>'5. DL soc.econom. analīze'!D20*(1+$E31)</f>
        <v>0</v>
      </c>
      <c r="H31" s="1425">
        <f>'5. DL soc.econom. analīze'!E20*(1+$E31)</f>
        <v>0</v>
      </c>
      <c r="I31" s="1425">
        <f>'5. DL soc.econom. analīze'!F20*(1+$E31)</f>
        <v>0</v>
      </c>
      <c r="J31" s="1425">
        <f>'5. DL soc.econom. analīze'!G20*(1+$E31)</f>
        <v>0</v>
      </c>
      <c r="K31" s="1425">
        <f>'5. DL soc.econom. analīze'!H20*(1+$E31)</f>
        <v>0</v>
      </c>
      <c r="L31" s="1425">
        <f>'5. DL soc.econom. analīze'!I20*(1+$E31)</f>
        <v>0</v>
      </c>
      <c r="M31" s="1425">
        <f>'5. DL soc.econom. analīze'!J20*(1+$E31)</f>
        <v>0</v>
      </c>
      <c r="N31" s="1425">
        <f>'5. DL soc.econom. analīze'!K20*(1+$E31)</f>
        <v>0</v>
      </c>
      <c r="O31" s="1425">
        <f>'5. DL soc.econom. analīze'!L20*(1+$E31)</f>
        <v>0</v>
      </c>
      <c r="P31" s="1425">
        <f>'5. DL soc.econom. analīze'!M20*(1+$E31)</f>
        <v>0</v>
      </c>
      <c r="Q31" s="1425">
        <f>'5. DL soc.econom. analīze'!N20*(1+$E31)</f>
        <v>0</v>
      </c>
      <c r="R31" s="1425">
        <f>'5. DL soc.econom. analīze'!O20*(1+$E31)</f>
        <v>0</v>
      </c>
      <c r="S31" s="1425">
        <f>'5. DL soc.econom. analīze'!P20*(1+$E31)</f>
        <v>0</v>
      </c>
      <c r="T31" s="1425">
        <f>'5. DL soc.econom. analīze'!Q20*(1+$E31)</f>
        <v>0</v>
      </c>
      <c r="U31" s="1425">
        <f>'5. DL soc.econom. analīze'!R20*(1+$E31)</f>
        <v>0</v>
      </c>
      <c r="V31" s="1460">
        <f t="shared" si="2"/>
        <v>0</v>
      </c>
      <c r="W31" s="1501"/>
    </row>
    <row r="32" spans="1:23">
      <c r="A32" s="768"/>
      <c r="B32" s="800" t="s">
        <v>896</v>
      </c>
      <c r="C32" s="808" t="str">
        <f>'5. DL soc.econom. analīze'!B21</f>
        <v>Zaudējumi...</v>
      </c>
      <c r="D32" s="823"/>
      <c r="E32" s="1660">
        <v>0</v>
      </c>
      <c r="F32" s="1342" t="s">
        <v>873</v>
      </c>
      <c r="G32" s="1425">
        <f>'5. DL soc.econom. analīze'!D21*(1+$E32)</f>
        <v>0</v>
      </c>
      <c r="H32" s="1425">
        <f>'5. DL soc.econom. analīze'!E21*(1+$E32)</f>
        <v>0</v>
      </c>
      <c r="I32" s="1425">
        <f>'5. DL soc.econom. analīze'!F21*(1+$E32)</f>
        <v>0</v>
      </c>
      <c r="J32" s="1425">
        <f>'5. DL soc.econom. analīze'!G21*(1+$E32)</f>
        <v>0</v>
      </c>
      <c r="K32" s="1425">
        <f>'5. DL soc.econom. analīze'!H21*(1+$E32)</f>
        <v>0</v>
      </c>
      <c r="L32" s="1425">
        <f>'5. DL soc.econom. analīze'!I21*(1+$E32)</f>
        <v>0</v>
      </c>
      <c r="M32" s="1425">
        <f>'5. DL soc.econom. analīze'!J21*(1+$E32)</f>
        <v>0</v>
      </c>
      <c r="N32" s="1425">
        <f>'5. DL soc.econom. analīze'!K21*(1+$E32)</f>
        <v>0</v>
      </c>
      <c r="O32" s="1425">
        <f>'5. DL soc.econom. analīze'!L21*(1+$E32)</f>
        <v>0</v>
      </c>
      <c r="P32" s="1425">
        <f>'5. DL soc.econom. analīze'!M21*(1+$E32)</f>
        <v>0</v>
      </c>
      <c r="Q32" s="1425">
        <f>'5. DL soc.econom. analīze'!N21*(1+$E32)</f>
        <v>0</v>
      </c>
      <c r="R32" s="1425">
        <f>'5. DL soc.econom. analīze'!O21*(1+$E32)</f>
        <v>0</v>
      </c>
      <c r="S32" s="1425">
        <f>'5. DL soc.econom. analīze'!P21*(1+$E32)</f>
        <v>0</v>
      </c>
      <c r="T32" s="1425">
        <f>'5. DL soc.econom. analīze'!Q21*(1+$E32)</f>
        <v>0</v>
      </c>
      <c r="U32" s="1425">
        <f>'5. DL soc.econom. analīze'!R21*(1+$E32)</f>
        <v>0</v>
      </c>
      <c r="V32" s="1460">
        <f t="shared" si="2"/>
        <v>0</v>
      </c>
      <c r="W32" s="1501"/>
    </row>
    <row r="33" spans="1:23">
      <c r="A33" s="768"/>
      <c r="B33" s="800" t="s">
        <v>1085</v>
      </c>
      <c r="C33" s="808" t="str">
        <f>'5. DL soc.econom. analīze'!B22</f>
        <v>Zaudējumi...</v>
      </c>
      <c r="D33" s="823"/>
      <c r="E33" s="1660">
        <v>0</v>
      </c>
      <c r="F33" s="1342" t="s">
        <v>873</v>
      </c>
      <c r="G33" s="1425">
        <f>'5. DL soc.econom. analīze'!D22*(1+$E33)</f>
        <v>0</v>
      </c>
      <c r="H33" s="1425">
        <f>'5. DL soc.econom. analīze'!E22*(1+$E33)</f>
        <v>0</v>
      </c>
      <c r="I33" s="1425">
        <f>'5. DL soc.econom. analīze'!F22*(1+$E33)</f>
        <v>0</v>
      </c>
      <c r="J33" s="1425">
        <f>'5. DL soc.econom. analīze'!G22*(1+$E33)</f>
        <v>0</v>
      </c>
      <c r="K33" s="1425">
        <f>'5. DL soc.econom. analīze'!H22*(1+$E33)</f>
        <v>0</v>
      </c>
      <c r="L33" s="1425">
        <f>'5. DL soc.econom. analīze'!I22*(1+$E33)</f>
        <v>0</v>
      </c>
      <c r="M33" s="1425">
        <f>'5. DL soc.econom. analīze'!J22*(1+$E33)</f>
        <v>0</v>
      </c>
      <c r="N33" s="1425">
        <f>'5. DL soc.econom. analīze'!K22*(1+$E33)</f>
        <v>0</v>
      </c>
      <c r="O33" s="1425">
        <f>'5. DL soc.econom. analīze'!L22*(1+$E33)</f>
        <v>0</v>
      </c>
      <c r="P33" s="1425">
        <f>'5. DL soc.econom. analīze'!M22*(1+$E33)</f>
        <v>0</v>
      </c>
      <c r="Q33" s="1425">
        <f>'5. DL soc.econom. analīze'!N22*(1+$E33)</f>
        <v>0</v>
      </c>
      <c r="R33" s="1425">
        <f>'5. DL soc.econom. analīze'!O22*(1+$E33)</f>
        <v>0</v>
      </c>
      <c r="S33" s="1425">
        <f>'5. DL soc.econom. analīze'!P22*(1+$E33)</f>
        <v>0</v>
      </c>
      <c r="T33" s="1425">
        <f>'5. DL soc.econom. analīze'!Q22*(1+$E33)</f>
        <v>0</v>
      </c>
      <c r="U33" s="1425">
        <f>'5. DL soc.econom. analīze'!R22*(1+$E33)</f>
        <v>0</v>
      </c>
      <c r="V33" s="1460">
        <f t="shared" si="2"/>
        <v>0</v>
      </c>
      <c r="W33" s="1501"/>
    </row>
    <row r="34" spans="1:23">
      <c r="A34" s="768"/>
      <c r="B34" s="800" t="s">
        <v>1086</v>
      </c>
      <c r="C34" s="808" t="str">
        <f>'5. DL soc.econom. analīze'!B23</f>
        <v>Zaudējumi...</v>
      </c>
      <c r="D34" s="823"/>
      <c r="E34" s="1660">
        <v>0</v>
      </c>
      <c r="F34" s="1342" t="s">
        <v>873</v>
      </c>
      <c r="G34" s="1425">
        <f>'5. DL soc.econom. analīze'!D23*(1+$E34)</f>
        <v>0</v>
      </c>
      <c r="H34" s="1425">
        <f>'5. DL soc.econom. analīze'!E23*(1+$E34)</f>
        <v>0</v>
      </c>
      <c r="I34" s="1425">
        <f>'5. DL soc.econom. analīze'!F23*(1+$E34)</f>
        <v>0</v>
      </c>
      <c r="J34" s="1425">
        <f>'5. DL soc.econom. analīze'!G23*(1+$E34)</f>
        <v>0</v>
      </c>
      <c r="K34" s="1425">
        <f>'5. DL soc.econom. analīze'!H23*(1+$E34)</f>
        <v>0</v>
      </c>
      <c r="L34" s="1425">
        <f>'5. DL soc.econom. analīze'!I23*(1+$E34)</f>
        <v>0</v>
      </c>
      <c r="M34" s="1425">
        <f>'5. DL soc.econom. analīze'!J23*(1+$E34)</f>
        <v>0</v>
      </c>
      <c r="N34" s="1425">
        <f>'5. DL soc.econom. analīze'!K23*(1+$E34)</f>
        <v>0</v>
      </c>
      <c r="O34" s="1425">
        <f>'5. DL soc.econom. analīze'!L23*(1+$E34)</f>
        <v>0</v>
      </c>
      <c r="P34" s="1425">
        <f>'5. DL soc.econom. analīze'!M23*(1+$E34)</f>
        <v>0</v>
      </c>
      <c r="Q34" s="1425">
        <f>'5. DL soc.econom. analīze'!N23*(1+$E34)</f>
        <v>0</v>
      </c>
      <c r="R34" s="1425">
        <f>'5. DL soc.econom. analīze'!O23*(1+$E34)</f>
        <v>0</v>
      </c>
      <c r="S34" s="1425">
        <f>'5. DL soc.econom. analīze'!P23*(1+$E34)</f>
        <v>0</v>
      </c>
      <c r="T34" s="1425">
        <f>'5. DL soc.econom. analīze'!Q23*(1+$E34)</f>
        <v>0</v>
      </c>
      <c r="U34" s="1425">
        <f>'5. DL soc.econom. analīze'!R23*(1+$E34)</f>
        <v>0</v>
      </c>
      <c r="V34" s="1460">
        <f t="shared" si="2"/>
        <v>0</v>
      </c>
      <c r="W34" s="1501"/>
    </row>
    <row r="35" spans="1:23" ht="13.5" customHeight="1">
      <c r="A35" s="768"/>
      <c r="B35" s="800" t="s">
        <v>1087</v>
      </c>
      <c r="C35" s="808" t="str">
        <f>'5. DL soc.econom. analīze'!B24</f>
        <v>Zaudējumi...</v>
      </c>
      <c r="D35" s="823"/>
      <c r="E35" s="1660">
        <v>0</v>
      </c>
      <c r="F35" s="1342" t="s">
        <v>873</v>
      </c>
      <c r="G35" s="1425">
        <f>'5. DL soc.econom. analīze'!D24*(1+$E35)</f>
        <v>0</v>
      </c>
      <c r="H35" s="1425">
        <f>'5. DL soc.econom. analīze'!E24*(1+$E35)</f>
        <v>0</v>
      </c>
      <c r="I35" s="1425">
        <f>'5. DL soc.econom. analīze'!F24*(1+$E35)</f>
        <v>0</v>
      </c>
      <c r="J35" s="1425">
        <f>'5. DL soc.econom. analīze'!G24*(1+$E35)</f>
        <v>0</v>
      </c>
      <c r="K35" s="1425">
        <f>'5. DL soc.econom. analīze'!H24*(1+$E35)</f>
        <v>0</v>
      </c>
      <c r="L35" s="1425">
        <f>'5. DL soc.econom. analīze'!I24*(1+$E35)</f>
        <v>0</v>
      </c>
      <c r="M35" s="1425">
        <f>'5. DL soc.econom. analīze'!J24*(1+$E35)</f>
        <v>0</v>
      </c>
      <c r="N35" s="1425">
        <f>'5. DL soc.econom. analīze'!K24*(1+$E35)</f>
        <v>0</v>
      </c>
      <c r="O35" s="1425">
        <f>'5. DL soc.econom. analīze'!L24*(1+$E35)</f>
        <v>0</v>
      </c>
      <c r="P35" s="1425">
        <f>'5. DL soc.econom. analīze'!M24*(1+$E35)</f>
        <v>0</v>
      </c>
      <c r="Q35" s="1425">
        <f>'5. DL soc.econom. analīze'!N24*(1+$E35)</f>
        <v>0</v>
      </c>
      <c r="R35" s="1425">
        <f>'5. DL soc.econom. analīze'!O24*(1+$E35)</f>
        <v>0</v>
      </c>
      <c r="S35" s="1425">
        <f>'5. DL soc.econom. analīze'!P24*(1+$E35)</f>
        <v>0</v>
      </c>
      <c r="T35" s="1425">
        <f>'5. DL soc.econom. analīze'!Q24*(1+$E35)</f>
        <v>0</v>
      </c>
      <c r="U35" s="1425">
        <f>'5. DL soc.econom. analīze'!R24*(1+$E35)</f>
        <v>0</v>
      </c>
      <c r="V35" s="1460">
        <f t="shared" si="2"/>
        <v>0</v>
      </c>
      <c r="W35" s="1501"/>
    </row>
    <row r="36" spans="1:23">
      <c r="A36" s="768"/>
      <c r="B36" s="800" t="s">
        <v>1088</v>
      </c>
      <c r="C36" s="808" t="str">
        <f>'5. DL soc.econom. analīze'!B25</f>
        <v>Zaudējumi...</v>
      </c>
      <c r="D36" s="823"/>
      <c r="E36" s="1660">
        <v>0</v>
      </c>
      <c r="F36" s="1342" t="s">
        <v>873</v>
      </c>
      <c r="G36" s="1425">
        <f>'5. DL soc.econom. analīze'!D25*(1+$E36)</f>
        <v>0</v>
      </c>
      <c r="H36" s="1425">
        <f>'5. DL soc.econom. analīze'!E25*(1+$E36)</f>
        <v>0</v>
      </c>
      <c r="I36" s="1425">
        <f>'5. DL soc.econom. analīze'!F25*(1+$E36)</f>
        <v>0</v>
      </c>
      <c r="J36" s="1425">
        <f>'5. DL soc.econom. analīze'!G25*(1+$E36)</f>
        <v>0</v>
      </c>
      <c r="K36" s="1425">
        <f>'5. DL soc.econom. analīze'!H25*(1+$E36)</f>
        <v>0</v>
      </c>
      <c r="L36" s="1425">
        <f>'5. DL soc.econom. analīze'!I25*(1+$E36)</f>
        <v>0</v>
      </c>
      <c r="M36" s="1425">
        <f>'5. DL soc.econom. analīze'!J25*(1+$E36)</f>
        <v>0</v>
      </c>
      <c r="N36" s="1425">
        <f>'5. DL soc.econom. analīze'!K25*(1+$E36)</f>
        <v>0</v>
      </c>
      <c r="O36" s="1425">
        <f>'5. DL soc.econom. analīze'!L25*(1+$E36)</f>
        <v>0</v>
      </c>
      <c r="P36" s="1425">
        <f>'5. DL soc.econom. analīze'!M25*(1+$E36)</f>
        <v>0</v>
      </c>
      <c r="Q36" s="1425">
        <f>'5. DL soc.econom. analīze'!N25*(1+$E36)</f>
        <v>0</v>
      </c>
      <c r="R36" s="1425">
        <f>'5. DL soc.econom. analīze'!O25*(1+$E36)</f>
        <v>0</v>
      </c>
      <c r="S36" s="1425">
        <f>'5. DL soc.econom. analīze'!P25*(1+$E36)</f>
        <v>0</v>
      </c>
      <c r="T36" s="1425">
        <f>'5. DL soc.econom. analīze'!Q25*(1+$E36)</f>
        <v>0</v>
      </c>
      <c r="U36" s="1425">
        <f>'5. DL soc.econom. analīze'!R25*(1+$E36)</f>
        <v>0</v>
      </c>
      <c r="V36" s="1460">
        <f t="shared" si="2"/>
        <v>0</v>
      </c>
      <c r="W36" s="1501"/>
    </row>
    <row r="37" spans="1:23" s="789" customFormat="1">
      <c r="A37" s="791"/>
      <c r="B37" s="792" t="s">
        <v>47</v>
      </c>
      <c r="C37" s="792" t="s">
        <v>1015</v>
      </c>
      <c r="D37" s="796"/>
      <c r="E37" s="1987"/>
      <c r="F37" s="1342" t="s">
        <v>873</v>
      </c>
      <c r="G37" s="1489">
        <f>SUM(G38:G43)</f>
        <v>-400</v>
      </c>
      <c r="H37" s="1489">
        <f t="shared" ref="H37:J37" si="9">SUM(H38:H43)</f>
        <v>-400</v>
      </c>
      <c r="I37" s="1489">
        <f t="shared" si="9"/>
        <v>-400</v>
      </c>
      <c r="J37" s="1489">
        <f t="shared" si="9"/>
        <v>-400</v>
      </c>
      <c r="K37" s="1489">
        <f t="shared" ref="K37:U37" si="10">SUM(K38:K43)</f>
        <v>-400</v>
      </c>
      <c r="L37" s="1489">
        <f t="shared" si="10"/>
        <v>-400</v>
      </c>
      <c r="M37" s="1489">
        <f t="shared" si="10"/>
        <v>-400</v>
      </c>
      <c r="N37" s="1489">
        <f t="shared" si="10"/>
        <v>-400</v>
      </c>
      <c r="O37" s="1489">
        <f t="shared" si="10"/>
        <v>-400</v>
      </c>
      <c r="P37" s="1489">
        <f t="shared" si="10"/>
        <v>-400</v>
      </c>
      <c r="Q37" s="1489">
        <f t="shared" si="10"/>
        <v>-400</v>
      </c>
      <c r="R37" s="1489">
        <f t="shared" si="10"/>
        <v>-400</v>
      </c>
      <c r="S37" s="1489">
        <f t="shared" si="10"/>
        <v>-400</v>
      </c>
      <c r="T37" s="1489">
        <f t="shared" si="10"/>
        <v>-400</v>
      </c>
      <c r="U37" s="1489">
        <f t="shared" si="10"/>
        <v>-400</v>
      </c>
      <c r="V37" s="1460">
        <f t="shared" si="2"/>
        <v>-6000</v>
      </c>
      <c r="W37" s="1501"/>
    </row>
    <row r="38" spans="1:23">
      <c r="A38" s="768"/>
      <c r="B38" s="800" t="s">
        <v>128</v>
      </c>
      <c r="C38" s="1985" t="str">
        <f>'3. DL invest.n.pl.AR pr.'!C17</f>
        <v>Darbības izmaksas....</v>
      </c>
      <c r="D38" s="790"/>
      <c r="E38" s="1660">
        <v>0</v>
      </c>
      <c r="F38" s="1342" t="s">
        <v>873</v>
      </c>
      <c r="G38" s="1425">
        <f>('3. DL invest.n.pl.AR pr.'!F17-'2. DL invest.n.pl.BEZ pr.'!E17)*(1+$E38)</f>
        <v>-300</v>
      </c>
      <c r="H38" s="1425">
        <f>('3. DL invest.n.pl.AR pr.'!G17-'2. DL invest.n.pl.BEZ pr.'!F17)*(1+$E38)</f>
        <v>-300</v>
      </c>
      <c r="I38" s="1425">
        <f>('3. DL invest.n.pl.AR pr.'!H17-'2. DL invest.n.pl.BEZ pr.'!G17)*(1+$E38)</f>
        <v>-300</v>
      </c>
      <c r="J38" s="1425">
        <f>('3. DL invest.n.pl.AR pr.'!I17-'2. DL invest.n.pl.BEZ pr.'!H17)*(1+$E38)</f>
        <v>-300</v>
      </c>
      <c r="K38" s="1425">
        <f>('3. DL invest.n.pl.AR pr.'!J17-'2. DL invest.n.pl.BEZ pr.'!I17)*(1+$E38)</f>
        <v>-300</v>
      </c>
      <c r="L38" s="1425">
        <f>('3. DL invest.n.pl.AR pr.'!K17-'2. DL invest.n.pl.BEZ pr.'!J17)*(1+$E38)</f>
        <v>-300</v>
      </c>
      <c r="M38" s="1425">
        <f>('3. DL invest.n.pl.AR pr.'!L17-'2. DL invest.n.pl.BEZ pr.'!K17)*(1+$E38)</f>
        <v>-300</v>
      </c>
      <c r="N38" s="1425">
        <f>('3. DL invest.n.pl.AR pr.'!M17-'2. DL invest.n.pl.BEZ pr.'!L17)*(1+$E38)</f>
        <v>-300</v>
      </c>
      <c r="O38" s="1425">
        <f>('3. DL invest.n.pl.AR pr.'!N17-'2. DL invest.n.pl.BEZ pr.'!M17)*(1+$E38)</f>
        <v>-300</v>
      </c>
      <c r="P38" s="1425">
        <f>('3. DL invest.n.pl.AR pr.'!O17-'2. DL invest.n.pl.BEZ pr.'!N17)*(1+$E38)</f>
        <v>-300</v>
      </c>
      <c r="Q38" s="1425">
        <f>('3. DL invest.n.pl.AR pr.'!P17-'2. DL invest.n.pl.BEZ pr.'!O17)*(1+$E38)</f>
        <v>-300</v>
      </c>
      <c r="R38" s="1425">
        <f>('3. DL invest.n.pl.AR pr.'!Q17-'2. DL invest.n.pl.BEZ pr.'!P17)*(1+$E38)</f>
        <v>-300</v>
      </c>
      <c r="S38" s="1425">
        <f>('3. DL invest.n.pl.AR pr.'!R17-'2. DL invest.n.pl.BEZ pr.'!Q17)*(1+$E38)</f>
        <v>-300</v>
      </c>
      <c r="T38" s="1425">
        <f>('3. DL invest.n.pl.AR pr.'!S17-'2. DL invest.n.pl.BEZ pr.'!R17)*(1+$E38)</f>
        <v>-300</v>
      </c>
      <c r="U38" s="1425">
        <f>('3. DL invest.n.pl.AR pr.'!T17-'2. DL invest.n.pl.BEZ pr.'!S17)*(1+$E38)</f>
        <v>-300</v>
      </c>
      <c r="V38" s="1460">
        <f t="shared" si="2"/>
        <v>-4500</v>
      </c>
      <c r="W38" s="1501"/>
    </row>
    <row r="39" spans="1:23" ht="14.25" customHeight="1">
      <c r="A39" s="768"/>
      <c r="B39" s="800" t="s">
        <v>878</v>
      </c>
      <c r="C39" s="1985" t="str">
        <f>'3. DL invest.n.pl.AR pr.'!C18</f>
        <v>Darbības izmaksas....</v>
      </c>
      <c r="D39" s="790"/>
      <c r="E39" s="1660">
        <v>0</v>
      </c>
      <c r="F39" s="1342" t="s">
        <v>873</v>
      </c>
      <c r="G39" s="1425">
        <f>('3. DL invest.n.pl.AR pr.'!F18-'2. DL invest.n.pl.BEZ pr.'!E18)*(1+$E39)</f>
        <v>-100</v>
      </c>
      <c r="H39" s="1425">
        <f>('3. DL invest.n.pl.AR pr.'!G18-'2. DL invest.n.pl.BEZ pr.'!F18)*(1+$E39)</f>
        <v>-100</v>
      </c>
      <c r="I39" s="1425">
        <f>('3. DL invest.n.pl.AR pr.'!H18-'2. DL invest.n.pl.BEZ pr.'!G18)*(1+$E39)</f>
        <v>-100</v>
      </c>
      <c r="J39" s="1425">
        <f>('3. DL invest.n.pl.AR pr.'!I18-'2. DL invest.n.pl.BEZ pr.'!H18)*(1+$E39)</f>
        <v>-100</v>
      </c>
      <c r="K39" s="1425">
        <f>('3. DL invest.n.pl.AR pr.'!J18-'2. DL invest.n.pl.BEZ pr.'!I18)*(1+$E39)</f>
        <v>-100</v>
      </c>
      <c r="L39" s="1425">
        <f>('3. DL invest.n.pl.AR pr.'!K18-'2. DL invest.n.pl.BEZ pr.'!J18)*(1+$E39)</f>
        <v>-100</v>
      </c>
      <c r="M39" s="1425">
        <f>('3. DL invest.n.pl.AR pr.'!L18-'2. DL invest.n.pl.BEZ pr.'!K18)*(1+$E39)</f>
        <v>-100</v>
      </c>
      <c r="N39" s="1425">
        <f>('3. DL invest.n.pl.AR pr.'!M18-'2. DL invest.n.pl.BEZ pr.'!L18)*(1+$E39)</f>
        <v>-100</v>
      </c>
      <c r="O39" s="1425">
        <f>('3. DL invest.n.pl.AR pr.'!N18-'2. DL invest.n.pl.BEZ pr.'!M18)*(1+$E39)</f>
        <v>-100</v>
      </c>
      <c r="P39" s="1425">
        <f>('3. DL invest.n.pl.AR pr.'!O18-'2. DL invest.n.pl.BEZ pr.'!N18)*(1+$E39)</f>
        <v>-100</v>
      </c>
      <c r="Q39" s="1425">
        <f>('3. DL invest.n.pl.AR pr.'!P18-'2. DL invest.n.pl.BEZ pr.'!O18)*(1+$E39)</f>
        <v>-100</v>
      </c>
      <c r="R39" s="1425">
        <f>('3. DL invest.n.pl.AR pr.'!Q18-'2. DL invest.n.pl.BEZ pr.'!P18)*(1+$E39)</f>
        <v>-100</v>
      </c>
      <c r="S39" s="1425">
        <f>('3. DL invest.n.pl.AR pr.'!R18-'2. DL invest.n.pl.BEZ pr.'!Q18)*(1+$E39)</f>
        <v>-100</v>
      </c>
      <c r="T39" s="1425">
        <f>('3. DL invest.n.pl.AR pr.'!S18-'2. DL invest.n.pl.BEZ pr.'!R18)*(1+$E39)</f>
        <v>-100</v>
      </c>
      <c r="U39" s="1425">
        <f>('3. DL invest.n.pl.AR pr.'!T18-'2. DL invest.n.pl.BEZ pr.'!S18)*(1+$E39)</f>
        <v>-100</v>
      </c>
      <c r="V39" s="1460">
        <f t="shared" si="2"/>
        <v>-1500</v>
      </c>
      <c r="W39" s="1501" t="b">
        <f>V39='3. DL invest.n.pl.AR pr.'!U19</f>
        <v>0</v>
      </c>
    </row>
    <row r="40" spans="1:23">
      <c r="A40" s="768"/>
      <c r="B40" s="800" t="s">
        <v>879</v>
      </c>
      <c r="C40" s="1985" t="str">
        <f>'3. DL invest.n.pl.AR pr.'!C19</f>
        <v>Darbības izmaksas....</v>
      </c>
      <c r="D40" s="790"/>
      <c r="E40" s="1660">
        <v>0</v>
      </c>
      <c r="F40" s="1342" t="s">
        <v>873</v>
      </c>
      <c r="G40" s="1425">
        <f>('3. DL invest.n.pl.AR pr.'!F19-'2. DL invest.n.pl.BEZ pr.'!E19)*(1+$E40)</f>
        <v>0</v>
      </c>
      <c r="H40" s="1425">
        <f>('3. DL invest.n.pl.AR pr.'!G19-'2. DL invest.n.pl.BEZ pr.'!F19)*(1+$E40)</f>
        <v>0</v>
      </c>
      <c r="I40" s="1425">
        <f>('3. DL invest.n.pl.AR pr.'!H19-'2. DL invest.n.pl.BEZ pr.'!G19)*(1+$E40)</f>
        <v>0</v>
      </c>
      <c r="J40" s="1425">
        <f>('3. DL invest.n.pl.AR pr.'!I19-'2. DL invest.n.pl.BEZ pr.'!H19)*(1+$E40)</f>
        <v>0</v>
      </c>
      <c r="K40" s="1425">
        <f>('3. DL invest.n.pl.AR pr.'!J19-'2. DL invest.n.pl.BEZ pr.'!I19)*(1+$E40)</f>
        <v>0</v>
      </c>
      <c r="L40" s="1425">
        <f>('3. DL invest.n.pl.AR pr.'!K19-'2. DL invest.n.pl.BEZ pr.'!J19)*(1+$E40)</f>
        <v>0</v>
      </c>
      <c r="M40" s="1425">
        <f>('3. DL invest.n.pl.AR pr.'!L19-'2. DL invest.n.pl.BEZ pr.'!K19)*(1+$E40)</f>
        <v>0</v>
      </c>
      <c r="N40" s="1425">
        <f>('3. DL invest.n.pl.AR pr.'!M19-'2. DL invest.n.pl.BEZ pr.'!L19)*(1+$E40)</f>
        <v>0</v>
      </c>
      <c r="O40" s="1425">
        <f>('3. DL invest.n.pl.AR pr.'!N19-'2. DL invest.n.pl.BEZ pr.'!M19)*(1+$E40)</f>
        <v>0</v>
      </c>
      <c r="P40" s="1425">
        <f>('3. DL invest.n.pl.AR pr.'!O19-'2. DL invest.n.pl.BEZ pr.'!N19)*(1+$E40)</f>
        <v>0</v>
      </c>
      <c r="Q40" s="1425">
        <f>('3. DL invest.n.pl.AR pr.'!P19-'2. DL invest.n.pl.BEZ pr.'!O19)*(1+$E40)</f>
        <v>0</v>
      </c>
      <c r="R40" s="1425">
        <f>('3. DL invest.n.pl.AR pr.'!Q19-'2. DL invest.n.pl.BEZ pr.'!P19)*(1+$E40)</f>
        <v>0</v>
      </c>
      <c r="S40" s="1425">
        <f>('3. DL invest.n.pl.AR pr.'!R19-'2. DL invest.n.pl.BEZ pr.'!Q19)*(1+$E40)</f>
        <v>0</v>
      </c>
      <c r="T40" s="1425">
        <f>('3. DL invest.n.pl.AR pr.'!S19-'2. DL invest.n.pl.BEZ pr.'!R19)*(1+$E40)</f>
        <v>0</v>
      </c>
      <c r="U40" s="1425">
        <f>('3. DL invest.n.pl.AR pr.'!T19-'2. DL invest.n.pl.BEZ pr.'!S19)*(1+$E40)</f>
        <v>0</v>
      </c>
      <c r="V40" s="1460">
        <f t="shared" si="2"/>
        <v>0</v>
      </c>
      <c r="W40" s="1501"/>
    </row>
    <row r="41" spans="1:23">
      <c r="A41" s="768"/>
      <c r="B41" s="800" t="s">
        <v>972</v>
      </c>
      <c r="C41" s="1985" t="str">
        <f>'3. DL invest.n.pl.AR pr.'!C20</f>
        <v>Darbības izmaksas....</v>
      </c>
      <c r="D41" s="790"/>
      <c r="E41" s="1660">
        <v>0</v>
      </c>
      <c r="F41" s="1342" t="s">
        <v>873</v>
      </c>
      <c r="G41" s="1425">
        <f>('3. DL invest.n.pl.AR pr.'!F20-'2. DL invest.n.pl.BEZ pr.'!E20)*(1+$E41)</f>
        <v>0</v>
      </c>
      <c r="H41" s="1425">
        <f>('3. DL invest.n.pl.AR pr.'!G20-'2. DL invest.n.pl.BEZ pr.'!F20)*(1+$E41)</f>
        <v>0</v>
      </c>
      <c r="I41" s="1425">
        <f>('3. DL invest.n.pl.AR pr.'!H20-'2. DL invest.n.pl.BEZ pr.'!G20)*(1+$E41)</f>
        <v>0</v>
      </c>
      <c r="J41" s="1425">
        <f>('3. DL invest.n.pl.AR pr.'!I20-'2. DL invest.n.pl.BEZ pr.'!H20)*(1+$E41)</f>
        <v>0</v>
      </c>
      <c r="K41" s="1425">
        <f>('3. DL invest.n.pl.AR pr.'!J20-'2. DL invest.n.pl.BEZ pr.'!I20)*(1+$E41)</f>
        <v>0</v>
      </c>
      <c r="L41" s="1425">
        <f>('3. DL invest.n.pl.AR pr.'!K20-'2. DL invest.n.pl.BEZ pr.'!J20)*(1+$E41)</f>
        <v>0</v>
      </c>
      <c r="M41" s="1425">
        <f>('3. DL invest.n.pl.AR pr.'!L20-'2. DL invest.n.pl.BEZ pr.'!K20)*(1+$E41)</f>
        <v>0</v>
      </c>
      <c r="N41" s="1425">
        <f>('3. DL invest.n.pl.AR pr.'!M20-'2. DL invest.n.pl.BEZ pr.'!L20)*(1+$E41)</f>
        <v>0</v>
      </c>
      <c r="O41" s="1425">
        <f>('3. DL invest.n.pl.AR pr.'!N20-'2. DL invest.n.pl.BEZ pr.'!M20)*(1+$E41)</f>
        <v>0</v>
      </c>
      <c r="P41" s="1425">
        <f>('3. DL invest.n.pl.AR pr.'!O20-'2. DL invest.n.pl.BEZ pr.'!N20)*(1+$E41)</f>
        <v>0</v>
      </c>
      <c r="Q41" s="1425">
        <f>('3. DL invest.n.pl.AR pr.'!P20-'2. DL invest.n.pl.BEZ pr.'!O20)*(1+$E41)</f>
        <v>0</v>
      </c>
      <c r="R41" s="1425">
        <f>('3. DL invest.n.pl.AR pr.'!Q20-'2. DL invest.n.pl.BEZ pr.'!P20)*(1+$E41)</f>
        <v>0</v>
      </c>
      <c r="S41" s="1425">
        <f>('3. DL invest.n.pl.AR pr.'!R20-'2. DL invest.n.pl.BEZ pr.'!Q20)*(1+$E41)</f>
        <v>0</v>
      </c>
      <c r="T41" s="1425">
        <f>('3. DL invest.n.pl.AR pr.'!S20-'2. DL invest.n.pl.BEZ pr.'!R20)*(1+$E41)</f>
        <v>0</v>
      </c>
      <c r="U41" s="1425">
        <f>('3. DL invest.n.pl.AR pr.'!T20-'2. DL invest.n.pl.BEZ pr.'!S20)*(1+$E41)</f>
        <v>0</v>
      </c>
      <c r="V41" s="1460">
        <f t="shared" si="2"/>
        <v>0</v>
      </c>
      <c r="W41" s="1501"/>
    </row>
    <row r="42" spans="1:23">
      <c r="A42" s="768"/>
      <c r="B42" s="800" t="s">
        <v>1089</v>
      </c>
      <c r="C42" s="1985" t="str">
        <f>'3. DL invest.n.pl.AR pr.'!C21</f>
        <v>Darbības izmaksas....</v>
      </c>
      <c r="D42" s="790"/>
      <c r="E42" s="1660">
        <v>0</v>
      </c>
      <c r="F42" s="1342" t="s">
        <v>873</v>
      </c>
      <c r="G42" s="1425">
        <f>('3. DL invest.n.pl.AR pr.'!F21-'2. DL invest.n.pl.BEZ pr.'!E21)*(1+$E42)</f>
        <v>0</v>
      </c>
      <c r="H42" s="1425">
        <f>('3. DL invest.n.pl.AR pr.'!G21-'2. DL invest.n.pl.BEZ pr.'!F21)*(1+$E42)</f>
        <v>0</v>
      </c>
      <c r="I42" s="1425">
        <f>('3. DL invest.n.pl.AR pr.'!H21-'2. DL invest.n.pl.BEZ pr.'!G21)*(1+$E42)</f>
        <v>0</v>
      </c>
      <c r="J42" s="1425">
        <f>('3. DL invest.n.pl.AR pr.'!I21-'2. DL invest.n.pl.BEZ pr.'!H21)*(1+$E42)</f>
        <v>0</v>
      </c>
      <c r="K42" s="1425">
        <f>('3. DL invest.n.pl.AR pr.'!J21-'2. DL invest.n.pl.BEZ pr.'!I21)*(1+$E42)</f>
        <v>0</v>
      </c>
      <c r="L42" s="1425">
        <f>('3. DL invest.n.pl.AR pr.'!K21-'2. DL invest.n.pl.BEZ pr.'!J21)*(1+$E42)</f>
        <v>0</v>
      </c>
      <c r="M42" s="1425">
        <f>('3. DL invest.n.pl.AR pr.'!L21-'2. DL invest.n.pl.BEZ pr.'!K21)*(1+$E42)</f>
        <v>0</v>
      </c>
      <c r="N42" s="1425">
        <f>('3. DL invest.n.pl.AR pr.'!M21-'2. DL invest.n.pl.BEZ pr.'!L21)*(1+$E42)</f>
        <v>0</v>
      </c>
      <c r="O42" s="1425">
        <f>('3. DL invest.n.pl.AR pr.'!N21-'2. DL invest.n.pl.BEZ pr.'!M21)*(1+$E42)</f>
        <v>0</v>
      </c>
      <c r="P42" s="1425">
        <f>('3. DL invest.n.pl.AR pr.'!O21-'2. DL invest.n.pl.BEZ pr.'!N21)*(1+$E42)</f>
        <v>0</v>
      </c>
      <c r="Q42" s="1425">
        <f>('3. DL invest.n.pl.AR pr.'!P21-'2. DL invest.n.pl.BEZ pr.'!O21)*(1+$E42)</f>
        <v>0</v>
      </c>
      <c r="R42" s="1425">
        <f>('3. DL invest.n.pl.AR pr.'!Q21-'2. DL invest.n.pl.BEZ pr.'!P21)*(1+$E42)</f>
        <v>0</v>
      </c>
      <c r="S42" s="1425">
        <f>('3. DL invest.n.pl.AR pr.'!R21-'2. DL invest.n.pl.BEZ pr.'!Q21)*(1+$E42)</f>
        <v>0</v>
      </c>
      <c r="T42" s="1425">
        <f>('3. DL invest.n.pl.AR pr.'!S21-'2. DL invest.n.pl.BEZ pr.'!R21)*(1+$E42)</f>
        <v>0</v>
      </c>
      <c r="U42" s="1425">
        <f>('3. DL invest.n.pl.AR pr.'!T21-'2. DL invest.n.pl.BEZ pr.'!S21)*(1+$E42)</f>
        <v>0</v>
      </c>
      <c r="V42" s="1460">
        <f t="shared" si="2"/>
        <v>0</v>
      </c>
      <c r="W42" s="1501"/>
    </row>
    <row r="43" spans="1:23">
      <c r="A43" s="768"/>
      <c r="B43" s="800" t="s">
        <v>1090</v>
      </c>
      <c r="C43" s="1985" t="s">
        <v>1002</v>
      </c>
      <c r="D43" s="823"/>
      <c r="E43" s="1660">
        <v>0</v>
      </c>
      <c r="F43" s="1342" t="s">
        <v>873</v>
      </c>
      <c r="G43" s="1425">
        <f>('3. DL invest.n.pl.AR pr.'!F22-'2. DL invest.n.pl.BEZ pr.'!E22)*(1+$E43)</f>
        <v>0</v>
      </c>
      <c r="H43" s="1425">
        <f>('3. DL invest.n.pl.AR pr.'!G22-'2. DL invest.n.pl.BEZ pr.'!F22)*(1+$E43)</f>
        <v>0</v>
      </c>
      <c r="I43" s="1425">
        <f>('3. DL invest.n.pl.AR pr.'!H22-'2. DL invest.n.pl.BEZ pr.'!G22)*(1+$E43)</f>
        <v>0</v>
      </c>
      <c r="J43" s="1425">
        <f>('3. DL invest.n.pl.AR pr.'!I22-'2. DL invest.n.pl.BEZ pr.'!H22)*(1+$E43)</f>
        <v>0</v>
      </c>
      <c r="K43" s="1425">
        <f>('3. DL invest.n.pl.AR pr.'!J22-'2. DL invest.n.pl.BEZ pr.'!I22)*(1+$E43)</f>
        <v>0</v>
      </c>
      <c r="L43" s="1425">
        <f>('3. DL invest.n.pl.AR pr.'!K22-'2. DL invest.n.pl.BEZ pr.'!J22)*(1+$E43)</f>
        <v>0</v>
      </c>
      <c r="M43" s="1425">
        <f>('3. DL invest.n.pl.AR pr.'!L22-'2. DL invest.n.pl.BEZ pr.'!K22)*(1+$E43)</f>
        <v>0</v>
      </c>
      <c r="N43" s="1425">
        <f>('3. DL invest.n.pl.AR pr.'!M22-'2. DL invest.n.pl.BEZ pr.'!L22)*(1+$E43)</f>
        <v>0</v>
      </c>
      <c r="O43" s="1425">
        <f>('3. DL invest.n.pl.AR pr.'!N22-'2. DL invest.n.pl.BEZ pr.'!M22)*(1+$E43)</f>
        <v>0</v>
      </c>
      <c r="P43" s="1425">
        <f>('3. DL invest.n.pl.AR pr.'!O22-'2. DL invest.n.pl.BEZ pr.'!N22)*(1+$E43)</f>
        <v>0</v>
      </c>
      <c r="Q43" s="1425">
        <f>('3. DL invest.n.pl.AR pr.'!P22-'2. DL invest.n.pl.BEZ pr.'!O22)*(1+$E43)</f>
        <v>0</v>
      </c>
      <c r="R43" s="1425">
        <f>('3. DL invest.n.pl.AR pr.'!Q22-'2. DL invest.n.pl.BEZ pr.'!P22)*(1+$E43)</f>
        <v>0</v>
      </c>
      <c r="S43" s="1425">
        <f>('3. DL invest.n.pl.AR pr.'!R22-'2. DL invest.n.pl.BEZ pr.'!Q22)*(1+$E43)</f>
        <v>0</v>
      </c>
      <c r="T43" s="1425">
        <f>('3. DL invest.n.pl.AR pr.'!S22-'2. DL invest.n.pl.BEZ pr.'!R22)*(1+$E43)</f>
        <v>0</v>
      </c>
      <c r="U43" s="1425">
        <f>('3. DL invest.n.pl.AR pr.'!T22-'2. DL invest.n.pl.BEZ pr.'!S22)*(1+$E43)</f>
        <v>0</v>
      </c>
      <c r="V43" s="1460">
        <f t="shared" si="2"/>
        <v>0</v>
      </c>
      <c r="W43" s="1501"/>
    </row>
    <row r="44" spans="1:23" s="789" customFormat="1">
      <c r="A44" s="791"/>
      <c r="B44" s="792" t="s">
        <v>48</v>
      </c>
      <c r="C44" s="792" t="s">
        <v>8</v>
      </c>
      <c r="D44" s="792"/>
      <c r="E44" s="1660">
        <v>0.01</v>
      </c>
      <c r="F44" s="1342" t="s">
        <v>873</v>
      </c>
      <c r="G44" s="1489">
        <f>'10. AL soc.ekonom. anal.'!E15*(1+$E44)</f>
        <v>-35299.5</v>
      </c>
      <c r="H44" s="1489">
        <f>'10. AL soc.ekonom. anal.'!F15*(1+$E44)</f>
        <v>-9559.65</v>
      </c>
      <c r="I44" s="1489">
        <f>'10. AL soc.ekonom. anal.'!G15*(1+$E44)</f>
        <v>-28987</v>
      </c>
      <c r="J44" s="1489">
        <f>'10. AL soc.ekonom. anal.'!H15*(1+$E44)</f>
        <v>0</v>
      </c>
      <c r="K44" s="1489">
        <f>'10. AL soc.ekonom. anal.'!I15*(1+$E44)</f>
        <v>0</v>
      </c>
      <c r="L44" s="1489">
        <f>'10. AL soc.ekonom. anal.'!J15*(1+$E44)</f>
        <v>0</v>
      </c>
      <c r="M44" s="1489">
        <f>'10. AL soc.ekonom. anal.'!K15*(1+$E44)</f>
        <v>0</v>
      </c>
      <c r="N44" s="1489">
        <f>'10. AL soc.ekonom. anal.'!L15*(1+$E44)</f>
        <v>0</v>
      </c>
      <c r="O44" s="1489">
        <f>'10. AL soc.ekonom. anal.'!M15*(1+$E44)</f>
        <v>0</v>
      </c>
      <c r="P44" s="1489">
        <f>'10. AL soc.ekonom. anal.'!N15*(1+$E44)</f>
        <v>0</v>
      </c>
      <c r="Q44" s="1489">
        <f>'10. AL soc.ekonom. anal.'!O15*(1+$E44)</f>
        <v>0</v>
      </c>
      <c r="R44" s="1489">
        <f>'10. AL soc.ekonom. anal.'!P15*(1+$E44)</f>
        <v>0</v>
      </c>
      <c r="S44" s="1489">
        <f>'10. AL soc.ekonom. anal.'!Q15*(1+$E44)</f>
        <v>0</v>
      </c>
      <c r="T44" s="1489">
        <f>'10. AL soc.ekonom. anal.'!R15*(1+$E44)</f>
        <v>0</v>
      </c>
      <c r="U44" s="1489">
        <f>'10. AL soc.ekonom. anal.'!S15*(1+$E44)</f>
        <v>0</v>
      </c>
      <c r="V44" s="1460">
        <f t="shared" si="2"/>
        <v>-73846.149999999994</v>
      </c>
      <c r="W44" s="1501" t="b">
        <f>V44='3. DL invest.n.pl.AR pr.'!U23</f>
        <v>0</v>
      </c>
    </row>
    <row r="45" spans="1:23" s="799" customFormat="1">
      <c r="A45" s="797"/>
      <c r="B45" s="1685" t="s">
        <v>129</v>
      </c>
      <c r="C45" s="814" t="str">
        <f>'6.DL  jut. analīze-Inv.'!C24</f>
        <v>Investīciju izmaksas bez neparedzētajām izmaksām</v>
      </c>
      <c r="D45" s="798"/>
      <c r="E45" s="1482"/>
      <c r="F45" s="1342" t="s">
        <v>873</v>
      </c>
      <c r="G45" s="1489">
        <f>SUM(G46:G46)</f>
        <v>-31764.5</v>
      </c>
      <c r="H45" s="1489">
        <f t="shared" ref="H45:U45" si="11">SUM(H46:H46)</f>
        <v>-6024.65</v>
      </c>
      <c r="I45" s="1489">
        <f t="shared" si="11"/>
        <v>-25452</v>
      </c>
      <c r="J45" s="1489">
        <f t="shared" si="11"/>
        <v>0</v>
      </c>
      <c r="K45" s="1489">
        <f t="shared" si="11"/>
        <v>0</v>
      </c>
      <c r="L45" s="1489">
        <f t="shared" si="11"/>
        <v>0</v>
      </c>
      <c r="M45" s="1489">
        <f t="shared" si="11"/>
        <v>0</v>
      </c>
      <c r="N45" s="1489">
        <f t="shared" si="11"/>
        <v>0</v>
      </c>
      <c r="O45" s="1489">
        <f t="shared" si="11"/>
        <v>0</v>
      </c>
      <c r="P45" s="1489">
        <f t="shared" si="11"/>
        <v>0</v>
      </c>
      <c r="Q45" s="1489">
        <f t="shared" si="11"/>
        <v>0</v>
      </c>
      <c r="R45" s="1489">
        <f t="shared" si="11"/>
        <v>0</v>
      </c>
      <c r="S45" s="1489">
        <f t="shared" si="11"/>
        <v>0</v>
      </c>
      <c r="T45" s="1489">
        <f t="shared" si="11"/>
        <v>0</v>
      </c>
      <c r="U45" s="1489">
        <f t="shared" si="11"/>
        <v>0</v>
      </c>
      <c r="V45" s="1460">
        <f t="shared" si="2"/>
        <v>-63241.15</v>
      </c>
      <c r="W45" s="1501"/>
    </row>
    <row r="46" spans="1:23">
      <c r="A46" s="768"/>
      <c r="B46" s="800" t="s">
        <v>131</v>
      </c>
      <c r="C46" s="1678" t="s">
        <v>67</v>
      </c>
      <c r="D46" s="790"/>
      <c r="E46" s="1660">
        <v>0.01</v>
      </c>
      <c r="F46" s="1342" t="s">
        <v>873</v>
      </c>
      <c r="G46" s="1425">
        <f>'3. DL invest.n.pl.AR pr.'!F25*(1+$E46)</f>
        <v>-31764.5</v>
      </c>
      <c r="H46" s="1425">
        <f>'3. DL invest.n.pl.AR pr.'!G25*(1+$E46)</f>
        <v>-6024.65</v>
      </c>
      <c r="I46" s="1425">
        <f>'3. DL invest.n.pl.AR pr.'!H25*(1+$E46)</f>
        <v>-25452</v>
      </c>
      <c r="J46" s="1425">
        <f>'3. DL invest.n.pl.AR pr.'!I25*(1+$E46)</f>
        <v>0</v>
      </c>
      <c r="K46" s="1425">
        <f>'3. DL invest.n.pl.AR pr.'!J25*(1+$E46)</f>
        <v>0</v>
      </c>
      <c r="L46" s="1425">
        <f>'3. DL invest.n.pl.AR pr.'!K25*(1+$E46)</f>
        <v>0</v>
      </c>
      <c r="M46" s="1425">
        <f>'3. DL invest.n.pl.AR pr.'!L25*(1+$E46)</f>
        <v>0</v>
      </c>
      <c r="N46" s="1425">
        <f>'3. DL invest.n.pl.AR pr.'!M25*(1+$E46)</f>
        <v>0</v>
      </c>
      <c r="O46" s="1425">
        <f>'3. DL invest.n.pl.AR pr.'!N25*(1+$E46)</f>
        <v>0</v>
      </c>
      <c r="P46" s="1425">
        <f>'3. DL invest.n.pl.AR pr.'!O25*(1+$E46)</f>
        <v>0</v>
      </c>
      <c r="Q46" s="1425">
        <f>'3. DL invest.n.pl.AR pr.'!P25*(1+$E46)</f>
        <v>0</v>
      </c>
      <c r="R46" s="1425">
        <f>'3. DL invest.n.pl.AR pr.'!Q25*(1+$E46)</f>
        <v>0</v>
      </c>
      <c r="S46" s="1425">
        <f>'3. DL invest.n.pl.AR pr.'!R25*(1+$E46)</f>
        <v>0</v>
      </c>
      <c r="T46" s="1425">
        <f>'3. DL invest.n.pl.AR pr.'!S25*(1+$E46)</f>
        <v>0</v>
      </c>
      <c r="U46" s="1425">
        <f>'3. DL invest.n.pl.AR pr.'!T25*(1+$E46)</f>
        <v>0</v>
      </c>
      <c r="V46" s="1460">
        <f t="shared" si="2"/>
        <v>-63241.15</v>
      </c>
      <c r="W46" s="1501"/>
    </row>
    <row r="47" spans="1:23" s="799" customFormat="1">
      <c r="A47" s="797"/>
      <c r="B47" s="792" t="s">
        <v>130</v>
      </c>
      <c r="C47" s="814" t="str">
        <f>'6.DL  jut. analīze-Inv.'!C26</f>
        <v>Neparedzētās izmaksas</v>
      </c>
      <c r="D47" s="798"/>
      <c r="E47" s="1482"/>
      <c r="F47" s="1342" t="s">
        <v>873</v>
      </c>
      <c r="G47" s="1489">
        <f>'3. DL invest.n.pl.AR pr.'!F28</f>
        <v>-3500</v>
      </c>
      <c r="H47" s="1489">
        <f>'3. DL invest.n.pl.AR pr.'!G28</f>
        <v>-3500</v>
      </c>
      <c r="I47" s="1489">
        <f>'3. DL invest.n.pl.AR pr.'!H28</f>
        <v>-3500</v>
      </c>
      <c r="J47" s="1489">
        <f>'3. DL invest.n.pl.AR pr.'!I28</f>
        <v>0</v>
      </c>
      <c r="K47" s="1489">
        <f>'3. DL invest.n.pl.AR pr.'!J28</f>
        <v>0</v>
      </c>
      <c r="L47" s="1489">
        <f>'3. DL invest.n.pl.AR pr.'!K28</f>
        <v>0</v>
      </c>
      <c r="M47" s="1489">
        <f>'3. DL invest.n.pl.AR pr.'!L28</f>
        <v>0</v>
      </c>
      <c r="N47" s="1489">
        <f>'3. DL invest.n.pl.AR pr.'!M28</f>
        <v>0</v>
      </c>
      <c r="O47" s="1489">
        <f>'3. DL invest.n.pl.AR pr.'!N28</f>
        <v>0</v>
      </c>
      <c r="P47" s="1489">
        <f>'3. DL invest.n.pl.AR pr.'!O28</f>
        <v>0</v>
      </c>
      <c r="Q47" s="1489">
        <f>'3. DL invest.n.pl.AR pr.'!P28</f>
        <v>0</v>
      </c>
      <c r="R47" s="1489">
        <f>'3. DL invest.n.pl.AR pr.'!Q28</f>
        <v>0</v>
      </c>
      <c r="S47" s="1489">
        <f>'3. DL invest.n.pl.AR pr.'!R28</f>
        <v>0</v>
      </c>
      <c r="T47" s="1489">
        <f>'3. DL invest.n.pl.AR pr.'!S28</f>
        <v>0</v>
      </c>
      <c r="U47" s="1489">
        <f>'3. DL invest.n.pl.AR pr.'!T28</f>
        <v>0</v>
      </c>
      <c r="V47" s="1460">
        <f t="shared" si="2"/>
        <v>-10500</v>
      </c>
      <c r="W47" s="1501"/>
    </row>
    <row r="48" spans="1:23" s="789" customFormat="1">
      <c r="A48" s="791"/>
      <c r="B48" s="792" t="s">
        <v>49</v>
      </c>
      <c r="C48" s="792" t="s">
        <v>85</v>
      </c>
      <c r="D48" s="792"/>
      <c r="E48" s="1660">
        <v>0.01</v>
      </c>
      <c r="F48" s="1342" t="s">
        <v>873</v>
      </c>
      <c r="G48" s="1489">
        <f>SUM(G49:G51)*(1+$E$48)</f>
        <v>50.5</v>
      </c>
      <c r="H48" s="1489">
        <f t="shared" ref="H48:I48" si="12">SUM(H49:H51)*(1+$E$48)</f>
        <v>50.5</v>
      </c>
      <c r="I48" s="1489">
        <f t="shared" si="12"/>
        <v>50.5</v>
      </c>
      <c r="J48" s="1489">
        <f>SUM(J49:J51)*(1+$E$48)</f>
        <v>50.5</v>
      </c>
      <c r="K48" s="1489">
        <f t="shared" ref="K48:U48" si="13">SUM(K49:K51)*(1+$E$48)</f>
        <v>50.5</v>
      </c>
      <c r="L48" s="1489">
        <f t="shared" si="13"/>
        <v>50.5</v>
      </c>
      <c r="M48" s="1489">
        <f t="shared" si="13"/>
        <v>50.5</v>
      </c>
      <c r="N48" s="1489">
        <f t="shared" si="13"/>
        <v>50.5</v>
      </c>
      <c r="O48" s="1489">
        <f>SUM(O49:O51)*(1+$E$48)</f>
        <v>50.5</v>
      </c>
      <c r="P48" s="1489">
        <f t="shared" si="13"/>
        <v>50.5</v>
      </c>
      <c r="Q48" s="1489">
        <f t="shared" si="13"/>
        <v>50.5</v>
      </c>
      <c r="R48" s="1489">
        <f t="shared" si="13"/>
        <v>50.5</v>
      </c>
      <c r="S48" s="1489">
        <f t="shared" si="13"/>
        <v>50.5</v>
      </c>
      <c r="T48" s="1489">
        <f t="shared" si="13"/>
        <v>50.5</v>
      </c>
      <c r="U48" s="1489">
        <f t="shared" si="13"/>
        <v>50.5</v>
      </c>
      <c r="V48" s="1460">
        <f t="shared" si="2"/>
        <v>757.5</v>
      </c>
      <c r="W48" s="1501"/>
    </row>
    <row r="49" spans="1:23">
      <c r="A49" s="768"/>
      <c r="B49" s="800" t="s">
        <v>132</v>
      </c>
      <c r="C49" s="800" t="str">
        <f>'10. AL soc.ekonom. anal.'!C22</f>
        <v>Investīciju izmaksu darbaspēka izmaksu fiskālās korekcijas</v>
      </c>
      <c r="D49" s="790"/>
      <c r="E49" s="1660">
        <v>0</v>
      </c>
      <c r="F49" s="1342" t="s">
        <v>873</v>
      </c>
      <c r="G49" s="1425">
        <f>'10. AL soc.ekonom. anal.'!E22*(1+$E49)</f>
        <v>0</v>
      </c>
      <c r="H49" s="1425">
        <f>'10. AL soc.ekonom. anal.'!F22*(1+$E49)</f>
        <v>0</v>
      </c>
      <c r="I49" s="1425">
        <f>'10. AL soc.ekonom. anal.'!G22*(1+$E49)</f>
        <v>0</v>
      </c>
      <c r="J49" s="1425">
        <f>'10. AL soc.ekonom. anal.'!H22*(1+$E49)</f>
        <v>0</v>
      </c>
      <c r="K49" s="1425">
        <f>'10. AL soc.ekonom. anal.'!I22*(1+$E49)</f>
        <v>0</v>
      </c>
      <c r="L49" s="1425">
        <f>'10. AL soc.ekonom. anal.'!J22*(1+$E49)</f>
        <v>0</v>
      </c>
      <c r="M49" s="1425">
        <f>'10. AL soc.ekonom. anal.'!K22*(1+$E49)</f>
        <v>0</v>
      </c>
      <c r="N49" s="1425">
        <f>'10. AL soc.ekonom. anal.'!L22*(1+$E49)</f>
        <v>0</v>
      </c>
      <c r="O49" s="1425">
        <f>'10. AL soc.ekonom. anal.'!M22*(1+$E49)</f>
        <v>0</v>
      </c>
      <c r="P49" s="1425">
        <f>'10. AL soc.ekonom. anal.'!N22*(1+$E49)</f>
        <v>0</v>
      </c>
      <c r="Q49" s="1425">
        <f>'10. AL soc.ekonom. anal.'!O22*(1+$E49)</f>
        <v>0</v>
      </c>
      <c r="R49" s="1425">
        <f>'10. AL soc.ekonom. anal.'!P22*(1+$E49)</f>
        <v>0</v>
      </c>
      <c r="S49" s="1425">
        <f>'10. AL soc.ekonom. anal.'!Q22*(1+$E49)</f>
        <v>0</v>
      </c>
      <c r="T49" s="1425">
        <f>'10. AL soc.ekonom. anal.'!R22*(1+$E49)</f>
        <v>0</v>
      </c>
      <c r="U49" s="1425">
        <f>'10. AL soc.ekonom. anal.'!S22*(1+$E49)</f>
        <v>0</v>
      </c>
      <c r="V49" s="1460">
        <f t="shared" si="2"/>
        <v>0</v>
      </c>
      <c r="W49" s="1501"/>
    </row>
    <row r="50" spans="1:23">
      <c r="A50" s="768"/>
      <c r="B50" s="1683" t="s">
        <v>133</v>
      </c>
      <c r="C50" s="800" t="str">
        <f>'10. AL soc.ekonom. anal.'!C23</f>
        <v>Projekta darbības izmaksu darbaspēka izmaksu fiskālās korekcijas</v>
      </c>
      <c r="D50" s="790"/>
      <c r="E50" s="1660">
        <v>0</v>
      </c>
      <c r="F50" s="1342" t="s">
        <v>873</v>
      </c>
      <c r="G50" s="1425">
        <f>'10. AL soc.ekonom. anal.'!E23*(1+$E50)</f>
        <v>0</v>
      </c>
      <c r="H50" s="1425">
        <f>'10. AL soc.ekonom. anal.'!F23*(1+$E50)</f>
        <v>0</v>
      </c>
      <c r="I50" s="1425">
        <f>'10. AL soc.ekonom. anal.'!G23*(1+$E50)</f>
        <v>0</v>
      </c>
      <c r="J50" s="1425">
        <f>'10. AL soc.ekonom. anal.'!H23*(1+$E50)</f>
        <v>0</v>
      </c>
      <c r="K50" s="1425">
        <f>'10. AL soc.ekonom. anal.'!I23*(1+$E50)</f>
        <v>0</v>
      </c>
      <c r="L50" s="1425">
        <f>'10. AL soc.ekonom. anal.'!J23*(1+$E50)</f>
        <v>0</v>
      </c>
      <c r="M50" s="1425">
        <f>'10. AL soc.ekonom. anal.'!K23*(1+$E50)</f>
        <v>0</v>
      </c>
      <c r="N50" s="1425">
        <f>'10. AL soc.ekonom. anal.'!L23*(1+$E50)</f>
        <v>0</v>
      </c>
      <c r="O50" s="1425">
        <f>'10. AL soc.ekonom. anal.'!M23*(1+$E50)</f>
        <v>0</v>
      </c>
      <c r="P50" s="1425">
        <f>'10. AL soc.ekonom. anal.'!N23*(1+$E50)</f>
        <v>0</v>
      </c>
      <c r="Q50" s="1425">
        <f>'10. AL soc.ekonom. anal.'!O23*(1+$E50)</f>
        <v>0</v>
      </c>
      <c r="R50" s="1425">
        <f>'10. AL soc.ekonom. anal.'!P23*(1+$E50)</f>
        <v>0</v>
      </c>
      <c r="S50" s="1425">
        <f>'10. AL soc.ekonom. anal.'!Q23*(1+$E50)</f>
        <v>0</v>
      </c>
      <c r="T50" s="1425">
        <f>'10. AL soc.ekonom. anal.'!R23*(1+$E50)</f>
        <v>0</v>
      </c>
      <c r="U50" s="1425">
        <f>'10. AL soc.ekonom. anal.'!S23*(1+$E50)</f>
        <v>0</v>
      </c>
      <c r="V50" s="1460">
        <f t="shared" si="2"/>
        <v>0</v>
      </c>
      <c r="W50" s="1501"/>
    </row>
    <row r="51" spans="1:23">
      <c r="A51" s="768"/>
      <c r="B51" s="1683" t="s">
        <v>845</v>
      </c>
      <c r="C51" s="1678" t="s">
        <v>892</v>
      </c>
      <c r="D51" s="790"/>
      <c r="E51" s="1660">
        <v>0</v>
      </c>
      <c r="F51" s="1342" t="s">
        <v>873</v>
      </c>
      <c r="G51" s="1425">
        <f>'10. AL soc.ekonom. anal.'!E24*(1+$E51)</f>
        <v>50</v>
      </c>
      <c r="H51" s="1425">
        <f>'10. AL soc.ekonom. anal.'!F24*(1+$E51)</f>
        <v>50</v>
      </c>
      <c r="I51" s="1425">
        <f>'10. AL soc.ekonom. anal.'!G24*(1+$E51)</f>
        <v>50</v>
      </c>
      <c r="J51" s="1425">
        <f>'10. AL soc.ekonom. anal.'!H24*(1+$E51)</f>
        <v>50</v>
      </c>
      <c r="K51" s="1425">
        <f>'10. AL soc.ekonom. anal.'!I24*(1+$E51)</f>
        <v>50</v>
      </c>
      <c r="L51" s="1425">
        <f>'10. AL soc.ekonom. anal.'!J24*(1+$E51)</f>
        <v>50</v>
      </c>
      <c r="M51" s="1425">
        <f>'10. AL soc.ekonom. anal.'!K24*(1+$E51)</f>
        <v>50</v>
      </c>
      <c r="N51" s="1425">
        <f>'10. AL soc.ekonom. anal.'!L24*(1+$E51)</f>
        <v>50</v>
      </c>
      <c r="O51" s="1425">
        <f>'10. AL soc.ekonom. anal.'!M24*(1+$E51)</f>
        <v>50</v>
      </c>
      <c r="P51" s="1425">
        <f>'10. AL soc.ekonom. anal.'!N24*(1+$E51)</f>
        <v>50</v>
      </c>
      <c r="Q51" s="1425">
        <f>'10. AL soc.ekonom. anal.'!O24*(1+$E51)</f>
        <v>50</v>
      </c>
      <c r="R51" s="1425">
        <f>'10. AL soc.ekonom. anal.'!P24*(1+$E51)</f>
        <v>50</v>
      </c>
      <c r="S51" s="1425">
        <f>'10. AL soc.ekonom. anal.'!Q24*(1+$E51)</f>
        <v>50</v>
      </c>
      <c r="T51" s="1425">
        <f>'10. AL soc.ekonom. anal.'!R24*(1+$E51)</f>
        <v>50</v>
      </c>
      <c r="U51" s="1425">
        <f>'10. AL soc.ekonom. anal.'!S24*(1+$E51)</f>
        <v>50</v>
      </c>
      <c r="V51" s="1460">
        <f t="shared" si="2"/>
        <v>750</v>
      </c>
      <c r="W51" s="1501"/>
    </row>
    <row r="52" spans="1:23" s="789" customFormat="1">
      <c r="A52" s="791"/>
      <c r="B52" s="1684" t="s">
        <v>134</v>
      </c>
      <c r="C52" s="792" t="s">
        <v>124</v>
      </c>
      <c r="D52" s="796"/>
      <c r="E52" s="1984"/>
      <c r="F52" s="1342" t="s">
        <v>873</v>
      </c>
      <c r="G52" s="1489">
        <f t="shared" ref="G52:U52" si="14">G48+G44+G37+G27</f>
        <v>-35799</v>
      </c>
      <c r="H52" s="1489">
        <f t="shared" si="14"/>
        <v>-10059.15</v>
      </c>
      <c r="I52" s="1489">
        <f t="shared" si="14"/>
        <v>-29486.5</v>
      </c>
      <c r="J52" s="1489">
        <f t="shared" si="14"/>
        <v>-499.5</v>
      </c>
      <c r="K52" s="1489">
        <f t="shared" si="14"/>
        <v>-499.5</v>
      </c>
      <c r="L52" s="1489">
        <f t="shared" si="14"/>
        <v>-499.5</v>
      </c>
      <c r="M52" s="1489">
        <f t="shared" si="14"/>
        <v>-499.5</v>
      </c>
      <c r="N52" s="1489">
        <f t="shared" si="14"/>
        <v>-499.5</v>
      </c>
      <c r="O52" s="1489">
        <f t="shared" si="14"/>
        <v>-499.5</v>
      </c>
      <c r="P52" s="1489">
        <f t="shared" si="14"/>
        <v>-499.5</v>
      </c>
      <c r="Q52" s="1489">
        <f t="shared" si="14"/>
        <v>-499.5</v>
      </c>
      <c r="R52" s="1489">
        <f t="shared" si="14"/>
        <v>-499.5</v>
      </c>
      <c r="S52" s="1489">
        <f t="shared" si="14"/>
        <v>-499.5</v>
      </c>
      <c r="T52" s="1489">
        <f t="shared" si="14"/>
        <v>-499.5</v>
      </c>
      <c r="U52" s="1489">
        <f t="shared" si="14"/>
        <v>-499.5</v>
      </c>
      <c r="V52" s="1460">
        <f t="shared" si="2"/>
        <v>-81338.649999999994</v>
      </c>
      <c r="W52" s="1501"/>
    </row>
    <row r="53" spans="1:23" s="789" customFormat="1">
      <c r="A53" s="801"/>
      <c r="B53" s="818" t="s">
        <v>135</v>
      </c>
      <c r="C53" s="802" t="s">
        <v>12</v>
      </c>
      <c r="D53" s="802"/>
      <c r="E53" s="1483"/>
      <c r="F53" s="803" t="s">
        <v>873</v>
      </c>
      <c r="G53" s="1491">
        <f t="shared" ref="G53:U53" si="15">G26+G52</f>
        <v>-26349</v>
      </c>
      <c r="H53" s="1491">
        <f t="shared" si="15"/>
        <v>-609.14999999999964</v>
      </c>
      <c r="I53" s="1491">
        <f t="shared" si="15"/>
        <v>-20036.5</v>
      </c>
      <c r="J53" s="1491">
        <f t="shared" si="15"/>
        <v>8950.5</v>
      </c>
      <c r="K53" s="1491">
        <f t="shared" si="15"/>
        <v>8950.5</v>
      </c>
      <c r="L53" s="1491">
        <f t="shared" si="15"/>
        <v>8950.5</v>
      </c>
      <c r="M53" s="1491">
        <f t="shared" si="15"/>
        <v>8950.5</v>
      </c>
      <c r="N53" s="1491">
        <f t="shared" si="15"/>
        <v>8950.5</v>
      </c>
      <c r="O53" s="1491">
        <f t="shared" si="15"/>
        <v>8950.5</v>
      </c>
      <c r="P53" s="1491">
        <f t="shared" si="15"/>
        <v>8950.5</v>
      </c>
      <c r="Q53" s="1491">
        <f t="shared" si="15"/>
        <v>8950.5</v>
      </c>
      <c r="R53" s="1491">
        <f t="shared" si="15"/>
        <v>8950.5</v>
      </c>
      <c r="S53" s="1491">
        <f t="shared" si="15"/>
        <v>8950.5</v>
      </c>
      <c r="T53" s="1491">
        <f t="shared" si="15"/>
        <v>8950.5</v>
      </c>
      <c r="U53" s="1491">
        <f t="shared" si="15"/>
        <v>9950.5</v>
      </c>
      <c r="V53" s="1463">
        <f t="shared" si="2"/>
        <v>61411.35</v>
      </c>
      <c r="W53" s="1501"/>
    </row>
    <row r="54" spans="1:23">
      <c r="A54" s="1420">
        <v>2</v>
      </c>
      <c r="B54" s="1421" t="s">
        <v>13</v>
      </c>
      <c r="C54" s="1421"/>
      <c r="D54" s="1421"/>
      <c r="E54" s="1421"/>
      <c r="F54" s="1470"/>
      <c r="G54" s="1500"/>
      <c r="H54" s="1500"/>
      <c r="I54" s="1500"/>
      <c r="J54" s="1500"/>
      <c r="K54" s="1500"/>
      <c r="L54" s="1500"/>
      <c r="M54" s="1500"/>
      <c r="N54" s="1500"/>
      <c r="O54" s="1500"/>
      <c r="P54" s="1500"/>
      <c r="Q54" s="1500"/>
      <c r="R54" s="1500"/>
      <c r="S54" s="1500"/>
      <c r="T54" s="1500"/>
      <c r="U54" s="1500"/>
      <c r="V54" s="1452"/>
      <c r="W54" s="789"/>
    </row>
    <row r="55" spans="1:23" ht="13.5" thickBot="1">
      <c r="A55" s="762"/>
      <c r="B55" s="762"/>
      <c r="C55" s="762"/>
      <c r="D55" s="762"/>
      <c r="E55" s="762"/>
      <c r="F55" s="763"/>
      <c r="G55" s="1347"/>
      <c r="H55" s="1347"/>
      <c r="I55" s="1347"/>
      <c r="J55" s="1347"/>
      <c r="K55" s="1347"/>
      <c r="L55" s="1347"/>
      <c r="M55" s="1347"/>
      <c r="N55" s="1347"/>
      <c r="O55" s="1347"/>
      <c r="P55" s="1347"/>
      <c r="Q55" s="1347"/>
      <c r="R55" s="1347"/>
      <c r="S55" s="1347"/>
      <c r="T55" s="1347"/>
      <c r="U55" s="1347"/>
      <c r="V55" s="762"/>
      <c r="W55" s="789"/>
    </row>
    <row r="56" spans="1:23" s="808" customFormat="1" ht="15">
      <c r="A56" s="1420"/>
      <c r="B56" s="1421"/>
      <c r="C56" s="1421" t="s">
        <v>153</v>
      </c>
      <c r="D56" s="1421"/>
      <c r="E56" s="1421"/>
      <c r="F56" s="1504" t="s">
        <v>15</v>
      </c>
      <c r="G56" s="1505">
        <f>Titullapa!C82</f>
        <v>0.04</v>
      </c>
      <c r="I56" s="804"/>
      <c r="J56" s="807"/>
      <c r="K56" s="807"/>
      <c r="L56" s="807"/>
      <c r="M56" s="807"/>
      <c r="N56" s="807"/>
      <c r="O56" s="807"/>
      <c r="P56" s="807"/>
      <c r="Q56" s="807"/>
      <c r="R56" s="807"/>
      <c r="S56" s="807"/>
      <c r="T56" s="807"/>
      <c r="U56" s="807"/>
      <c r="V56" s="804"/>
      <c r="W56" s="789"/>
    </row>
    <row r="57" spans="1:23">
      <c r="A57" s="1534"/>
      <c r="B57" s="1534"/>
      <c r="C57" s="1535" t="s">
        <v>17</v>
      </c>
      <c r="D57" s="1535"/>
      <c r="E57" s="1535"/>
      <c r="F57" s="1506" t="s">
        <v>18</v>
      </c>
      <c r="G57" s="1507">
        <f>'13. RL Sociālekonomiskā an.'!F17</f>
        <v>0</v>
      </c>
      <c r="H57" s="1507">
        <f>'13. RL Sociālekonomiskā an.'!G17</f>
        <v>1</v>
      </c>
      <c r="I57" s="1507">
        <f>'13. RL Sociālekonomiskā an.'!H17</f>
        <v>2</v>
      </c>
      <c r="J57" s="1507">
        <f>'13. RL Sociālekonomiskā an.'!I17</f>
        <v>3</v>
      </c>
      <c r="K57" s="1507">
        <f>'13. RL Sociālekonomiskā an.'!J17</f>
        <v>4</v>
      </c>
      <c r="L57" s="1507">
        <f>'13. RL Sociālekonomiskā an.'!K17</f>
        <v>5</v>
      </c>
      <c r="M57" s="1507">
        <f>'13. RL Sociālekonomiskā an.'!L17</f>
        <v>6</v>
      </c>
      <c r="N57" s="1507">
        <f>'13. RL Sociālekonomiskā an.'!M17</f>
        <v>7</v>
      </c>
      <c r="O57" s="1507">
        <f>'13. RL Sociālekonomiskā an.'!N17</f>
        <v>8</v>
      </c>
      <c r="P57" s="1507">
        <f>'13. RL Sociālekonomiskā an.'!O17</f>
        <v>9</v>
      </c>
      <c r="Q57" s="1507">
        <f>'13. RL Sociālekonomiskā an.'!P17</f>
        <v>10</v>
      </c>
      <c r="R57" s="1507">
        <f>'13. RL Sociālekonomiskā an.'!Q17</f>
        <v>11</v>
      </c>
      <c r="S57" s="1507">
        <f>'13. RL Sociālekonomiskā an.'!R17</f>
        <v>12</v>
      </c>
      <c r="T57" s="1507">
        <f>'13. RL Sociālekonomiskā an.'!S17</f>
        <v>13</v>
      </c>
      <c r="U57" s="1507">
        <f>'13. RL Sociālekonomiskā an.'!T17</f>
        <v>14</v>
      </c>
      <c r="V57" s="762"/>
      <c r="W57" s="789"/>
    </row>
    <row r="58" spans="1:23">
      <c r="A58" s="1534"/>
      <c r="B58" s="1534"/>
      <c r="C58" s="1535" t="s">
        <v>20</v>
      </c>
      <c r="D58" s="1535"/>
      <c r="E58" s="1535"/>
      <c r="F58" s="1508" t="s">
        <v>21</v>
      </c>
      <c r="G58" s="1509">
        <f t="shared" ref="G58:U58" si="16">1/(1+$G$56)^G57</f>
        <v>1</v>
      </c>
      <c r="H58" s="1509">
        <f t="shared" si="16"/>
        <v>0.96153846153846145</v>
      </c>
      <c r="I58" s="1509">
        <f t="shared" si="16"/>
        <v>0.92455621301775137</v>
      </c>
      <c r="J58" s="1509">
        <f t="shared" si="16"/>
        <v>0.88899635867091487</v>
      </c>
      <c r="K58" s="1509">
        <f t="shared" si="16"/>
        <v>0.85480419102972571</v>
      </c>
      <c r="L58" s="1509">
        <f t="shared" si="16"/>
        <v>0.82192710675935154</v>
      </c>
      <c r="M58" s="1509">
        <f t="shared" si="16"/>
        <v>0.79031452573014571</v>
      </c>
      <c r="N58" s="1509">
        <f t="shared" si="16"/>
        <v>0.75991781320206331</v>
      </c>
      <c r="O58" s="1509">
        <f t="shared" si="16"/>
        <v>0.73069020500198378</v>
      </c>
      <c r="P58" s="1509">
        <f t="shared" si="16"/>
        <v>0.70258673557883045</v>
      </c>
      <c r="Q58" s="1509">
        <f t="shared" si="16"/>
        <v>0.67556416882579851</v>
      </c>
      <c r="R58" s="1509">
        <f t="shared" si="16"/>
        <v>0.6495809315632679</v>
      </c>
      <c r="S58" s="1509">
        <f t="shared" si="16"/>
        <v>0.62459704958006512</v>
      </c>
      <c r="T58" s="1509">
        <f t="shared" si="16"/>
        <v>0.600574086134678</v>
      </c>
      <c r="U58" s="1509">
        <f t="shared" si="16"/>
        <v>0.57747508282180582</v>
      </c>
      <c r="V58" s="762"/>
    </row>
    <row r="59" spans="1:23">
      <c r="A59" s="765"/>
      <c r="B59" s="766" t="s">
        <v>14</v>
      </c>
      <c r="C59" s="766" t="s">
        <v>136</v>
      </c>
      <c r="D59" s="766"/>
      <c r="E59" s="809"/>
      <c r="F59" s="810" t="s">
        <v>873</v>
      </c>
      <c r="G59" s="1510">
        <f t="shared" ref="G59:U59" si="17">G8*G58</f>
        <v>9090</v>
      </c>
      <c r="H59" s="1511">
        <f t="shared" si="17"/>
        <v>8740.3846153846152</v>
      </c>
      <c r="I59" s="1511">
        <f t="shared" si="17"/>
        <v>8404.2159763313593</v>
      </c>
      <c r="J59" s="1511">
        <f t="shared" si="17"/>
        <v>8080.9769003186166</v>
      </c>
      <c r="K59" s="1511">
        <f t="shared" si="17"/>
        <v>7770.1700964602069</v>
      </c>
      <c r="L59" s="1511">
        <f t="shared" si="17"/>
        <v>7471.3174004425055</v>
      </c>
      <c r="M59" s="1511">
        <f t="shared" si="17"/>
        <v>7183.9590388870247</v>
      </c>
      <c r="N59" s="1511">
        <f t="shared" si="17"/>
        <v>6907.652922006755</v>
      </c>
      <c r="O59" s="1511">
        <f t="shared" si="17"/>
        <v>6641.9739634680327</v>
      </c>
      <c r="P59" s="1511">
        <f t="shared" si="17"/>
        <v>6386.5134264115686</v>
      </c>
      <c r="Q59" s="1511">
        <f t="shared" si="17"/>
        <v>6140.8782946265083</v>
      </c>
      <c r="R59" s="1511">
        <f t="shared" si="17"/>
        <v>5904.6906679101048</v>
      </c>
      <c r="S59" s="1511">
        <f t="shared" si="17"/>
        <v>5677.5871806827918</v>
      </c>
      <c r="T59" s="1511">
        <f t="shared" si="17"/>
        <v>5459.218442964223</v>
      </c>
      <c r="U59" s="1511">
        <f t="shared" si="17"/>
        <v>5249.2485028502151</v>
      </c>
      <c r="V59" s="1516">
        <f t="shared" ref="V59:V69" si="18">SUM(G59:U59)</f>
        <v>105108.78742874453</v>
      </c>
    </row>
    <row r="60" spans="1:23">
      <c r="A60" s="768"/>
      <c r="B60" s="751" t="s">
        <v>16</v>
      </c>
      <c r="C60" s="751" t="s">
        <v>1022</v>
      </c>
      <c r="D60" s="751"/>
      <c r="E60" s="811"/>
      <c r="F60" s="812" t="s">
        <v>873</v>
      </c>
      <c r="G60" s="1512">
        <f t="shared" ref="G60:U60" si="19">G18*G58</f>
        <v>360</v>
      </c>
      <c r="H60" s="1513">
        <f t="shared" si="19"/>
        <v>346.15384615384613</v>
      </c>
      <c r="I60" s="1513">
        <f t="shared" si="19"/>
        <v>332.84023668639048</v>
      </c>
      <c r="J60" s="1513">
        <f t="shared" si="19"/>
        <v>320.03868912152933</v>
      </c>
      <c r="K60" s="1513">
        <f t="shared" si="19"/>
        <v>307.72950877070127</v>
      </c>
      <c r="L60" s="1513">
        <f t="shared" si="19"/>
        <v>295.89375843336654</v>
      </c>
      <c r="M60" s="1513">
        <f t="shared" si="19"/>
        <v>284.51322926285246</v>
      </c>
      <c r="N60" s="1513">
        <f t="shared" si="19"/>
        <v>273.57041275274281</v>
      </c>
      <c r="O60" s="1513">
        <f t="shared" si="19"/>
        <v>263.04847380071413</v>
      </c>
      <c r="P60" s="1513">
        <f t="shared" si="19"/>
        <v>252.93122480837897</v>
      </c>
      <c r="Q60" s="1513">
        <f t="shared" si="19"/>
        <v>243.20310077728746</v>
      </c>
      <c r="R60" s="1513">
        <f t="shared" si="19"/>
        <v>233.84913536277645</v>
      </c>
      <c r="S60" s="1513">
        <f t="shared" si="19"/>
        <v>224.85493784882345</v>
      </c>
      <c r="T60" s="1513">
        <f t="shared" si="19"/>
        <v>216.20667100848408</v>
      </c>
      <c r="U60" s="1513">
        <f t="shared" si="19"/>
        <v>207.89102981585009</v>
      </c>
      <c r="V60" s="1517">
        <f t="shared" si="18"/>
        <v>4162.7242546037432</v>
      </c>
    </row>
    <row r="61" spans="1:23" hidden="1">
      <c r="A61" s="768"/>
      <c r="B61" s="751" t="s">
        <v>24</v>
      </c>
      <c r="C61" s="751" t="s">
        <v>82</v>
      </c>
      <c r="D61" s="751"/>
      <c r="E61" s="811"/>
      <c r="F61" s="812" t="s">
        <v>0</v>
      </c>
      <c r="G61" s="1512" t="e">
        <f>#REF!*G58</f>
        <v>#REF!</v>
      </c>
      <c r="H61" s="1513" t="e">
        <f>#REF!*H58</f>
        <v>#REF!</v>
      </c>
      <c r="I61" s="1513" t="e">
        <f>#REF!*I58</f>
        <v>#REF!</v>
      </c>
      <c r="J61" s="1513" t="e">
        <f>#REF!*J58</f>
        <v>#REF!</v>
      </c>
      <c r="K61" s="1513" t="e">
        <f>#REF!*K58</f>
        <v>#REF!</v>
      </c>
      <c r="L61" s="1513" t="e">
        <f>#REF!*L58</f>
        <v>#REF!</v>
      </c>
      <c r="M61" s="1513" t="e">
        <f>#REF!*M58</f>
        <v>#REF!</v>
      </c>
      <c r="N61" s="1513" t="e">
        <f>#REF!*N58</f>
        <v>#REF!</v>
      </c>
      <c r="O61" s="1513" t="e">
        <f>#REF!*O58</f>
        <v>#REF!</v>
      </c>
      <c r="P61" s="1513" t="e">
        <f>#REF!*P58</f>
        <v>#REF!</v>
      </c>
      <c r="Q61" s="1513" t="e">
        <f>#REF!*Q58</f>
        <v>#REF!</v>
      </c>
      <c r="R61" s="1513" t="e">
        <f>#REF!*R58</f>
        <v>#REF!</v>
      </c>
      <c r="S61" s="1513" t="e">
        <f>#REF!*S58</f>
        <v>#REF!</v>
      </c>
      <c r="T61" s="1513" t="e">
        <f>#REF!*T58</f>
        <v>#REF!</v>
      </c>
      <c r="U61" s="1513" t="e">
        <f>#REF!*U58</f>
        <v>#REF!</v>
      </c>
      <c r="V61" s="1517" t="e">
        <f t="shared" si="18"/>
        <v>#REF!</v>
      </c>
    </row>
    <row r="62" spans="1:23">
      <c r="A62" s="768"/>
      <c r="B62" s="751" t="s">
        <v>19</v>
      </c>
      <c r="C62" s="751" t="s">
        <v>137</v>
      </c>
      <c r="D62" s="751"/>
      <c r="E62" s="811"/>
      <c r="F62" s="812" t="s">
        <v>873</v>
      </c>
      <c r="G62" s="1512">
        <f t="shared" ref="G62:U62" si="20">G25*G58</f>
        <v>0</v>
      </c>
      <c r="H62" s="1513">
        <f t="shared" si="20"/>
        <v>0</v>
      </c>
      <c r="I62" s="1513">
        <f t="shared" si="20"/>
        <v>0</v>
      </c>
      <c r="J62" s="1513">
        <f t="shared" si="20"/>
        <v>0</v>
      </c>
      <c r="K62" s="1513">
        <f t="shared" si="20"/>
        <v>0</v>
      </c>
      <c r="L62" s="1513">
        <f t="shared" si="20"/>
        <v>0</v>
      </c>
      <c r="M62" s="1513">
        <f t="shared" si="20"/>
        <v>0</v>
      </c>
      <c r="N62" s="1513">
        <f t="shared" si="20"/>
        <v>0</v>
      </c>
      <c r="O62" s="1513">
        <f t="shared" si="20"/>
        <v>0</v>
      </c>
      <c r="P62" s="1513">
        <f t="shared" si="20"/>
        <v>0</v>
      </c>
      <c r="Q62" s="1513">
        <f t="shared" si="20"/>
        <v>0</v>
      </c>
      <c r="R62" s="1513">
        <f t="shared" si="20"/>
        <v>0</v>
      </c>
      <c r="S62" s="1513">
        <f t="shared" si="20"/>
        <v>0</v>
      </c>
      <c r="T62" s="1513">
        <f t="shared" si="20"/>
        <v>0</v>
      </c>
      <c r="U62" s="1513">
        <f t="shared" si="20"/>
        <v>577.47508282180581</v>
      </c>
      <c r="V62" s="1517">
        <f t="shared" si="18"/>
        <v>577.47508282180581</v>
      </c>
    </row>
    <row r="63" spans="1:23">
      <c r="A63" s="768"/>
      <c r="B63" s="751" t="s">
        <v>22</v>
      </c>
      <c r="C63" s="751" t="s">
        <v>138</v>
      </c>
      <c r="D63" s="751"/>
      <c r="E63" s="811"/>
      <c r="F63" s="812" t="s">
        <v>873</v>
      </c>
      <c r="G63" s="1512">
        <f t="shared" ref="G63:U63" si="21">G26*G58</f>
        <v>9450</v>
      </c>
      <c r="H63" s="1513">
        <f t="shared" si="21"/>
        <v>9086.538461538461</v>
      </c>
      <c r="I63" s="1513">
        <f t="shared" si="21"/>
        <v>8737.0562130177514</v>
      </c>
      <c r="J63" s="1513">
        <f t="shared" si="21"/>
        <v>8401.015589440145</v>
      </c>
      <c r="K63" s="1513">
        <f t="shared" si="21"/>
        <v>8077.8996052309076</v>
      </c>
      <c r="L63" s="1513">
        <f t="shared" si="21"/>
        <v>7767.2111588758717</v>
      </c>
      <c r="M63" s="1513">
        <f t="shared" si="21"/>
        <v>7468.472268149877</v>
      </c>
      <c r="N63" s="1513">
        <f t="shared" si="21"/>
        <v>7181.2233347594984</v>
      </c>
      <c r="O63" s="1513">
        <f t="shared" si="21"/>
        <v>6905.0224372687471</v>
      </c>
      <c r="P63" s="1513">
        <f t="shared" si="21"/>
        <v>6639.4446512199474</v>
      </c>
      <c r="Q63" s="1513">
        <f t="shared" si="21"/>
        <v>6384.0813954037958</v>
      </c>
      <c r="R63" s="1513">
        <f t="shared" si="21"/>
        <v>6138.5398032728817</v>
      </c>
      <c r="S63" s="1513">
        <f t="shared" si="21"/>
        <v>5902.4421185316151</v>
      </c>
      <c r="T63" s="1513">
        <f t="shared" si="21"/>
        <v>5675.4251139727066</v>
      </c>
      <c r="U63" s="1513">
        <f t="shared" si="21"/>
        <v>6034.6146154878707</v>
      </c>
      <c r="V63" s="1517">
        <f t="shared" si="18"/>
        <v>109848.9867661701</v>
      </c>
    </row>
    <row r="64" spans="1:23">
      <c r="A64" s="768"/>
      <c r="B64" s="751" t="s">
        <v>23</v>
      </c>
      <c r="C64" s="751" t="s">
        <v>139</v>
      </c>
      <c r="D64" s="751"/>
      <c r="E64" s="811"/>
      <c r="F64" s="812" t="s">
        <v>873</v>
      </c>
      <c r="G64" s="1512">
        <f t="shared" ref="G64:U64" si="22">G27*G58</f>
        <v>-150</v>
      </c>
      <c r="H64" s="1513">
        <f t="shared" si="22"/>
        <v>-144.23076923076923</v>
      </c>
      <c r="I64" s="1513">
        <f t="shared" si="22"/>
        <v>-138.68343195266272</v>
      </c>
      <c r="J64" s="1513">
        <f t="shared" si="22"/>
        <v>-133.34945380063724</v>
      </c>
      <c r="K64" s="1513">
        <f t="shared" si="22"/>
        <v>-128.22062865445886</v>
      </c>
      <c r="L64" s="1513">
        <f t="shared" si="22"/>
        <v>-123.28906601390273</v>
      </c>
      <c r="M64" s="1513">
        <f t="shared" si="22"/>
        <v>-118.54717885952185</v>
      </c>
      <c r="N64" s="1513">
        <f t="shared" si="22"/>
        <v>-113.9876719803095</v>
      </c>
      <c r="O64" s="1513">
        <f t="shared" si="22"/>
        <v>-109.60353075029757</v>
      </c>
      <c r="P64" s="1513">
        <f t="shared" si="22"/>
        <v>-105.38801033682456</v>
      </c>
      <c r="Q64" s="1513">
        <f t="shared" si="22"/>
        <v>-101.33462532386977</v>
      </c>
      <c r="R64" s="1513">
        <f t="shared" si="22"/>
        <v>-97.437139734490188</v>
      </c>
      <c r="S64" s="1513">
        <f t="shared" si="22"/>
        <v>-93.689557437009768</v>
      </c>
      <c r="T64" s="1513">
        <f t="shared" si="22"/>
        <v>-90.0861129202017</v>
      </c>
      <c r="U64" s="1513">
        <f t="shared" si="22"/>
        <v>-86.621262423270878</v>
      </c>
      <c r="V64" s="1517">
        <f t="shared" si="18"/>
        <v>-1734.4684394182268</v>
      </c>
    </row>
    <row r="65" spans="1:23">
      <c r="A65" s="768"/>
      <c r="B65" s="751" t="s">
        <v>24</v>
      </c>
      <c r="C65" s="751" t="s">
        <v>1023</v>
      </c>
      <c r="D65" s="751"/>
      <c r="E65" s="811"/>
      <c r="F65" s="812" t="s">
        <v>873</v>
      </c>
      <c r="G65" s="1512">
        <f t="shared" ref="G65:U65" si="23">G37*G58</f>
        <v>-400</v>
      </c>
      <c r="H65" s="1513">
        <f t="shared" si="23"/>
        <v>-384.61538461538458</v>
      </c>
      <c r="I65" s="1513">
        <f t="shared" si="23"/>
        <v>-369.82248520710056</v>
      </c>
      <c r="J65" s="1513">
        <f t="shared" si="23"/>
        <v>-355.59854346836596</v>
      </c>
      <c r="K65" s="1513">
        <f t="shared" si="23"/>
        <v>-341.9216764118903</v>
      </c>
      <c r="L65" s="1513">
        <f t="shared" si="23"/>
        <v>-328.77084270374064</v>
      </c>
      <c r="M65" s="1513">
        <f t="shared" si="23"/>
        <v>-316.1258102920583</v>
      </c>
      <c r="N65" s="1513">
        <f t="shared" si="23"/>
        <v>-303.96712528082531</v>
      </c>
      <c r="O65" s="1513">
        <f t="shared" si="23"/>
        <v>-292.27608200079351</v>
      </c>
      <c r="P65" s="1513">
        <f t="shared" si="23"/>
        <v>-281.03469423153217</v>
      </c>
      <c r="Q65" s="1513">
        <f t="shared" si="23"/>
        <v>-270.22566753031941</v>
      </c>
      <c r="R65" s="1513">
        <f t="shared" si="23"/>
        <v>-259.83237262530719</v>
      </c>
      <c r="S65" s="1513">
        <f t="shared" si="23"/>
        <v>-249.83881983202605</v>
      </c>
      <c r="T65" s="1513">
        <f t="shared" si="23"/>
        <v>-240.2296344538712</v>
      </c>
      <c r="U65" s="1513">
        <f t="shared" si="23"/>
        <v>-230.99003312872233</v>
      </c>
      <c r="V65" s="1517">
        <f t="shared" si="18"/>
        <v>-4625.2491717819366</v>
      </c>
    </row>
    <row r="66" spans="1:23">
      <c r="A66" s="768"/>
      <c r="B66" s="751" t="s">
        <v>26</v>
      </c>
      <c r="C66" s="751" t="s">
        <v>140</v>
      </c>
      <c r="D66" s="751"/>
      <c r="E66" s="811"/>
      <c r="F66" s="812" t="s">
        <v>873</v>
      </c>
      <c r="G66" s="1512">
        <f t="shared" ref="G66:U66" si="24">G44*G58</f>
        <v>-35299.5</v>
      </c>
      <c r="H66" s="1513">
        <f t="shared" si="24"/>
        <v>-9191.9711538461524</v>
      </c>
      <c r="I66" s="1513">
        <f t="shared" si="24"/>
        <v>-26800.110946745561</v>
      </c>
      <c r="J66" s="1513">
        <f t="shared" si="24"/>
        <v>0</v>
      </c>
      <c r="K66" s="1513">
        <f t="shared" si="24"/>
        <v>0</v>
      </c>
      <c r="L66" s="1513">
        <f t="shared" si="24"/>
        <v>0</v>
      </c>
      <c r="M66" s="1513">
        <f t="shared" si="24"/>
        <v>0</v>
      </c>
      <c r="N66" s="1513">
        <f t="shared" si="24"/>
        <v>0</v>
      </c>
      <c r="O66" s="1513">
        <f t="shared" si="24"/>
        <v>0</v>
      </c>
      <c r="P66" s="1513">
        <f t="shared" si="24"/>
        <v>0</v>
      </c>
      <c r="Q66" s="1513">
        <f t="shared" si="24"/>
        <v>0</v>
      </c>
      <c r="R66" s="1513">
        <f t="shared" si="24"/>
        <v>0</v>
      </c>
      <c r="S66" s="1513">
        <f t="shared" si="24"/>
        <v>0</v>
      </c>
      <c r="T66" s="1513">
        <f t="shared" si="24"/>
        <v>0</v>
      </c>
      <c r="U66" s="1513">
        <f t="shared" si="24"/>
        <v>0</v>
      </c>
      <c r="V66" s="1517">
        <f t="shared" si="18"/>
        <v>-71291.58210059171</v>
      </c>
    </row>
    <row r="67" spans="1:23">
      <c r="A67" s="768"/>
      <c r="B67" s="751" t="s">
        <v>28</v>
      </c>
      <c r="C67" s="751" t="s">
        <v>141</v>
      </c>
      <c r="D67" s="751"/>
      <c r="E67" s="811"/>
      <c r="F67" s="812" t="s">
        <v>873</v>
      </c>
      <c r="G67" s="1512">
        <f t="shared" ref="G67:U67" si="25">G48*G58</f>
        <v>50.5</v>
      </c>
      <c r="H67" s="1513">
        <f t="shared" si="25"/>
        <v>48.557692307692307</v>
      </c>
      <c r="I67" s="1513">
        <f t="shared" si="25"/>
        <v>46.690088757396445</v>
      </c>
      <c r="J67" s="1513">
        <f t="shared" si="25"/>
        <v>44.894316112881199</v>
      </c>
      <c r="K67" s="1513">
        <f t="shared" si="25"/>
        <v>43.167611647001145</v>
      </c>
      <c r="L67" s="1513">
        <f t="shared" si="25"/>
        <v>41.507318891347253</v>
      </c>
      <c r="M67" s="1513">
        <f t="shared" si="25"/>
        <v>39.910883549372357</v>
      </c>
      <c r="N67" s="1513">
        <f t="shared" si="25"/>
        <v>38.375849566704197</v>
      </c>
      <c r="O67" s="1513">
        <f>O48*O58</f>
        <v>36.899855352600184</v>
      </c>
      <c r="P67" s="1513">
        <f t="shared" si="25"/>
        <v>35.480630146730938</v>
      </c>
      <c r="Q67" s="1513">
        <f t="shared" si="25"/>
        <v>34.115990525702827</v>
      </c>
      <c r="R67" s="1513">
        <f t="shared" si="25"/>
        <v>32.80383704394503</v>
      </c>
      <c r="S67" s="1513">
        <f t="shared" si="25"/>
        <v>31.54215100379329</v>
      </c>
      <c r="T67" s="1513">
        <f t="shared" si="25"/>
        <v>30.328991349801239</v>
      </c>
      <c r="U67" s="1513">
        <f t="shared" si="25"/>
        <v>29.162491682501194</v>
      </c>
      <c r="V67" s="1517">
        <f t="shared" si="18"/>
        <v>583.93770793746967</v>
      </c>
    </row>
    <row r="68" spans="1:23">
      <c r="A68" s="768"/>
      <c r="B68" s="751" t="s">
        <v>79</v>
      </c>
      <c r="C68" s="751" t="s">
        <v>142</v>
      </c>
      <c r="D68" s="751"/>
      <c r="E68" s="811"/>
      <c r="F68" s="812" t="s">
        <v>873</v>
      </c>
      <c r="G68" s="1512">
        <f t="shared" ref="G68:U68" si="26">G52*G58</f>
        <v>-35799</v>
      </c>
      <c r="H68" s="1513">
        <f t="shared" si="26"/>
        <v>-9672.2596153846134</v>
      </c>
      <c r="I68" s="1513">
        <f t="shared" si="26"/>
        <v>-27261.926775147927</v>
      </c>
      <c r="J68" s="1513">
        <f t="shared" si="26"/>
        <v>-444.05368115612197</v>
      </c>
      <c r="K68" s="1513">
        <f t="shared" si="26"/>
        <v>-426.974693419348</v>
      </c>
      <c r="L68" s="1513">
        <f t="shared" si="26"/>
        <v>-410.55258982629607</v>
      </c>
      <c r="M68" s="1513">
        <f t="shared" si="26"/>
        <v>-394.76210560220778</v>
      </c>
      <c r="N68" s="1513">
        <f t="shared" si="26"/>
        <v>-379.57894769443061</v>
      </c>
      <c r="O68" s="1513">
        <f t="shared" si="26"/>
        <v>-364.9797573984909</v>
      </c>
      <c r="P68" s="1513">
        <f t="shared" si="26"/>
        <v>-350.94207442162582</v>
      </c>
      <c r="Q68" s="1513">
        <f t="shared" si="26"/>
        <v>-337.44430232848634</v>
      </c>
      <c r="R68" s="1513">
        <f t="shared" si="26"/>
        <v>-324.46567531585231</v>
      </c>
      <c r="S68" s="1513">
        <f t="shared" si="26"/>
        <v>-311.98622626524252</v>
      </c>
      <c r="T68" s="1513">
        <f t="shared" si="26"/>
        <v>-299.98675602427164</v>
      </c>
      <c r="U68" s="1513">
        <f t="shared" si="26"/>
        <v>-288.448803869492</v>
      </c>
      <c r="V68" s="1517">
        <f t="shared" si="18"/>
        <v>-77067.362003854403</v>
      </c>
    </row>
    <row r="69" spans="1:23">
      <c r="A69" s="770"/>
      <c r="B69" s="771" t="s">
        <v>52</v>
      </c>
      <c r="C69" s="771" t="s">
        <v>143</v>
      </c>
      <c r="D69" s="771"/>
      <c r="E69" s="813"/>
      <c r="F69" s="1485" t="s">
        <v>873</v>
      </c>
      <c r="G69" s="1514">
        <f t="shared" ref="G69:U69" si="27">G53*G58</f>
        <v>-26349</v>
      </c>
      <c r="H69" s="1515">
        <f t="shared" si="27"/>
        <v>-585.72115384615347</v>
      </c>
      <c r="I69" s="1515">
        <f t="shared" si="27"/>
        <v>-18524.870562130174</v>
      </c>
      <c r="J69" s="1515">
        <f t="shared" si="27"/>
        <v>7956.9619082840236</v>
      </c>
      <c r="K69" s="1515">
        <f t="shared" si="27"/>
        <v>7650.9249118115604</v>
      </c>
      <c r="L69" s="1515">
        <f t="shared" si="27"/>
        <v>7356.6585690495758</v>
      </c>
      <c r="M69" s="1515">
        <f t="shared" si="27"/>
        <v>7073.7101625476689</v>
      </c>
      <c r="N69" s="1515">
        <f t="shared" si="27"/>
        <v>6801.6443870650673</v>
      </c>
      <c r="O69" s="1515">
        <f t="shared" si="27"/>
        <v>6540.0426798702556</v>
      </c>
      <c r="P69" s="1515">
        <f t="shared" si="27"/>
        <v>6288.5025767983216</v>
      </c>
      <c r="Q69" s="1515">
        <f t="shared" si="27"/>
        <v>6046.6370930753092</v>
      </c>
      <c r="R69" s="1515">
        <f t="shared" si="27"/>
        <v>5814.0741279570293</v>
      </c>
      <c r="S69" s="1515">
        <f t="shared" si="27"/>
        <v>5590.4558922663728</v>
      </c>
      <c r="T69" s="1515">
        <f t="shared" si="27"/>
        <v>5375.4383579484356</v>
      </c>
      <c r="U69" s="1515">
        <f t="shared" si="27"/>
        <v>5746.1658116183789</v>
      </c>
      <c r="V69" s="1518">
        <f t="shared" si="18"/>
        <v>32781.624762315667</v>
      </c>
    </row>
    <row r="70" spans="1:23">
      <c r="A70" s="762"/>
      <c r="B70" s="762"/>
      <c r="C70" s="762"/>
      <c r="D70" s="762"/>
      <c r="E70" s="813"/>
      <c r="F70" s="763"/>
      <c r="G70" s="762"/>
      <c r="H70" s="762"/>
      <c r="I70" s="762"/>
      <c r="J70" s="762"/>
      <c r="K70" s="762"/>
      <c r="L70" s="762"/>
      <c r="M70" s="762"/>
      <c r="N70" s="762"/>
      <c r="O70" s="762"/>
      <c r="P70" s="762"/>
      <c r="Q70" s="762"/>
      <c r="R70" s="762"/>
      <c r="S70" s="762"/>
      <c r="T70" s="762"/>
      <c r="U70" s="762"/>
      <c r="V70" s="762"/>
    </row>
    <row r="71" spans="1:23">
      <c r="A71" s="1420">
        <v>3</v>
      </c>
      <c r="B71" s="1421" t="s">
        <v>30</v>
      </c>
      <c r="C71" s="1421"/>
      <c r="D71" s="1421"/>
      <c r="E71" s="1421"/>
      <c r="F71" s="1421"/>
      <c r="G71" s="1422"/>
      <c r="H71" s="1422"/>
      <c r="I71" s="1422"/>
      <c r="J71" s="1422"/>
      <c r="K71" s="1422"/>
      <c r="L71" s="1422"/>
      <c r="M71" s="1422"/>
      <c r="N71" s="1422"/>
      <c r="O71" s="1422"/>
      <c r="P71" s="1422"/>
      <c r="Q71" s="1422"/>
      <c r="R71" s="1422"/>
      <c r="S71" s="1422"/>
      <c r="T71" s="1422"/>
      <c r="U71" s="1422"/>
      <c r="V71" s="1423"/>
    </row>
    <row r="72" spans="1:23">
      <c r="A72" s="771"/>
      <c r="B72" s="771"/>
      <c r="C72" s="771"/>
      <c r="D72" s="771"/>
      <c r="E72" s="771"/>
      <c r="F72" s="1427" t="s">
        <v>31</v>
      </c>
      <c r="G72" s="1426"/>
      <c r="H72" s="1499" t="s">
        <v>32</v>
      </c>
      <c r="K72" s="1492"/>
      <c r="L72" s="762"/>
      <c r="M72" s="762"/>
      <c r="N72" s="762"/>
      <c r="O72" s="762"/>
      <c r="P72" s="762"/>
      <c r="Q72" s="762"/>
      <c r="R72" s="762"/>
      <c r="S72" s="762"/>
      <c r="T72" s="762"/>
      <c r="U72" s="762"/>
      <c r="V72" s="762"/>
      <c r="W72" s="762"/>
    </row>
    <row r="73" spans="1:23">
      <c r="A73" s="765"/>
      <c r="B73" s="766" t="s">
        <v>33</v>
      </c>
      <c r="C73" s="766" t="s">
        <v>112</v>
      </c>
      <c r="D73" s="766"/>
      <c r="E73" s="809"/>
      <c r="F73" s="1493">
        <f>V8</f>
        <v>136350</v>
      </c>
      <c r="G73" s="1486"/>
      <c r="H73" s="1494">
        <f>V59</f>
        <v>105108.78742874453</v>
      </c>
      <c r="K73" s="751"/>
      <c r="L73" s="762"/>
      <c r="M73" s="762"/>
      <c r="N73" s="762"/>
      <c r="O73" s="762"/>
      <c r="P73" s="762"/>
      <c r="Q73" s="762"/>
      <c r="R73" s="762"/>
      <c r="S73" s="762"/>
      <c r="T73" s="762"/>
      <c r="U73" s="762"/>
      <c r="V73" s="762"/>
      <c r="W73" s="762"/>
    </row>
    <row r="74" spans="1:23">
      <c r="A74" s="768"/>
      <c r="B74" s="751" t="s">
        <v>34</v>
      </c>
      <c r="C74" s="751" t="s">
        <v>974</v>
      </c>
      <c r="D74" s="751"/>
      <c r="E74" s="811"/>
      <c r="F74" s="1495">
        <f>V18</f>
        <v>5400</v>
      </c>
      <c r="G74" s="1488"/>
      <c r="H74" s="1496">
        <f>V60</f>
        <v>4162.7242546037432</v>
      </c>
      <c r="K74" s="757"/>
      <c r="L74" s="762"/>
      <c r="M74" s="762"/>
      <c r="N74" s="762"/>
      <c r="O74" s="762"/>
      <c r="P74" s="762"/>
      <c r="Q74" s="762"/>
      <c r="R74" s="762"/>
      <c r="S74" s="762"/>
      <c r="T74" s="762"/>
      <c r="U74" s="762"/>
      <c r="V74" s="762"/>
      <c r="W74" s="762"/>
    </row>
    <row r="75" spans="1:23">
      <c r="A75" s="768"/>
      <c r="B75" s="751" t="s">
        <v>35</v>
      </c>
      <c r="C75" s="751" t="s">
        <v>10</v>
      </c>
      <c r="D75" s="751"/>
      <c r="E75" s="811"/>
      <c r="F75" s="1495">
        <f>V25</f>
        <v>1000</v>
      </c>
      <c r="G75" s="1488"/>
      <c r="H75" s="1496">
        <f t="shared" ref="H75:H81" si="28">V62</f>
        <v>577.47508282180581</v>
      </c>
      <c r="K75" s="757"/>
      <c r="L75" s="762"/>
      <c r="M75" s="762"/>
      <c r="N75" s="762"/>
      <c r="O75" s="762"/>
      <c r="P75" s="762"/>
      <c r="Q75" s="762"/>
      <c r="R75" s="762"/>
      <c r="S75" s="762"/>
      <c r="T75" s="762"/>
      <c r="U75" s="762"/>
      <c r="V75" s="762"/>
      <c r="W75" s="762"/>
    </row>
    <row r="76" spans="1:23">
      <c r="A76" s="768"/>
      <c r="B76" s="751" t="s">
        <v>36</v>
      </c>
      <c r="C76" s="751" t="s">
        <v>127</v>
      </c>
      <c r="D76" s="751"/>
      <c r="E76" s="811"/>
      <c r="F76" s="1495">
        <f>V26</f>
        <v>142750</v>
      </c>
      <c r="G76" s="1488"/>
      <c r="H76" s="1496">
        <f t="shared" si="28"/>
        <v>109848.9867661701</v>
      </c>
      <c r="K76" s="757"/>
      <c r="L76" s="762"/>
      <c r="M76" s="762"/>
      <c r="N76" s="762"/>
      <c r="O76" s="762"/>
      <c r="P76" s="762"/>
      <c r="Q76" s="762"/>
      <c r="R76" s="762"/>
      <c r="S76" s="762"/>
      <c r="T76" s="762"/>
      <c r="U76" s="762"/>
      <c r="V76" s="762"/>
      <c r="W76" s="762"/>
    </row>
    <row r="77" spans="1:23">
      <c r="A77" s="768"/>
      <c r="B77" s="751" t="s">
        <v>37</v>
      </c>
      <c r="C77" s="751" t="s">
        <v>115</v>
      </c>
      <c r="D77" s="751"/>
      <c r="E77" s="811"/>
      <c r="F77" s="1495">
        <f>V27</f>
        <v>-2250</v>
      </c>
      <c r="G77" s="1488"/>
      <c r="H77" s="1496">
        <f t="shared" si="28"/>
        <v>-1734.4684394182268</v>
      </c>
      <c r="K77" s="757"/>
      <c r="L77" s="762"/>
      <c r="M77" s="762"/>
      <c r="N77" s="762"/>
      <c r="O77" s="762"/>
      <c r="P77" s="762"/>
      <c r="Q77" s="762"/>
      <c r="R77" s="762"/>
      <c r="S77" s="762"/>
      <c r="T77" s="762"/>
      <c r="U77" s="762"/>
      <c r="V77" s="762"/>
      <c r="W77" s="762"/>
    </row>
    <row r="78" spans="1:23">
      <c r="A78" s="768"/>
      <c r="B78" s="751" t="s">
        <v>80</v>
      </c>
      <c r="C78" s="751" t="s">
        <v>1015</v>
      </c>
      <c r="D78" s="751"/>
      <c r="E78" s="811"/>
      <c r="F78" s="1495">
        <f>V37</f>
        <v>-6000</v>
      </c>
      <c r="G78" s="1488"/>
      <c r="H78" s="1496">
        <f t="shared" si="28"/>
        <v>-4625.2491717819366</v>
      </c>
      <c r="K78" s="757"/>
      <c r="L78" s="762"/>
      <c r="M78" s="762"/>
      <c r="N78" s="762"/>
      <c r="O78" s="762"/>
      <c r="P78" s="762"/>
      <c r="Q78" s="762"/>
      <c r="R78" s="762"/>
      <c r="S78" s="762"/>
      <c r="T78" s="762"/>
      <c r="U78" s="762"/>
      <c r="V78" s="762"/>
      <c r="W78" s="762"/>
    </row>
    <row r="79" spans="1:23">
      <c r="A79" s="768"/>
      <c r="B79" s="751" t="s">
        <v>63</v>
      </c>
      <c r="C79" s="751" t="s">
        <v>8</v>
      </c>
      <c r="D79" s="751"/>
      <c r="E79" s="811"/>
      <c r="F79" s="1495">
        <f>V44</f>
        <v>-73846.149999999994</v>
      </c>
      <c r="G79" s="1488"/>
      <c r="H79" s="1496">
        <f t="shared" si="28"/>
        <v>-71291.58210059171</v>
      </c>
      <c r="K79" s="757"/>
      <c r="L79" s="762"/>
      <c r="M79" s="762"/>
      <c r="N79" s="762"/>
      <c r="O79" s="762"/>
      <c r="P79" s="762"/>
      <c r="Q79" s="762"/>
      <c r="R79" s="762"/>
      <c r="S79" s="762"/>
      <c r="T79" s="762"/>
      <c r="U79" s="762"/>
      <c r="V79" s="762"/>
      <c r="W79" s="762"/>
    </row>
    <row r="80" spans="1:23">
      <c r="A80" s="768"/>
      <c r="B80" s="751" t="s">
        <v>144</v>
      </c>
      <c r="C80" s="751" t="s">
        <v>85</v>
      </c>
      <c r="D80" s="751"/>
      <c r="E80" s="811"/>
      <c r="F80" s="1495">
        <f>V48</f>
        <v>757.5</v>
      </c>
      <c r="G80" s="1488"/>
      <c r="H80" s="1496">
        <f t="shared" si="28"/>
        <v>583.93770793746967</v>
      </c>
      <c r="K80" s="757"/>
      <c r="L80" s="762"/>
      <c r="M80" s="762"/>
      <c r="N80" s="762"/>
      <c r="O80" s="762"/>
      <c r="P80" s="762"/>
      <c r="Q80" s="762"/>
      <c r="R80" s="762"/>
      <c r="S80" s="762"/>
      <c r="T80" s="762"/>
      <c r="U80" s="762"/>
      <c r="V80" s="762"/>
      <c r="W80" s="762"/>
    </row>
    <row r="81" spans="1:23">
      <c r="A81" s="768"/>
      <c r="B81" s="751" t="s">
        <v>145</v>
      </c>
      <c r="C81" s="751" t="s">
        <v>124</v>
      </c>
      <c r="D81" s="751"/>
      <c r="E81" s="811"/>
      <c r="F81" s="1495">
        <f>V52</f>
        <v>-81338.649999999994</v>
      </c>
      <c r="G81" s="1488"/>
      <c r="H81" s="1496">
        <f t="shared" si="28"/>
        <v>-77067.362003854403</v>
      </c>
      <c r="K81" s="757"/>
      <c r="L81" s="762"/>
      <c r="M81" s="762"/>
      <c r="N81" s="762"/>
      <c r="O81" s="762"/>
      <c r="P81" s="762"/>
      <c r="Q81" s="762"/>
      <c r="R81" s="762"/>
      <c r="S81" s="762"/>
      <c r="T81" s="762"/>
      <c r="U81" s="762"/>
      <c r="V81" s="762"/>
      <c r="W81" s="762"/>
    </row>
    <row r="82" spans="1:23">
      <c r="A82" s="770"/>
      <c r="B82" s="771" t="s">
        <v>146</v>
      </c>
      <c r="C82" s="771" t="s">
        <v>147</v>
      </c>
      <c r="D82" s="771"/>
      <c r="E82" s="813"/>
      <c r="F82" s="1497">
        <f>V53</f>
        <v>61411.35</v>
      </c>
      <c r="G82" s="1490"/>
      <c r="H82" s="1498">
        <f>V69</f>
        <v>32781.624762315667</v>
      </c>
      <c r="K82" s="757"/>
      <c r="L82" s="762"/>
      <c r="M82" s="762"/>
      <c r="N82" s="762"/>
      <c r="O82" s="762"/>
      <c r="P82" s="762"/>
      <c r="Q82" s="762"/>
      <c r="R82" s="762"/>
      <c r="S82" s="762"/>
      <c r="T82" s="762"/>
      <c r="U82" s="762"/>
      <c r="V82" s="762"/>
      <c r="W82" s="762"/>
    </row>
    <row r="83" spans="1:23">
      <c r="A83" s="1520">
        <v>4</v>
      </c>
      <c r="B83" s="1521" t="s">
        <v>38</v>
      </c>
      <c r="C83" s="1521"/>
      <c r="D83" s="1521"/>
      <c r="E83" s="1521"/>
      <c r="F83" s="1521"/>
      <c r="G83" s="1521"/>
      <c r="H83" s="1504"/>
      <c r="I83" s="1504"/>
      <c r="J83" s="1504"/>
      <c r="K83" s="1504"/>
      <c r="L83" s="1504"/>
      <c r="M83" s="1504"/>
      <c r="N83" s="1504"/>
      <c r="O83" s="1504"/>
      <c r="P83" s="1422"/>
      <c r="Q83" s="1422"/>
      <c r="R83" s="1422"/>
      <c r="S83" s="1422"/>
      <c r="T83" s="1422"/>
      <c r="U83" s="1422"/>
      <c r="V83" s="1423"/>
    </row>
    <row r="84" spans="1:23" ht="12.75" customHeight="1">
      <c r="A84" s="766"/>
      <c r="B84" s="1369"/>
      <c r="C84" s="1369"/>
      <c r="D84" s="1369"/>
      <c r="E84" s="1369"/>
      <c r="F84" s="2206" t="s">
        <v>69</v>
      </c>
      <c r="G84" s="2207"/>
      <c r="H84" s="2207" t="s">
        <v>68</v>
      </c>
      <c r="I84" s="2207"/>
      <c r="J84" s="2207" t="s">
        <v>78</v>
      </c>
      <c r="K84" s="2208"/>
      <c r="L84" s="1369"/>
      <c r="M84" s="1369"/>
      <c r="N84" s="766"/>
      <c r="O84" s="766"/>
      <c r="P84" s="762"/>
      <c r="Q84" s="762"/>
      <c r="R84" s="762"/>
      <c r="S84" s="762"/>
      <c r="T84" s="762"/>
      <c r="U84" s="762"/>
      <c r="V84" s="762"/>
      <c r="W84" s="762"/>
    </row>
    <row r="85" spans="1:23">
      <c r="A85" s="751"/>
      <c r="B85" s="775" t="s">
        <v>39</v>
      </c>
      <c r="C85" s="775" t="s">
        <v>56</v>
      </c>
      <c r="D85" s="775"/>
      <c r="E85" s="775"/>
      <c r="F85" s="2201">
        <f>'13. RL Sociālekonomiskā an.'!G58</f>
        <v>27070.994936157833</v>
      </c>
      <c r="G85" s="2202"/>
      <c r="H85" s="2202">
        <f>H82</f>
        <v>32781.624762315667</v>
      </c>
      <c r="I85" s="2202"/>
      <c r="J85" s="2193">
        <f>H85/F85-1</f>
        <v>0.21095012723490014</v>
      </c>
      <c r="K85" s="2194"/>
      <c r="L85" s="775"/>
      <c r="M85" s="775"/>
      <c r="N85" s="751"/>
      <c r="O85" s="751"/>
      <c r="P85" s="762"/>
      <c r="Q85" s="762"/>
      <c r="R85" s="762"/>
      <c r="S85" s="762"/>
      <c r="T85" s="762"/>
      <c r="U85" s="762"/>
      <c r="V85" s="762"/>
      <c r="W85" s="762"/>
    </row>
    <row r="86" spans="1:23">
      <c r="A86" s="751"/>
      <c r="B86" s="775" t="s">
        <v>55</v>
      </c>
      <c r="C86" s="775" t="s">
        <v>57</v>
      </c>
      <c r="D86" s="775"/>
      <c r="E86" s="775"/>
      <c r="F86" s="2215">
        <f>'13. RL Sociālekonomiskā an.'!G59</f>
        <v>0.12609897605262632</v>
      </c>
      <c r="G86" s="2216"/>
      <c r="H86" s="2216">
        <f>IRR(G53:U53,J88)</f>
        <v>0.12614924601766742</v>
      </c>
      <c r="I86" s="2216"/>
      <c r="J86" s="2211">
        <f>H86-F86</f>
        <v>5.0269965041094267E-5</v>
      </c>
      <c r="K86" s="2212"/>
      <c r="L86" s="775" t="s">
        <v>86</v>
      </c>
      <c r="M86" s="775"/>
      <c r="N86" s="751"/>
      <c r="O86" s="751"/>
      <c r="P86" s="762"/>
      <c r="Q86" s="762"/>
      <c r="R86" s="762"/>
      <c r="S86" s="762"/>
      <c r="T86" s="762"/>
      <c r="U86" s="762"/>
      <c r="V86" s="762"/>
      <c r="W86" s="762"/>
    </row>
    <row r="87" spans="1:23">
      <c r="A87" s="1519"/>
      <c r="B87" s="775" t="s">
        <v>41</v>
      </c>
      <c r="C87" s="816" t="s">
        <v>58</v>
      </c>
      <c r="D87" s="816"/>
      <c r="E87" s="816"/>
      <c r="F87" s="2217">
        <f>'13. RL Sociālekonomiskā an.'!G60</f>
        <v>1.3588159394978516</v>
      </c>
      <c r="G87" s="2213"/>
      <c r="H87" s="2213">
        <f>H76/ABS(H81)</f>
        <v>1.425363265459588</v>
      </c>
      <c r="I87" s="2213"/>
      <c r="J87" s="2213">
        <f>H87/F87-1</f>
        <v>4.8974496123683098E-2</v>
      </c>
      <c r="K87" s="2214"/>
      <c r="L87" s="816"/>
      <c r="M87" s="816"/>
      <c r="N87" s="1519"/>
      <c r="O87" s="1519"/>
    </row>
    <row r="88" spans="1:23" ht="15.75">
      <c r="A88" s="1519"/>
      <c r="B88" s="1519"/>
      <c r="C88" s="1519"/>
      <c r="D88" s="1519"/>
      <c r="E88" s="1519"/>
      <c r="F88" s="2145" t="s">
        <v>1207</v>
      </c>
      <c r="G88" s="775"/>
      <c r="H88" s="775"/>
      <c r="I88" s="775"/>
      <c r="J88" s="2146">
        <v>-0.6</v>
      </c>
      <c r="K88" s="816"/>
      <c r="L88" s="1519"/>
      <c r="M88" s="1519"/>
      <c r="N88" s="1519"/>
      <c r="O88" s="1519"/>
    </row>
    <row r="89" spans="1:23">
      <c r="A89" s="1420"/>
      <c r="B89" s="1421"/>
      <c r="C89" s="1421"/>
      <c r="D89" s="1421"/>
      <c r="E89" s="1421"/>
      <c r="F89" s="1421"/>
      <c r="G89" s="1421"/>
      <c r="H89" s="1422"/>
      <c r="I89" s="1422"/>
      <c r="J89" s="1422"/>
      <c r="K89" s="1422"/>
      <c r="L89" s="1422"/>
      <c r="M89" s="1422"/>
      <c r="N89" s="1422"/>
      <c r="O89" s="1422"/>
      <c r="P89" s="1422"/>
      <c r="Q89" s="1422"/>
      <c r="R89" s="1422"/>
      <c r="S89" s="1422"/>
      <c r="T89" s="1422"/>
      <c r="U89" s="1422"/>
      <c r="V89" s="1423"/>
    </row>
    <row r="90" spans="1:23">
      <c r="D90" s="750"/>
      <c r="F90" s="824"/>
      <c r="G90" s="821"/>
      <c r="H90" s="824"/>
      <c r="I90" s="774"/>
    </row>
    <row r="91" spans="1:23">
      <c r="D91" s="750"/>
      <c r="H91" s="1346"/>
      <c r="I91" s="1346"/>
      <c r="J91" s="1346"/>
      <c r="K91" s="1346"/>
      <c r="L91" s="1346"/>
    </row>
    <row r="92" spans="1:23">
      <c r="D92" s="750"/>
      <c r="H92" s="1346"/>
      <c r="I92" s="1346"/>
      <c r="J92" s="1346"/>
      <c r="K92" s="1346"/>
      <c r="L92" s="1346"/>
    </row>
    <row r="93" spans="1:23">
      <c r="D93" s="750"/>
      <c r="H93" s="1346"/>
      <c r="I93" s="1346"/>
      <c r="J93" s="1346"/>
      <c r="K93" s="1346"/>
      <c r="L93" s="1346"/>
    </row>
    <row r="94" spans="1:23">
      <c r="D94" s="750"/>
      <c r="H94" s="1346"/>
      <c r="I94" s="1346"/>
      <c r="J94" s="1346"/>
      <c r="K94" s="1346"/>
      <c r="L94" s="1346"/>
    </row>
    <row r="95" spans="1:23">
      <c r="H95" s="1346"/>
      <c r="I95" s="1346"/>
      <c r="J95" s="1346"/>
      <c r="K95" s="1346"/>
      <c r="L95" s="1346"/>
    </row>
    <row r="96" spans="1:23">
      <c r="H96" s="1346"/>
      <c r="I96" s="1346"/>
      <c r="J96" s="1346"/>
      <c r="K96" s="1346"/>
      <c r="L96" s="1346"/>
    </row>
    <row r="97" spans="8:12">
      <c r="H97" s="1346"/>
      <c r="I97" s="1346"/>
      <c r="J97" s="1346"/>
      <c r="K97" s="1346"/>
      <c r="L97" s="1346"/>
    </row>
    <row r="98" spans="8:12">
      <c r="H98" s="1346"/>
      <c r="I98" s="1346"/>
      <c r="J98" s="1346"/>
      <c r="K98" s="1346"/>
      <c r="L98" s="1346"/>
    </row>
    <row r="99" spans="8:12">
      <c r="H99" s="1346"/>
      <c r="I99" s="1346"/>
      <c r="J99" s="1346"/>
      <c r="K99" s="1346"/>
      <c r="L99" s="1346"/>
    </row>
    <row r="100" spans="8:12">
      <c r="H100" s="1346"/>
      <c r="I100" s="1346"/>
      <c r="J100" s="1346"/>
      <c r="K100" s="1346"/>
      <c r="L100" s="1346"/>
    </row>
    <row r="101" spans="8:12">
      <c r="H101" s="1346"/>
      <c r="I101" s="1346"/>
      <c r="J101" s="1346"/>
      <c r="K101" s="1346"/>
      <c r="L101" s="1346"/>
    </row>
    <row r="102" spans="8:12">
      <c r="H102" s="1346"/>
      <c r="I102" s="1346"/>
      <c r="J102" s="1346"/>
      <c r="K102" s="1346"/>
      <c r="L102" s="1346"/>
    </row>
    <row r="103" spans="8:12">
      <c r="H103" s="1346"/>
      <c r="I103" s="1346"/>
      <c r="J103" s="1346"/>
      <c r="K103" s="1346"/>
      <c r="L103" s="1346"/>
    </row>
    <row r="104" spans="8:12">
      <c r="H104" s="1346"/>
      <c r="I104" s="1346"/>
      <c r="J104" s="1346"/>
      <c r="K104" s="1346"/>
      <c r="L104" s="1346"/>
    </row>
    <row r="105" spans="8:12">
      <c r="H105" s="1346"/>
      <c r="I105" s="1346"/>
      <c r="J105" s="1346"/>
      <c r="K105" s="1346"/>
      <c r="L105" s="1346"/>
    </row>
    <row r="106" spans="8:12">
      <c r="H106" s="1346"/>
      <c r="I106" s="1346"/>
      <c r="J106" s="1346"/>
      <c r="K106" s="1346"/>
      <c r="L106" s="1346"/>
    </row>
    <row r="107" spans="8:12">
      <c r="H107" s="1346"/>
      <c r="I107" s="1346"/>
      <c r="J107" s="1346"/>
      <c r="K107" s="1346"/>
      <c r="L107" s="1346"/>
    </row>
  </sheetData>
  <sheetProtection algorithmName="SHA-512" hashValue="WFEgoravbhBLv1tqT2S+3fT2ar6bQjwQhyGWdaeXqBHreLgDSwQEx6qI5OFw1WnC97CNbPRCFASYOzxG6doWFA==" saltValue="KZnmVbZWKEC4tx6HYQeFsw==" spinCount="100000" sheet="1" objects="1" scenarios="1"/>
  <mergeCells count="14">
    <mergeCell ref="J86:K86"/>
    <mergeCell ref="J87:K87"/>
    <mergeCell ref="F86:G86"/>
    <mergeCell ref="F87:G87"/>
    <mergeCell ref="H84:I84"/>
    <mergeCell ref="H85:I85"/>
    <mergeCell ref="H86:I86"/>
    <mergeCell ref="H87:I87"/>
    <mergeCell ref="A1:C1"/>
    <mergeCell ref="F84:G84"/>
    <mergeCell ref="F85:G85"/>
    <mergeCell ref="J84:K84"/>
    <mergeCell ref="J85:K85"/>
    <mergeCell ref="C3:C4"/>
  </mergeCells>
  <phoneticPr fontId="3" type="noConversion"/>
  <dataValidations count="1">
    <dataValidation type="decimal" allowBlank="1" showInputMessage="1" showErrorMessage="1" sqref="G56">
      <formula1>0</formula1>
      <formula2>100</formula2>
    </dataValidation>
  </dataValidations>
  <printOptions horizontalCentered="1"/>
  <pageMargins left="0.11811023622047245" right="0.11811023622047245" top="0.98425196850393704" bottom="0.98425196850393704" header="0.51181102362204722" footer="0.51181102362204722"/>
  <pageSetup paperSize="8" scale="50" orientation="landscape" r:id="rId1"/>
  <headerFooter alignWithMargins="0">
    <oddHeader>&amp;CJutīguma analīze-2&amp;R10.pielikums</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36</vt:i4>
      </vt:variant>
      <vt:variant>
        <vt:lpstr>Named Ranges</vt:lpstr>
      </vt:variant>
      <vt:variant>
        <vt:i4>24</vt:i4>
      </vt:variant>
    </vt:vector>
  </HeadingPairs>
  <TitlesOfParts>
    <vt:vector size="60" baseType="lpstr">
      <vt:lpstr>HIDDEN</vt:lpstr>
      <vt:lpstr>Titullapa</vt:lpstr>
      <vt:lpstr>1. DL budžets</vt:lpstr>
      <vt:lpstr>2. DL invest.n.pl.BEZ pr.</vt:lpstr>
      <vt:lpstr>3. DL invest.n.pl.AR pr.</vt:lpstr>
      <vt:lpstr>4.DL Finansiālā ilgtspēja</vt:lpstr>
      <vt:lpstr>5. DL soc.econom. analīze</vt:lpstr>
      <vt:lpstr>6.DL  jut. analīze-Inv.</vt:lpstr>
      <vt:lpstr>7.DL jut. analīze-Soc.</vt:lpstr>
      <vt:lpstr>8. AL budžets kopā</vt:lpstr>
      <vt:lpstr>9. AL alternatīvu anal.</vt:lpstr>
      <vt:lpstr>10. AL soc.ekonom. anal.</vt:lpstr>
      <vt:lpstr>11. RL Kapitāla naudas plūsma</vt:lpstr>
      <vt:lpstr>12. RL Investīciju n.pl.</vt:lpstr>
      <vt:lpstr>13. RL Sociālekonomiskā an.</vt:lpstr>
      <vt:lpstr>Neparedzētās izmaksas</vt:lpstr>
      <vt:lpstr>tarifi vilcienam</vt:lpstr>
      <vt:lpstr>attalumi</vt:lpstr>
      <vt:lpstr>negadījumu izmaksas</vt:lpstr>
      <vt:lpstr>pasazieri</vt:lpstr>
      <vt:lpstr>reisi R-T</vt:lpstr>
      <vt:lpstr>reisi R-J</vt:lpstr>
      <vt:lpstr>investīcijas_new</vt:lpstr>
      <vt:lpstr>dati_vilcieni</vt:lpstr>
      <vt:lpstr>uzturesanas_izmaksas</vt:lpstr>
      <vt:lpstr>negadijumi</vt:lpstr>
      <vt:lpstr>energo_2012</vt:lpstr>
      <vt:lpstr>energo_jaunais</vt:lpstr>
      <vt:lpstr>INVEST 1</vt:lpstr>
      <vt:lpstr>INVEST 2</vt:lpstr>
      <vt:lpstr>INVEST 3</vt:lpstr>
      <vt:lpstr>14. Kontroles lapa</vt:lpstr>
      <vt:lpstr>15. PIV 2.pielikums Fin. plāns</vt:lpstr>
      <vt:lpstr>16. PIV 3.pielikums</vt:lpstr>
      <vt:lpstr>17.PIV 4. pielikums finanšu an.</vt:lpstr>
      <vt:lpstr>18. PIV 4.pielikums Ekonom. an.</vt:lpstr>
      <vt:lpstr>'1. DL budžets'!atbalsts</vt:lpstr>
      <vt:lpstr>atbalsts</vt:lpstr>
      <vt:lpstr>'1. DL budžets'!Print_Area</vt:lpstr>
      <vt:lpstr>'10. AL soc.ekonom. anal.'!Print_Area</vt:lpstr>
      <vt:lpstr>'11. RL Kapitāla naudas plūsma'!Print_Area</vt:lpstr>
      <vt:lpstr>'12. RL Investīciju n.pl.'!Print_Area</vt:lpstr>
      <vt:lpstr>'13. RL Sociālekonomiskā an.'!Print_Area</vt:lpstr>
      <vt:lpstr>'14. Kontroles lapa'!Print_Area</vt:lpstr>
      <vt:lpstr>'15. PIV 2.pielikums Fin. plāns'!Print_Area</vt:lpstr>
      <vt:lpstr>'16. PIV 3.pielikums'!Print_Area</vt:lpstr>
      <vt:lpstr>'17.PIV 4. pielikums finanšu an.'!Print_Area</vt:lpstr>
      <vt:lpstr>'18. PIV 4.pielikums Ekonom. an.'!Print_Area</vt:lpstr>
      <vt:lpstr>'2. DL invest.n.pl.BEZ pr.'!Print_Area</vt:lpstr>
      <vt:lpstr>'3. DL invest.n.pl.AR pr.'!Print_Area</vt:lpstr>
      <vt:lpstr>'4.DL Finansiālā ilgtspēja'!Print_Area</vt:lpstr>
      <vt:lpstr>'5. DL soc.econom. analīze'!Print_Area</vt:lpstr>
      <vt:lpstr>'6.DL  jut. analīze-Inv.'!Print_Area</vt:lpstr>
      <vt:lpstr>'7.DL jut. analīze-Soc.'!Print_Area</vt:lpstr>
      <vt:lpstr>'8. AL budžets kopā'!Print_Area</vt:lpstr>
      <vt:lpstr>'9. AL alternatīvu anal.'!Print_Area</vt:lpstr>
      <vt:lpstr>'INVEST 1'!Print_Area</vt:lpstr>
      <vt:lpstr>'INVEST 2'!Print_Area</vt:lpstr>
      <vt:lpstr>'INVEST 3'!Print_Area</vt:lpstr>
      <vt:lpstr>Titullapa!Print_Area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Kaspars Vingris</dc:creator>
  <cp:lastModifiedBy>Inese Kukle</cp:lastModifiedBy>
  <cp:lastPrinted>2015-06-09T14:23:47Z</cp:lastPrinted>
  <dcterms:created xsi:type="dcterms:W3CDTF">2006-03-10T11:25:13Z</dcterms:created>
  <dcterms:modified xsi:type="dcterms:W3CDTF">2016-09-29T12:23:30Z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FileName">
    <vt:lpwstr/>
  </property>
</Properties>
</file>