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filterPrivacy="1" defaultThemeVersion="124226"/>
  <xr:revisionPtr revIDLastSave="0" documentId="8_{4FF5821C-9DB0-4848-AD09-6413F814F02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virs100_000_1pielik" sheetId="8" r:id="rId1"/>
    <sheet name="10_000līdz100_000_2pielik" sheetId="13" r:id="rId2"/>
    <sheet name="virs2000_3pielik" sheetId="14" r:id="rId3"/>
  </sheets>
  <definedNames>
    <definedName name="_xlnm.Print_Area" localSheetId="1">'10_000līdz100_000_2pielik'!$B$1:$AH$31</definedName>
    <definedName name="_xlnm.Print_Area" localSheetId="0">virs100_000_1pielik!$B$1:$AH$9</definedName>
    <definedName name="_xlnm.Print_Area" localSheetId="2">virs2000_3pielik!$B$1:$AH$57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1" i="13" l="1"/>
  <c r="AG31" i="13"/>
  <c r="AE31" i="13"/>
  <c r="R57" i="14" l="1"/>
  <c r="Q57" i="14"/>
  <c r="P57" i="14"/>
  <c r="O57" i="14"/>
  <c r="H57" i="14"/>
  <c r="I57" i="14" s="1"/>
  <c r="E57" i="14"/>
  <c r="D57" i="14"/>
  <c r="AF55" i="14"/>
  <c r="AH55" i="14" s="1"/>
  <c r="V55" i="14"/>
  <c r="U55" i="14"/>
  <c r="W55" i="14" s="1"/>
  <c r="L55" i="14"/>
  <c r="J55" i="14"/>
  <c r="I55" i="14"/>
  <c r="G55" i="14"/>
  <c r="AD54" i="14"/>
  <c r="AC54" i="14"/>
  <c r="AB54" i="14"/>
  <c r="L54" i="14"/>
  <c r="J54" i="14"/>
  <c r="I54" i="14"/>
  <c r="G54" i="14"/>
  <c r="AF53" i="14"/>
  <c r="AH53" i="14" s="1"/>
  <c r="V53" i="14"/>
  <c r="U53" i="14"/>
  <c r="X53" i="14" s="1"/>
  <c r="L53" i="14"/>
  <c r="J53" i="14"/>
  <c r="I53" i="14"/>
  <c r="G53" i="14"/>
  <c r="J52" i="14"/>
  <c r="I52" i="14"/>
  <c r="G52" i="14"/>
  <c r="AH51" i="14"/>
  <c r="AB51" i="14"/>
  <c r="AA51" i="14"/>
  <c r="AD51" i="14" s="1"/>
  <c r="J51" i="14"/>
  <c r="I51" i="14"/>
  <c r="G51" i="14"/>
  <c r="L50" i="14"/>
  <c r="J50" i="14"/>
  <c r="I50" i="14"/>
  <c r="G50" i="14"/>
  <c r="AH49" i="14"/>
  <c r="AB49" i="14"/>
  <c r="AA49" i="14"/>
  <c r="AD49" i="14" s="1"/>
  <c r="L49" i="14"/>
  <c r="J49" i="14"/>
  <c r="I49" i="14"/>
  <c r="G49" i="14"/>
  <c r="J48" i="14"/>
  <c r="I48" i="14"/>
  <c r="G48" i="14"/>
  <c r="AF47" i="14"/>
  <c r="AH47" i="14" s="1"/>
  <c r="L47" i="14"/>
  <c r="J47" i="14"/>
  <c r="I47" i="14"/>
  <c r="G47" i="14"/>
  <c r="AH46" i="14"/>
  <c r="J46" i="14"/>
  <c r="I46" i="14"/>
  <c r="G46" i="14"/>
  <c r="AH45" i="14"/>
  <c r="AB45" i="14"/>
  <c r="AA45" i="14"/>
  <c r="AD45" i="14" s="1"/>
  <c r="J45" i="14"/>
  <c r="I45" i="14"/>
  <c r="G45" i="14"/>
  <c r="L44" i="14"/>
  <c r="J44" i="14"/>
  <c r="I44" i="14"/>
  <c r="G44" i="14"/>
  <c r="AH43" i="14"/>
  <c r="V43" i="14"/>
  <c r="U43" i="14"/>
  <c r="W43" i="14" s="1"/>
  <c r="L43" i="14"/>
  <c r="J43" i="14"/>
  <c r="I43" i="14"/>
  <c r="G43" i="14"/>
  <c r="AH42" i="14"/>
  <c r="AD42" i="14"/>
  <c r="AC42" i="14"/>
  <c r="AB42" i="14"/>
  <c r="L42" i="14"/>
  <c r="J42" i="14"/>
  <c r="I42" i="14"/>
  <c r="G42" i="14"/>
  <c r="AH41" i="14"/>
  <c r="AB41" i="14"/>
  <c r="AA41" i="14"/>
  <c r="AD41" i="14" s="1"/>
  <c r="J41" i="14"/>
  <c r="I41" i="14"/>
  <c r="G41" i="14"/>
  <c r="V40" i="14"/>
  <c r="U40" i="14"/>
  <c r="W40" i="14" s="1"/>
  <c r="L40" i="14"/>
  <c r="J40" i="14"/>
  <c r="I40" i="14"/>
  <c r="G40" i="14"/>
  <c r="AF39" i="14"/>
  <c r="AH39" i="14" s="1"/>
  <c r="AD39" i="14"/>
  <c r="AC39" i="14"/>
  <c r="AB39" i="14"/>
  <c r="J39" i="14"/>
  <c r="I39" i="14"/>
  <c r="G39" i="14"/>
  <c r="AH38" i="14"/>
  <c r="AB38" i="14"/>
  <c r="AA38" i="14"/>
  <c r="AD38" i="14" s="1"/>
  <c r="J38" i="14"/>
  <c r="I38" i="14"/>
  <c r="G38" i="14"/>
  <c r="AH37" i="14"/>
  <c r="AD37" i="14"/>
  <c r="AC37" i="14"/>
  <c r="AB37" i="14"/>
  <c r="L37" i="14"/>
  <c r="J37" i="14"/>
  <c r="I37" i="14"/>
  <c r="G37" i="14"/>
  <c r="AH36" i="14"/>
  <c r="AC36" i="14"/>
  <c r="AB36" i="14"/>
  <c r="AA36" i="14"/>
  <c r="AD36" i="14" s="1"/>
  <c r="L36" i="14"/>
  <c r="J36" i="14"/>
  <c r="I36" i="14"/>
  <c r="G36" i="14"/>
  <c r="AB35" i="14"/>
  <c r="AA35" i="14"/>
  <c r="AD35" i="14" s="1"/>
  <c r="J35" i="14"/>
  <c r="I35" i="14"/>
  <c r="G35" i="14"/>
  <c r="AF34" i="14"/>
  <c r="AH34" i="14" s="1"/>
  <c r="V34" i="14"/>
  <c r="U34" i="14"/>
  <c r="X34" i="14" s="1"/>
  <c r="L34" i="14"/>
  <c r="J34" i="14"/>
  <c r="I34" i="14"/>
  <c r="G34" i="14"/>
  <c r="AH33" i="14"/>
  <c r="V33" i="14"/>
  <c r="U33" i="14"/>
  <c r="X33" i="14" s="1"/>
  <c r="L33" i="14"/>
  <c r="J33" i="14"/>
  <c r="I33" i="14"/>
  <c r="G33" i="14"/>
  <c r="AH32" i="14"/>
  <c r="L32" i="14"/>
  <c r="J32" i="14"/>
  <c r="I32" i="14"/>
  <c r="G32" i="14"/>
  <c r="AH31" i="14"/>
  <c r="V31" i="14"/>
  <c r="U31" i="14"/>
  <c r="X31" i="14" s="1"/>
  <c r="L31" i="14"/>
  <c r="J31" i="14"/>
  <c r="I31" i="14"/>
  <c r="G31" i="14"/>
  <c r="J30" i="14"/>
  <c r="I30" i="14"/>
  <c r="G30" i="14"/>
  <c r="AF29" i="14"/>
  <c r="AH29" i="14" s="1"/>
  <c r="V29" i="14"/>
  <c r="U29" i="14"/>
  <c r="X29" i="14" s="1"/>
  <c r="L29" i="14"/>
  <c r="J29" i="14"/>
  <c r="I29" i="14"/>
  <c r="G29" i="14"/>
  <c r="AB28" i="14"/>
  <c r="AA28" i="14"/>
  <c r="AD28" i="14" s="1"/>
  <c r="J28" i="14"/>
  <c r="I28" i="14"/>
  <c r="G28" i="14"/>
  <c r="AH27" i="14"/>
  <c r="V27" i="14"/>
  <c r="U27" i="14"/>
  <c r="X27" i="14" s="1"/>
  <c r="L27" i="14"/>
  <c r="J27" i="14"/>
  <c r="I27" i="14"/>
  <c r="G27" i="14"/>
  <c r="AF26" i="14"/>
  <c r="AH26" i="14" s="1"/>
  <c r="V26" i="14"/>
  <c r="U26" i="14"/>
  <c r="W26" i="14" s="1"/>
  <c r="J26" i="14"/>
  <c r="I26" i="14"/>
  <c r="G26" i="14"/>
  <c r="AF25" i="14"/>
  <c r="AH25" i="14" s="1"/>
  <c r="AB25" i="14"/>
  <c r="AA25" i="14"/>
  <c r="AD25" i="14" s="1"/>
  <c r="L25" i="14"/>
  <c r="J25" i="14"/>
  <c r="I25" i="14"/>
  <c r="G25" i="14"/>
  <c r="AD24" i="14"/>
  <c r="AC24" i="14"/>
  <c r="AB24" i="14"/>
  <c r="L24" i="14"/>
  <c r="J24" i="14"/>
  <c r="I24" i="14"/>
  <c r="G24" i="14"/>
  <c r="AH23" i="14"/>
  <c r="L23" i="14"/>
  <c r="I23" i="14"/>
  <c r="F23" i="14"/>
  <c r="J23" i="14" s="1"/>
  <c r="J22" i="14"/>
  <c r="I22" i="14"/>
  <c r="G22" i="14"/>
  <c r="L21" i="14"/>
  <c r="J21" i="14"/>
  <c r="I21" i="14"/>
  <c r="G21" i="14"/>
  <c r="AF20" i="14"/>
  <c r="AH20" i="14" s="1"/>
  <c r="V20" i="14"/>
  <c r="U20" i="14"/>
  <c r="X20" i="14" s="1"/>
  <c r="J20" i="14"/>
  <c r="I20" i="14"/>
  <c r="G20" i="14"/>
  <c r="AF19" i="14"/>
  <c r="AH19" i="14" s="1"/>
  <c r="X19" i="14"/>
  <c r="W19" i="14"/>
  <c r="V19" i="14"/>
  <c r="J19" i="14"/>
  <c r="I19" i="14"/>
  <c r="G19" i="14"/>
  <c r="AH18" i="14"/>
  <c r="L18" i="14"/>
  <c r="J18" i="14"/>
  <c r="I18" i="14"/>
  <c r="G18" i="14"/>
  <c r="AF17" i="14"/>
  <c r="AH17" i="14" s="1"/>
  <c r="J17" i="14"/>
  <c r="I17" i="14"/>
  <c r="G17" i="14"/>
  <c r="AH16" i="14"/>
  <c r="L16" i="14"/>
  <c r="J16" i="14"/>
  <c r="I16" i="14"/>
  <c r="G16" i="14"/>
  <c r="AB15" i="14"/>
  <c r="AA15" i="14"/>
  <c r="AC15" i="14" s="1"/>
  <c r="I15" i="14"/>
  <c r="F15" i="14"/>
  <c r="J15" i="14" s="1"/>
  <c r="U14" i="14"/>
  <c r="W14" i="14" s="1"/>
  <c r="L14" i="14"/>
  <c r="J14" i="14"/>
  <c r="I14" i="14"/>
  <c r="G14" i="14"/>
  <c r="AF13" i="14"/>
  <c r="AH13" i="14" s="1"/>
  <c r="V13" i="14"/>
  <c r="U13" i="14"/>
  <c r="X13" i="14" s="1"/>
  <c r="L13" i="14"/>
  <c r="J13" i="14"/>
  <c r="I13" i="14"/>
  <c r="G13" i="14"/>
  <c r="AH12" i="14"/>
  <c r="J12" i="14"/>
  <c r="I12" i="14"/>
  <c r="G12" i="14"/>
  <c r="I11" i="14"/>
  <c r="F11" i="14"/>
  <c r="J11" i="14" s="1"/>
  <c r="AF10" i="14"/>
  <c r="AH10" i="14" s="1"/>
  <c r="V10" i="14"/>
  <c r="U10" i="14"/>
  <c r="W10" i="14" s="1"/>
  <c r="I10" i="14"/>
  <c r="F10" i="14"/>
  <c r="G10" i="14" s="1"/>
  <c r="AF9" i="14"/>
  <c r="AH9" i="14" s="1"/>
  <c r="J9" i="14"/>
  <c r="I9" i="14"/>
  <c r="G9" i="14"/>
  <c r="AB8" i="14"/>
  <c r="AA8" i="14"/>
  <c r="AC8" i="14" s="1"/>
  <c r="L8" i="14"/>
  <c r="J8" i="14"/>
  <c r="I8" i="14"/>
  <c r="G8" i="14"/>
  <c r="V7" i="14"/>
  <c r="U7" i="14"/>
  <c r="W7" i="14" s="1"/>
  <c r="J7" i="14"/>
  <c r="I7" i="14"/>
  <c r="G7" i="14"/>
  <c r="R31" i="13"/>
  <c r="Q31" i="13"/>
  <c r="P31" i="13"/>
  <c r="O31" i="13"/>
  <c r="E31" i="13"/>
  <c r="D31" i="13"/>
  <c r="AH30" i="13"/>
  <c r="AB30" i="13"/>
  <c r="AA30" i="13"/>
  <c r="AC30" i="13" s="1"/>
  <c r="V30" i="13"/>
  <c r="U30" i="13"/>
  <c r="W30" i="13" s="1"/>
  <c r="L30" i="13"/>
  <c r="J30" i="13"/>
  <c r="I30" i="13"/>
  <c r="G30" i="13"/>
  <c r="AH29" i="13"/>
  <c r="AB29" i="13"/>
  <c r="AA29" i="13"/>
  <c r="AD29" i="13" s="1"/>
  <c r="L29" i="13"/>
  <c r="J29" i="13"/>
  <c r="I29" i="13"/>
  <c r="G29" i="13"/>
  <c r="V28" i="13"/>
  <c r="U28" i="13"/>
  <c r="X28" i="13" s="1"/>
  <c r="L28" i="13"/>
  <c r="J28" i="13"/>
  <c r="I28" i="13"/>
  <c r="G28" i="13"/>
  <c r="AF27" i="13"/>
  <c r="AH27" i="13" s="1"/>
  <c r="AB27" i="13"/>
  <c r="AA27" i="13"/>
  <c r="AD27" i="13" s="1"/>
  <c r="L27" i="13"/>
  <c r="J27" i="13"/>
  <c r="I27" i="13"/>
  <c r="G27" i="13"/>
  <c r="AF26" i="13"/>
  <c r="AH26" i="13" s="1"/>
  <c r="V26" i="13"/>
  <c r="U26" i="13"/>
  <c r="W26" i="13" s="1"/>
  <c r="L26" i="13"/>
  <c r="J26" i="13"/>
  <c r="I26" i="13"/>
  <c r="G26" i="13"/>
  <c r="AH25" i="13"/>
  <c r="AB25" i="13"/>
  <c r="AA25" i="13"/>
  <c r="AD25" i="13" s="1"/>
  <c r="J25" i="13"/>
  <c r="I25" i="13"/>
  <c r="G25" i="13"/>
  <c r="AF24" i="13"/>
  <c r="AH24" i="13" s="1"/>
  <c r="V24" i="13"/>
  <c r="U24" i="13"/>
  <c r="W24" i="13" s="1"/>
  <c r="L24" i="13"/>
  <c r="J24" i="13"/>
  <c r="I24" i="13"/>
  <c r="G24" i="13"/>
  <c r="L23" i="13"/>
  <c r="J23" i="13"/>
  <c r="I23" i="13"/>
  <c r="G23" i="13"/>
  <c r="AF22" i="13"/>
  <c r="AH22" i="13" s="1"/>
  <c r="V22" i="13"/>
  <c r="U22" i="13"/>
  <c r="X22" i="13" s="1"/>
  <c r="J22" i="13"/>
  <c r="I22" i="13"/>
  <c r="G22" i="13"/>
  <c r="AF21" i="13"/>
  <c r="AH21" i="13" s="1"/>
  <c r="W21" i="13"/>
  <c r="V21" i="13"/>
  <c r="U21" i="13"/>
  <c r="X21" i="13" s="1"/>
  <c r="L21" i="13"/>
  <c r="H21" i="13"/>
  <c r="J21" i="13" s="1"/>
  <c r="G21" i="13"/>
  <c r="AH20" i="13"/>
  <c r="X20" i="13"/>
  <c r="V20" i="13"/>
  <c r="U20" i="13"/>
  <c r="W20" i="13" s="1"/>
  <c r="J20" i="13"/>
  <c r="I20" i="13"/>
  <c r="G20" i="13"/>
  <c r="AF19" i="13"/>
  <c r="AH19" i="13" s="1"/>
  <c r="J19" i="13"/>
  <c r="I19" i="13"/>
  <c r="G19" i="13"/>
  <c r="AF18" i="13"/>
  <c r="AH18" i="13" s="1"/>
  <c r="L18" i="13"/>
  <c r="J18" i="13"/>
  <c r="I18" i="13"/>
  <c r="G18" i="13"/>
  <c r="AF17" i="13"/>
  <c r="AH17" i="13" s="1"/>
  <c r="V17" i="13"/>
  <c r="U17" i="13"/>
  <c r="W17" i="13" s="1"/>
  <c r="L17" i="13"/>
  <c r="J17" i="13"/>
  <c r="I17" i="13"/>
  <c r="G17" i="13"/>
  <c r="AF16" i="13"/>
  <c r="AH16" i="13" s="1"/>
  <c r="J16" i="13"/>
  <c r="I16" i="13"/>
  <c r="G16" i="13"/>
  <c r="AF15" i="13"/>
  <c r="AH15" i="13" s="1"/>
  <c r="V15" i="13"/>
  <c r="U15" i="13"/>
  <c r="X15" i="13" s="1"/>
  <c r="J15" i="13"/>
  <c r="I15" i="13"/>
  <c r="G15" i="13"/>
  <c r="AF14" i="13"/>
  <c r="AH14" i="13" s="1"/>
  <c r="V14" i="13"/>
  <c r="U14" i="13"/>
  <c r="X14" i="13" s="1"/>
  <c r="J14" i="13"/>
  <c r="I14" i="13"/>
  <c r="G14" i="13"/>
  <c r="AF13" i="13"/>
  <c r="AH13" i="13" s="1"/>
  <c r="X13" i="13"/>
  <c r="V13" i="13"/>
  <c r="U13" i="13"/>
  <c r="W13" i="13" s="1"/>
  <c r="J13" i="13"/>
  <c r="I13" i="13"/>
  <c r="G13" i="13"/>
  <c r="AF12" i="13"/>
  <c r="AH12" i="13" s="1"/>
  <c r="W12" i="13"/>
  <c r="V12" i="13"/>
  <c r="U12" i="13"/>
  <c r="X12" i="13" s="1"/>
  <c r="L12" i="13"/>
  <c r="J12" i="13"/>
  <c r="I12" i="13"/>
  <c r="G12" i="13"/>
  <c r="AF11" i="13"/>
  <c r="AH11" i="13" s="1"/>
  <c r="X11" i="13"/>
  <c r="V11" i="13"/>
  <c r="U11" i="13"/>
  <c r="W11" i="13" s="1"/>
  <c r="L11" i="13"/>
  <c r="J11" i="13"/>
  <c r="I11" i="13"/>
  <c r="G11" i="13"/>
  <c r="AF10" i="13"/>
  <c r="AH10" i="13" s="1"/>
  <c r="V10" i="13"/>
  <c r="U10" i="13"/>
  <c r="L10" i="13"/>
  <c r="I10" i="13"/>
  <c r="F10" i="13"/>
  <c r="J10" i="13" s="1"/>
  <c r="AF9" i="13"/>
  <c r="AH9" i="13" s="1"/>
  <c r="L9" i="13"/>
  <c r="I9" i="13"/>
  <c r="F9" i="13"/>
  <c r="J9" i="13" s="1"/>
  <c r="AF8" i="13"/>
  <c r="L8" i="13"/>
  <c r="J8" i="13"/>
  <c r="I8" i="13"/>
  <c r="G8" i="13"/>
  <c r="AH7" i="13"/>
  <c r="L7" i="13"/>
  <c r="J7" i="13"/>
  <c r="I7" i="13"/>
  <c r="G7" i="13"/>
  <c r="X24" i="13" l="1"/>
  <c r="X26" i="13"/>
  <c r="W22" i="13"/>
  <c r="X30" i="13"/>
  <c r="AC49" i="14"/>
  <c r="AH8" i="13"/>
  <c r="AF31" i="13"/>
  <c r="AI31" i="13" s="1"/>
  <c r="X10" i="13"/>
  <c r="U31" i="13"/>
  <c r="G10" i="13"/>
  <c r="F31" i="13"/>
  <c r="AC25" i="13"/>
  <c r="X10" i="14"/>
  <c r="G9" i="13"/>
  <c r="G15" i="14"/>
  <c r="W31" i="14"/>
  <c r="AC41" i="14"/>
  <c r="X43" i="14"/>
  <c r="W13" i="14"/>
  <c r="W20" i="14"/>
  <c r="AC38" i="14"/>
  <c r="X40" i="14"/>
  <c r="X26" i="14"/>
  <c r="W27" i="14"/>
  <c r="AC28" i="14"/>
  <c r="W29" i="14"/>
  <c r="AC35" i="14"/>
  <c r="W53" i="14"/>
  <c r="AC25" i="14"/>
  <c r="X7" i="14"/>
  <c r="AC45" i="14"/>
  <c r="X55" i="14"/>
  <c r="J10" i="14"/>
  <c r="G11" i="14"/>
  <c r="G23" i="14"/>
  <c r="W33" i="14"/>
  <c r="X14" i="14"/>
  <c r="W34" i="14"/>
  <c r="AC51" i="14"/>
  <c r="AD8" i="14"/>
  <c r="AD15" i="14"/>
  <c r="F57" i="14"/>
  <c r="G31" i="13"/>
  <c r="H31" i="13"/>
  <c r="I31" i="13" s="1"/>
  <c r="W15" i="13"/>
  <c r="I21" i="13"/>
  <c r="AC27" i="13"/>
  <c r="AD30" i="13"/>
  <c r="W14" i="13"/>
  <c r="X17" i="13"/>
  <c r="W10" i="13"/>
  <c r="W28" i="13"/>
  <c r="AC29" i="13"/>
  <c r="G57" i="14" l="1"/>
  <c r="J57" i="14"/>
  <c r="J31" i="13"/>
  <c r="R9" i="8" l="1"/>
  <c r="Q9" i="8"/>
  <c r="P9" i="8"/>
  <c r="O9" i="8"/>
  <c r="E9" i="8"/>
  <c r="D9" i="8"/>
  <c r="AF8" i="8"/>
  <c r="AH8" i="8" s="1"/>
  <c r="U8" i="8"/>
  <c r="J8" i="8"/>
  <c r="I8" i="8"/>
  <c r="G8" i="8"/>
  <c r="L8" i="8"/>
  <c r="AF7" i="8"/>
  <c r="AH7" i="8" s="1"/>
  <c r="V7" i="8"/>
  <c r="U7" i="8"/>
  <c r="X7" i="8" s="1"/>
  <c r="J7" i="8"/>
  <c r="I7" i="8"/>
  <c r="G7" i="8"/>
  <c r="W7" i="8" l="1"/>
  <c r="F9" i="8"/>
  <c r="H9" i="8"/>
  <c r="J9" i="8" l="1"/>
  <c r="G9" i="8"/>
  <c r="I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N8" authorId="0" shapeId="0" xr:uid="{6A1B0E3B-DB79-4CCB-9504-ECFD43641CB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bet % norādīti 94.92 PIV, pēc cilvēku skaita sanāk 100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F7" authorId="0" shapeId="0" xr:uid="{9907CEA8-4B3A-4E26-845A-0AE9DAD9074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ieguldījums esošo NAI īslaicīgās slodzes attīrīšanai</t>
        </r>
      </text>
    </comment>
    <comment ref="AF16" authorId="0" shapeId="0" xr:uid="{F9FE40A1-E449-492D-9B80-5620481322C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2.5 milj. Ir NAI rekonstrukcija</t>
        </r>
      </text>
    </comment>
    <comment ref="AF18" authorId="0" shapeId="0" xr:uid="{F0EC5ACF-632B-423C-8729-5D2BB60E39A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t.sk. 1.8km izvads jūrā 3.85 milj.</t>
        </r>
      </text>
    </comment>
    <comment ref="AF19" authorId="0" shapeId="0" xr:uid="{B3840600-287A-4694-9372-D0A5CDF8CCB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170 000 NAI rekonstrukcija</t>
        </r>
      </text>
    </comment>
    <comment ref="AF23" authorId="0" shapeId="0" xr:uid="{CBF7D7EA-1CB7-4889-A3A2-964C3FD4B78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NAI Krīgeri rekonstrukcija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F7" authorId="0" shapeId="0" xr:uid="{70FB61C5-60B7-442C-9050-42CEFCC8DBA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NAI</t>
        </r>
      </text>
    </comment>
    <comment ref="AF9" authorId="0" shapeId="0" xr:uid="{92B8F377-1A78-4FC7-8D02-BBE0A8B4B1B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1 200 000 NAI rekonstrukcija</t>
        </r>
      </text>
    </comment>
    <comment ref="AF10" authorId="0" shapeId="0" xr:uid="{68E951CB-4756-4BBA-9E11-731E20E711B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145 000 NAI - dūņu attūdeņošana u.c.</t>
        </r>
      </text>
    </comment>
    <comment ref="AF13" authorId="0" shapeId="0" xr:uid="{85E37222-21AC-489B-8EDE-FDC94CC64F8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70 000 NAI rekonstrukcija</t>
        </r>
      </text>
    </comment>
    <comment ref="AF19" authorId="0" shapeId="0" xr:uid="{F091180C-4653-4E96-B19D-5F3B01CE77B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NAI Jaudas palielinājums</t>
        </r>
      </text>
    </comment>
    <comment ref="AF20" authorId="0" shapeId="0" xr:uid="{508ADE25-FCF3-4B60-954F-643C1E20CCB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225000 - Daļēji segts dūņu lauks</t>
        </r>
      </text>
    </comment>
    <comment ref="AF25" authorId="0" shapeId="0" xr:uid="{4ACA4003-A65D-4909-8DA5-78F3523BDA3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2 000 000 NAI rekonstrukcija</t>
        </r>
      </text>
    </comment>
    <comment ref="AF32" authorId="0" shapeId="0" xr:uid="{21900CEF-0565-4A85-A495-14E476A50C7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NAI nolietojums 80%, uz max jaudas noslodze</t>
        </r>
      </text>
    </comment>
    <comment ref="AF34" authorId="0" shapeId="0" xr:uid="{A20627F3-6AAF-4580-9C33-9F077E3ED73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1 392 000 - NAI rekonstrukcija</t>
        </r>
      </text>
    </comment>
    <comment ref="Z35" authorId="0" shapeId="0" xr:uid="{90ECB784-8056-4D2E-86EB-8DFC2A1EB9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ir 41 mājsaimniecība - </t>
        </r>
      </text>
    </comment>
    <comment ref="AF37" authorId="0" shapeId="0" xr:uid="{85A9FD46-D7D7-41E0-8189-D6C17C5417D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NAI pārbūve</t>
        </r>
      </text>
    </comment>
    <comment ref="AF39" authorId="0" shapeId="0" xr:uid="{15003FE3-9BC2-48C9-BCC8-C1DE0FC417D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1 173 963 NAI rekonstrukcija</t>
        </r>
      </text>
    </comment>
    <comment ref="AF53" authorId="0" shapeId="0" xr:uid="{1859D65A-2D17-404A-A287-24E1A5D3DC4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1685866 priekš NAI</t>
        </r>
      </text>
    </comment>
    <comment ref="Z54" authorId="0" shapeId="0" xr:uid="{75641ECE-8A67-4A08-BF60-5082025CE92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nevar saprast vai mājsaimniecības vai iedz.</t>
        </r>
      </text>
    </comment>
    <comment ref="AF55" authorId="0" shapeId="0" xr:uid="{EA694250-A118-4039-91E6-D51143BF628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1 000 000 NAI jaudas palielināšana </t>
        </r>
      </text>
    </comment>
  </commentList>
</comments>
</file>

<file path=xl/sharedStrings.xml><?xml version="1.0" encoding="utf-8"?>
<sst xmlns="http://schemas.openxmlformats.org/spreadsheetml/2006/main" count="232" uniqueCount="130">
  <si>
    <t>%</t>
  </si>
  <si>
    <t>Iedzīvotāju skaits</t>
  </si>
  <si>
    <t>Rīga</t>
  </si>
  <si>
    <t>Daugavpils</t>
  </si>
  <si>
    <t>Liepāja</t>
  </si>
  <si>
    <t>Jelgava</t>
  </si>
  <si>
    <t>Ventspils</t>
  </si>
  <si>
    <t>Rēzekne</t>
  </si>
  <si>
    <t>Jēkabpils</t>
  </si>
  <si>
    <t>Jūrmala</t>
  </si>
  <si>
    <t>Valmiera</t>
  </si>
  <si>
    <t>Ogre</t>
  </si>
  <si>
    <t>Tukums</t>
  </si>
  <si>
    <t>Cēsis</t>
  </si>
  <si>
    <t>Salaspils</t>
  </si>
  <si>
    <t>Talsi</t>
  </si>
  <si>
    <t>Olaine</t>
  </si>
  <si>
    <t>Kuldīga</t>
  </si>
  <si>
    <t>Saldus</t>
  </si>
  <si>
    <t>Sigulda</t>
  </si>
  <si>
    <t>Krāslava</t>
  </si>
  <si>
    <t>Dobele</t>
  </si>
  <si>
    <t>Bauska</t>
  </si>
  <si>
    <t>Madona</t>
  </si>
  <si>
    <t>Limbaži</t>
  </si>
  <si>
    <t>Gulbene</t>
  </si>
  <si>
    <t>Mārupe</t>
  </si>
  <si>
    <t>Preiļi</t>
  </si>
  <si>
    <t>Salacgrīva</t>
  </si>
  <si>
    <t>Ludza</t>
  </si>
  <si>
    <t>Alūksne</t>
  </si>
  <si>
    <t>Līvāni</t>
  </si>
  <si>
    <t>Aizkraukle</t>
  </si>
  <si>
    <t>Balvi</t>
  </si>
  <si>
    <t>Lielvārde</t>
  </si>
  <si>
    <t>Smiltene</t>
  </si>
  <si>
    <t>Valka</t>
  </si>
  <si>
    <t>Saulkrasti</t>
  </si>
  <si>
    <t>Aizpute</t>
  </si>
  <si>
    <t>Ādaži</t>
  </si>
  <si>
    <t>Iecava</t>
  </si>
  <si>
    <t>Kandava</t>
  </si>
  <si>
    <t>Grobiņa</t>
  </si>
  <si>
    <t>Baloži</t>
  </si>
  <si>
    <t>Babīte</t>
  </si>
  <si>
    <t>Pļaviņas</t>
  </si>
  <si>
    <t>Vangaži</t>
  </si>
  <si>
    <t>Viļāni</t>
  </si>
  <si>
    <t>Rūjiena</t>
  </si>
  <si>
    <t>Brocēni</t>
  </si>
  <si>
    <t>Carnikava</t>
  </si>
  <si>
    <t>Skrīveri</t>
  </si>
  <si>
    <t>Auce</t>
  </si>
  <si>
    <t>Ozolnieki</t>
  </si>
  <si>
    <t>Ilūkste</t>
  </si>
  <si>
    <t>Baldone</t>
  </si>
  <si>
    <t>Roja</t>
  </si>
  <si>
    <t>Jaunolaine</t>
  </si>
  <si>
    <t>Malta</t>
  </si>
  <si>
    <t>Skrunda</t>
  </si>
  <si>
    <t>Dagda</t>
  </si>
  <si>
    <t>Priekule</t>
  </si>
  <si>
    <t>Priekuļi</t>
  </si>
  <si>
    <t>Kārsava</t>
  </si>
  <si>
    <t>Liepa</t>
  </si>
  <si>
    <t>Ikšķile</t>
  </si>
  <si>
    <t>Ulbroka</t>
  </si>
  <si>
    <t>Vecumnieki</t>
  </si>
  <si>
    <t>Ērgļi</t>
  </si>
  <si>
    <t>Ķegums</t>
  </si>
  <si>
    <t>Varakļāni</t>
  </si>
  <si>
    <t>Mālpils</t>
  </si>
  <si>
    <t>Dundaga</t>
  </si>
  <si>
    <t>Īslīce</t>
  </si>
  <si>
    <t>Jaunpiebalga</t>
  </si>
  <si>
    <t>Baltezers</t>
  </si>
  <si>
    <t>Pakalpojumu  sniegšanas teritorija</t>
  </si>
  <si>
    <t>Iedzīvotāju skaits aglomerācijas teritorijā iekļautajās apdzīvotajās vietās</t>
  </si>
  <si>
    <t>Pieslēgumu atbilstība pārklājumam</t>
  </si>
  <si>
    <r>
      <t>Faktiskie CKS izmantotāji 
(</t>
    </r>
    <r>
      <rPr>
        <b/>
        <i/>
        <sz val="8"/>
        <color theme="1"/>
        <rFont val="Calibri"/>
        <family val="2"/>
        <scheme val="minor"/>
      </rPr>
      <t>Pieslēgums</t>
    </r>
    <r>
      <rPr>
        <sz val="8"/>
        <color theme="1"/>
        <rFont val="Calibri"/>
        <family val="2"/>
        <scheme val="minor"/>
      </rPr>
      <t>)</t>
    </r>
  </si>
  <si>
    <r>
      <t>CKS pakalpojumu pieejamība 
(</t>
    </r>
    <r>
      <rPr>
        <b/>
        <i/>
        <sz val="8"/>
        <color theme="1"/>
        <rFont val="Calibri"/>
        <family val="2"/>
        <scheme val="minor"/>
      </rPr>
      <t>Pārklājums</t>
    </r>
    <r>
      <rPr>
        <sz val="8"/>
        <color theme="1"/>
        <rFont val="Calibri"/>
        <family val="2"/>
        <scheme val="minor"/>
      </rPr>
      <t>)</t>
    </r>
  </si>
  <si>
    <r>
      <t xml:space="preserve">Ar izvedamām cisternām apkalpoto iedzīvotāju skaits </t>
    </r>
    <r>
      <rPr>
        <u/>
        <sz val="8"/>
        <color theme="1"/>
        <rFont val="Calibri"/>
        <family val="2"/>
        <scheme val="minor"/>
      </rPr>
      <t>aglomerācijā</t>
    </r>
  </si>
  <si>
    <r>
      <t xml:space="preserve">Iedzīvotāju skaits </t>
    </r>
    <r>
      <rPr>
        <u/>
        <sz val="8"/>
        <color theme="1"/>
        <rFont val="Calibri"/>
        <family val="2"/>
        <scheme val="minor"/>
      </rPr>
      <t>aglomerācijā</t>
    </r>
    <r>
      <rPr>
        <sz val="8"/>
        <color theme="1"/>
        <rFont val="Calibri"/>
        <family val="2"/>
        <scheme val="minor"/>
      </rPr>
      <t>, kas izmanto individuālās NAI</t>
    </r>
  </si>
  <si>
    <r>
      <t>Gruntsūdeņu (t.sk. arī notekūdeņu) nekontrolēta infiltrācija CKS, 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diennaktī</t>
    </r>
  </si>
  <si>
    <r>
      <t>Decentralizētajās notekūdeņu savākšanas sistēmās radīto notekūdeņu daudzums, 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diennaktī</t>
    </r>
  </si>
  <si>
    <r>
      <t>m</t>
    </r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>/dnn</t>
    </r>
  </si>
  <si>
    <t>KOPĀ:</t>
  </si>
  <si>
    <r>
      <t xml:space="preserve">Aktuālais iedzīvotāju skaits </t>
    </r>
    <r>
      <rPr>
        <b/>
        <u/>
        <sz val="8"/>
        <color theme="1"/>
        <rFont val="Calibri"/>
        <family val="2"/>
        <charset val="186"/>
        <scheme val="minor"/>
      </rPr>
      <t>aglomerācijā</t>
    </r>
  </si>
  <si>
    <t>Ķekava-Valdlauči</t>
  </si>
  <si>
    <t>Nr.p.k.</t>
  </si>
  <si>
    <t>1.</t>
  </si>
  <si>
    <t>3.</t>
  </si>
  <si>
    <t>6.</t>
  </si>
  <si>
    <t xml:space="preserve">2. </t>
  </si>
  <si>
    <t>7.</t>
  </si>
  <si>
    <t>8.</t>
  </si>
  <si>
    <t>9.</t>
  </si>
  <si>
    <t xml:space="preserve">4. </t>
  </si>
  <si>
    <t xml:space="preserve">5. </t>
  </si>
  <si>
    <t>10.</t>
  </si>
  <si>
    <t>11.</t>
  </si>
  <si>
    <t>19.</t>
  </si>
  <si>
    <t>15.</t>
  </si>
  <si>
    <t>18.</t>
  </si>
  <si>
    <t>12.</t>
  </si>
  <si>
    <t>13.</t>
  </si>
  <si>
    <t>14.</t>
  </si>
  <si>
    <t>16.</t>
  </si>
  <si>
    <t>17.</t>
  </si>
  <si>
    <r>
      <t xml:space="preserve">Plānotais </t>
    </r>
    <r>
      <rPr>
        <b/>
        <sz val="8"/>
        <color rgb="FF0070C0"/>
        <rFont val="Calibri"/>
        <family val="2"/>
        <scheme val="minor"/>
      </rPr>
      <t>pieslēgumu</t>
    </r>
    <r>
      <rPr>
        <sz val="8"/>
        <color rgb="FF0070C0"/>
        <rFont val="Calibri"/>
        <family val="2"/>
        <scheme val="minor"/>
      </rPr>
      <t xml:space="preserve"> līmenis pēc SAM 5.3.1. īstenošanas</t>
    </r>
  </si>
  <si>
    <r>
      <t xml:space="preserve">Plānotais Iedzīvotāju skaits </t>
    </r>
    <r>
      <rPr>
        <b/>
        <sz val="8"/>
        <color rgb="FF0070C0"/>
        <rFont val="Calibri"/>
        <family val="2"/>
        <scheme val="minor"/>
      </rPr>
      <t>(aglomerācijā)</t>
    </r>
    <r>
      <rPr>
        <sz val="8"/>
        <color rgb="FF0070C0"/>
        <rFont val="Calibri"/>
        <family val="2"/>
        <scheme val="minor"/>
      </rPr>
      <t xml:space="preserve">  SAM 5.3.1. projekta pieteikumā</t>
    </r>
  </si>
  <si>
    <t>PAPLAŠINĀTĀ AGLOMERĀCIJA</t>
  </si>
  <si>
    <t>ESOŠĀ AGLOMERĀCIJĀ</t>
  </si>
  <si>
    <t>t.sk.NAI infrastruktūra</t>
  </si>
  <si>
    <t>metri/cilvēku</t>
  </si>
  <si>
    <t>EUR/metrs</t>
  </si>
  <si>
    <t>EUR/cilv.</t>
  </si>
  <si>
    <t>SAM 5.3.1. iznākuma rādītājs (iedz.skaits)</t>
  </si>
  <si>
    <t>Papildus pieslēdzamo iedzīvotāju skaits</t>
  </si>
  <si>
    <t>Nepieciešamās investīcijas (EUR)</t>
  </si>
  <si>
    <t>Nepieciešamās investīcijas papildus infrastruktūrai  (EUR)</t>
  </si>
  <si>
    <t>Papildus nepieciešamais infrastruktūras  apjoms, m</t>
  </si>
  <si>
    <t>Rekontruējamās infrastruktūras apjoms, m</t>
  </si>
  <si>
    <t>Nepieciešamās investīcijas infrastruktūras rekonstukcijai (EUR)</t>
  </si>
  <si>
    <t>1.Pielikums</t>
  </si>
  <si>
    <t>Esošās situācijas raksturojums notekūdeņu savākšanas jomā aglomerāciju grupā ar CE&gt;100000</t>
  </si>
  <si>
    <t>Esošās situācijas raksturojums notekūdeņu savākšanas jomā aglomerāciju grupā ar CE&gt;10000 &lt;100000</t>
  </si>
  <si>
    <t>2.Pielikums</t>
  </si>
  <si>
    <t>3.Pielikums</t>
  </si>
  <si>
    <t>Esošās situācijas raksturojums notekūdeņu savākšanas jomā aglomerāciju grupā ar CE&gt;2000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</si>
</sst>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10"/>
      <color theme="1"/>
      <name val="Calibri"/>
      <family val="2"/>
      <charset val="186"/>
      <scheme val="minor"/>
    </font>
    <font>
      <sz val="10"/>
      <name val="Calibri"/>
      <family val="2"/>
      <scheme val="minor"/>
    </font>
    <font>
      <b/>
      <u/>
      <sz val="8"/>
      <color theme="1"/>
      <name val="Calibri"/>
      <family val="2"/>
      <charset val="186"/>
      <scheme val="minor"/>
    </font>
    <font>
      <sz val="10"/>
      <color rgb="FFFF000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8"/>
      <color theme="3" tint="0.39997558519241921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sz val="8"/>
      <color theme="3" tint="0.39997558519241921"/>
      <name val="Calibri"/>
      <family val="2"/>
      <scheme val="minor"/>
    </font>
    <font>
      <b/>
      <sz val="10"/>
      <color theme="3" tint="0.39997558519241921"/>
      <name val="Calibri"/>
      <family val="2"/>
      <scheme val="minor"/>
    </font>
    <font>
      <i/>
      <sz val="10"/>
      <color theme="3" tint="0.39997558519241921"/>
      <name val="Calibri"/>
      <family val="2"/>
      <scheme val="minor"/>
    </font>
    <font>
      <b/>
      <i/>
      <sz val="10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8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9"/>
      <color indexed="81"/>
      <name val="Tahoma"/>
      <charset val="1"/>
    </font>
    <font>
      <sz val="12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21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0" fontId="8" fillId="2" borderId="0" xfId="0" applyFont="1" applyFill="1"/>
    <xf numFmtId="3" fontId="8" fillId="2" borderId="0" xfId="0" applyNumberFormat="1" applyFont="1" applyFill="1" applyAlignment="1">
      <alignment horizontal="center"/>
    </xf>
    <xf numFmtId="165" fontId="8" fillId="2" borderId="0" xfId="0" applyNumberFormat="1" applyFont="1" applyFill="1" applyAlignment="1">
      <alignment horizontal="center"/>
    </xf>
    <xf numFmtId="0" fontId="8" fillId="0" borderId="0" xfId="0" applyFont="1"/>
    <xf numFmtId="164" fontId="8" fillId="2" borderId="0" xfId="1" applyNumberFormat="1" applyFont="1" applyFill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3" fontId="3" fillId="0" borderId="0" xfId="0" applyNumberFormat="1" applyFont="1"/>
    <xf numFmtId="3" fontId="9" fillId="0" borderId="1" xfId="0" applyNumberFormat="1" applyFont="1" applyBorder="1" applyAlignment="1">
      <alignment horizontal="center"/>
    </xf>
    <xf numFmtId="164" fontId="9" fillId="3" borderId="1" xfId="1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9" fillId="0" borderId="1" xfId="0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5" fontId="9" fillId="0" borderId="1" xfId="0" applyNumberFormat="1" applyFont="1" applyFill="1" applyBorder="1" applyAlignment="1">
      <alignment horizontal="center"/>
    </xf>
    <xf numFmtId="0" fontId="9" fillId="0" borderId="0" xfId="0" applyFont="1"/>
    <xf numFmtId="0" fontId="9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0" fontId="3" fillId="0" borderId="0" xfId="0" applyNumberFormat="1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3" fontId="15" fillId="2" borderId="0" xfId="0" applyNumberFormat="1" applyFont="1" applyFill="1" applyAlignment="1">
      <alignment horizontal="center"/>
    </xf>
    <xf numFmtId="0" fontId="14" fillId="0" borderId="0" xfId="0" applyFont="1"/>
    <xf numFmtId="3" fontId="12" fillId="5" borderId="1" xfId="0" applyNumberFormat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/>
    </xf>
    <xf numFmtId="3" fontId="8" fillId="2" borderId="0" xfId="1" applyNumberFormat="1" applyFont="1" applyFill="1" applyAlignment="1">
      <alignment horizontal="center"/>
    </xf>
    <xf numFmtId="3" fontId="14" fillId="0" borderId="0" xfId="0" applyNumberFormat="1" applyFont="1" applyFill="1"/>
    <xf numFmtId="10" fontId="12" fillId="5" borderId="1" xfId="0" applyNumberFormat="1" applyFont="1" applyFill="1" applyBorder="1" applyAlignment="1">
      <alignment horizontal="center" vertical="center" wrapText="1"/>
    </xf>
    <xf numFmtId="10" fontId="14" fillId="0" borderId="1" xfId="1" applyNumberFormat="1" applyFont="1" applyFill="1" applyBorder="1" applyAlignment="1">
      <alignment horizontal="center"/>
    </xf>
    <xf numFmtId="10" fontId="8" fillId="2" borderId="0" xfId="1" applyNumberFormat="1" applyFont="1" applyFill="1" applyAlignment="1">
      <alignment horizontal="center"/>
    </xf>
    <xf numFmtId="10" fontId="14" fillId="0" borderId="0" xfId="0" applyNumberFormat="1" applyFont="1" applyFill="1"/>
    <xf numFmtId="3" fontId="3" fillId="6" borderId="1" xfId="0" applyNumberFormat="1" applyFont="1" applyFill="1" applyBorder="1" applyAlignment="1">
      <alignment horizontal="center"/>
    </xf>
    <xf numFmtId="3" fontId="14" fillId="6" borderId="1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/>
    <xf numFmtId="3" fontId="8" fillId="0" borderId="0" xfId="0" applyNumberFormat="1" applyFont="1"/>
    <xf numFmtId="3" fontId="3" fillId="0" borderId="3" xfId="0" applyNumberFormat="1" applyFont="1" applyBorder="1"/>
    <xf numFmtId="3" fontId="9" fillId="0" borderId="3" xfId="0" applyNumberFormat="1" applyFont="1" applyBorder="1"/>
    <xf numFmtId="3" fontId="9" fillId="6" borderId="1" xfId="0" applyNumberFormat="1" applyFont="1" applyFill="1" applyBorder="1"/>
    <xf numFmtId="3" fontId="3" fillId="6" borderId="3" xfId="0" applyNumberFormat="1" applyFont="1" applyFill="1" applyBorder="1"/>
    <xf numFmtId="3" fontId="3" fillId="6" borderId="1" xfId="0" applyNumberFormat="1" applyFont="1" applyFill="1" applyBorder="1"/>
    <xf numFmtId="3" fontId="9" fillId="6" borderId="3" xfId="0" applyNumberFormat="1" applyFont="1" applyFill="1" applyBorder="1"/>
    <xf numFmtId="3" fontId="3" fillId="0" borderId="0" xfId="0" applyNumberFormat="1" applyFont="1" applyBorder="1"/>
    <xf numFmtId="3" fontId="3" fillId="0" borderId="4" xfId="0" applyNumberFormat="1" applyFont="1" applyBorder="1"/>
    <xf numFmtId="0" fontId="3" fillId="0" borderId="0" xfId="0" applyFont="1" applyBorder="1"/>
    <xf numFmtId="0" fontId="8" fillId="0" borderId="0" xfId="0" applyFont="1" applyBorder="1"/>
    <xf numFmtId="3" fontId="23" fillId="0" borderId="1" xfId="0" applyNumberFormat="1" applyFont="1" applyBorder="1"/>
    <xf numFmtId="3" fontId="25" fillId="0" borderId="0" xfId="0" applyNumberFormat="1" applyFont="1"/>
    <xf numFmtId="3" fontId="23" fillId="0" borderId="0" xfId="0" applyNumberFormat="1" applyFont="1"/>
    <xf numFmtId="3" fontId="26" fillId="0" borderId="1" xfId="0" applyNumberFormat="1" applyFont="1" applyBorder="1"/>
    <xf numFmtId="3" fontId="3" fillId="6" borderId="4" xfId="0" applyNumberFormat="1" applyFont="1" applyFill="1" applyBorder="1"/>
    <xf numFmtId="3" fontId="9" fillId="0" borderId="4" xfId="0" applyNumberFormat="1" applyFont="1" applyBorder="1"/>
    <xf numFmtId="3" fontId="9" fillId="6" borderId="4" xfId="0" applyNumberFormat="1" applyFont="1" applyFill="1" applyBorder="1"/>
    <xf numFmtId="3" fontId="26" fillId="0" borderId="0" xfId="0" applyNumberFormat="1" applyFont="1" applyBorder="1"/>
    <xf numFmtId="3" fontId="27" fillId="0" borderId="0" xfId="0" applyNumberFormat="1" applyFont="1" applyBorder="1"/>
    <xf numFmtId="3" fontId="8" fillId="0" borderId="0" xfId="0" applyNumberFormat="1" applyFont="1" applyBorder="1"/>
    <xf numFmtId="3" fontId="23" fillId="0" borderId="3" xfId="0" applyNumberFormat="1" applyFont="1" applyBorder="1"/>
    <xf numFmtId="3" fontId="19" fillId="0" borderId="3" xfId="0" applyNumberFormat="1" applyFont="1" applyBorder="1"/>
    <xf numFmtId="3" fontId="19" fillId="6" borderId="3" xfId="0" applyNumberFormat="1" applyFont="1" applyFill="1" applyBorder="1"/>
    <xf numFmtId="3" fontId="20" fillId="0" borderId="3" xfId="0" applyNumberFormat="1" applyFont="1" applyFill="1" applyBorder="1"/>
    <xf numFmtId="3" fontId="19" fillId="0" borderId="3" xfId="0" applyNumberFormat="1" applyFont="1" applyFill="1" applyBorder="1"/>
    <xf numFmtId="3" fontId="21" fillId="0" borderId="3" xfId="0" applyNumberFormat="1" applyFont="1" applyFill="1" applyBorder="1"/>
    <xf numFmtId="3" fontId="20" fillId="0" borderId="3" xfId="0" applyNumberFormat="1" applyFont="1" applyBorder="1"/>
    <xf numFmtId="0" fontId="23" fillId="0" borderId="1" xfId="0" applyFont="1" applyBorder="1"/>
    <xf numFmtId="0" fontId="29" fillId="5" borderId="2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/>
    </xf>
    <xf numFmtId="3" fontId="30" fillId="0" borderId="1" xfId="0" applyNumberFormat="1" applyFont="1" applyBorder="1" applyAlignment="1">
      <alignment horizont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3" fontId="4" fillId="9" borderId="1" xfId="0" applyNumberFormat="1" applyFont="1" applyFill="1" applyBorder="1" applyAlignment="1">
      <alignment horizontal="center" vertical="center" wrapText="1"/>
    </xf>
    <xf numFmtId="3" fontId="18" fillId="9" borderId="3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3" fillId="10" borderId="1" xfId="0" applyNumberFormat="1" applyFont="1" applyFill="1" applyBorder="1"/>
    <xf numFmtId="3" fontId="3" fillId="10" borderId="3" xfId="0" applyNumberFormat="1" applyFont="1" applyFill="1" applyBorder="1"/>
    <xf numFmtId="3" fontId="26" fillId="10" borderId="1" xfId="0" applyNumberFormat="1" applyFont="1" applyFill="1" applyBorder="1"/>
    <xf numFmtId="3" fontId="24" fillId="9" borderId="5" xfId="0" applyNumberFormat="1" applyFont="1" applyFill="1" applyBorder="1" applyAlignment="1">
      <alignment horizontal="center" vertical="center" wrapText="1"/>
    </xf>
    <xf numFmtId="3" fontId="24" fillId="9" borderId="6" xfId="0" applyNumberFormat="1" applyFont="1" applyFill="1" applyBorder="1" applyAlignment="1">
      <alignment horizontal="center" vertical="center" wrapText="1"/>
    </xf>
    <xf numFmtId="3" fontId="4" fillId="9" borderId="5" xfId="0" applyNumberFormat="1" applyFont="1" applyFill="1" applyBorder="1" applyAlignment="1">
      <alignment horizontal="center" vertical="center" wrapText="1"/>
    </xf>
    <xf numFmtId="3" fontId="4" fillId="9" borderId="6" xfId="0" applyNumberFormat="1" applyFont="1" applyFill="1" applyBorder="1" applyAlignment="1">
      <alignment horizontal="center" vertical="center" wrapText="1"/>
    </xf>
    <xf numFmtId="3" fontId="22" fillId="9" borderId="5" xfId="0" applyNumberFormat="1" applyFont="1" applyFill="1" applyBorder="1" applyAlignment="1">
      <alignment horizontal="center" vertical="center" wrapText="1"/>
    </xf>
    <xf numFmtId="3" fontId="22" fillId="9" borderId="6" xfId="0" applyNumberFormat="1" applyFont="1" applyFill="1" applyBorder="1" applyAlignment="1">
      <alignment horizontal="center" vertical="center" wrapText="1"/>
    </xf>
    <xf numFmtId="3" fontId="28" fillId="9" borderId="7" xfId="0" applyNumberFormat="1" applyFont="1" applyFill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3" fontId="4" fillId="9" borderId="3" xfId="0" applyNumberFormat="1" applyFont="1" applyFill="1" applyBorder="1" applyAlignment="1">
      <alignment horizontal="center" vertical="center" wrapText="1"/>
    </xf>
    <xf numFmtId="3" fontId="4" fillId="9" borderId="8" xfId="0" applyNumberFormat="1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3" fontId="28" fillId="10" borderId="7" xfId="0" applyNumberFormat="1" applyFont="1" applyFill="1" applyBorder="1" applyAlignment="1">
      <alignment horizontal="center"/>
    </xf>
    <xf numFmtId="3" fontId="4" fillId="10" borderId="5" xfId="0" applyNumberFormat="1" applyFont="1" applyFill="1" applyBorder="1" applyAlignment="1">
      <alignment horizontal="center" vertical="center" wrapText="1"/>
    </xf>
    <xf numFmtId="3" fontId="4" fillId="10" borderId="6" xfId="0" applyNumberFormat="1" applyFont="1" applyFill="1" applyBorder="1" applyAlignment="1">
      <alignment horizontal="center" vertical="center" wrapText="1"/>
    </xf>
    <xf numFmtId="3" fontId="22" fillId="10" borderId="5" xfId="0" applyNumberFormat="1" applyFont="1" applyFill="1" applyBorder="1" applyAlignment="1">
      <alignment horizontal="center" vertical="center" wrapText="1"/>
    </xf>
    <xf numFmtId="3" fontId="22" fillId="10" borderId="6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59E9B-297C-4011-B452-2E31E7187602}">
  <sheetPr>
    <pageSetUpPr fitToPage="1"/>
  </sheetPr>
  <dimension ref="B3:AH11"/>
  <sheetViews>
    <sheetView tabSelected="1" view="pageBreakPreview" zoomScale="90" zoomScaleNormal="90" zoomScaleSheetLayoutView="90" workbookViewId="0">
      <selection activeCell="B4" sqref="B4:R4"/>
    </sheetView>
  </sheetViews>
  <sheetFormatPr defaultColWidth="9.140625" defaultRowHeight="12.75" x14ac:dyDescent="0.2"/>
  <cols>
    <col min="1" max="1" width="9.140625" style="3"/>
    <col min="2" max="2" width="8.140625" style="2" customWidth="1"/>
    <col min="3" max="3" width="16.28515625" style="4" customWidth="1"/>
    <col min="4" max="4" width="10.140625" style="3" customWidth="1"/>
    <col min="5" max="5" width="10.42578125" style="3" customWidth="1"/>
    <col min="6" max="9" width="9.140625" style="3" customWidth="1"/>
    <col min="10" max="12" width="10.28515625" style="3" customWidth="1"/>
    <col min="13" max="13" width="10.28515625" style="43" customWidth="1"/>
    <col min="14" max="14" width="11.42578125" style="47" customWidth="1"/>
    <col min="15" max="15" width="11.5703125" style="3" customWidth="1"/>
    <col min="16" max="16" width="11.42578125" style="3" customWidth="1"/>
    <col min="17" max="17" width="11.28515625" style="3" customWidth="1"/>
    <col min="18" max="18" width="12.28515625" style="3" customWidth="1"/>
    <col min="19" max="20" width="12.28515625" style="20" customWidth="1"/>
    <col min="21" max="21" width="11.7109375" style="20" customWidth="1"/>
    <col min="22" max="24" width="10" style="71" customWidth="1"/>
    <col min="25" max="25" width="11.7109375" style="60" customWidth="1"/>
    <col min="26" max="26" width="10" style="20" customWidth="1"/>
    <col min="27" max="27" width="11.28515625" style="20" customWidth="1"/>
    <col min="28" max="30" width="10" style="66" customWidth="1"/>
    <col min="31" max="31" width="11.140625" style="20" customWidth="1"/>
    <col min="32" max="32" width="10.85546875" style="62" bestFit="1" customWidth="1"/>
    <col min="33" max="33" width="13.85546875" style="3" customWidth="1"/>
    <col min="34" max="16384" width="9.140625" style="3"/>
  </cols>
  <sheetData>
    <row r="3" spans="2:34" x14ac:dyDescent="0.2">
      <c r="R3" s="3" t="s">
        <v>124</v>
      </c>
    </row>
    <row r="4" spans="2:34" ht="15.75" x14ac:dyDescent="0.25">
      <c r="B4" s="104" t="s">
        <v>125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15" t="s">
        <v>111</v>
      </c>
      <c r="T4" s="115"/>
      <c r="U4" s="115"/>
      <c r="V4" s="115"/>
      <c r="W4" s="115"/>
      <c r="X4" s="115"/>
      <c r="Y4" s="103" t="s">
        <v>112</v>
      </c>
      <c r="Z4" s="103"/>
      <c r="AA4" s="103"/>
      <c r="AB4" s="103"/>
      <c r="AC4" s="103"/>
      <c r="AD4" s="103"/>
      <c r="AE4" s="103"/>
      <c r="AF4" s="103"/>
      <c r="AG4" s="103"/>
      <c r="AH4" s="103"/>
    </row>
    <row r="5" spans="2:34" s="5" customFormat="1" ht="86.25" customHeight="1" x14ac:dyDescent="0.25">
      <c r="B5" s="105" t="s">
        <v>89</v>
      </c>
      <c r="C5" s="105" t="s">
        <v>76</v>
      </c>
      <c r="D5" s="105" t="s">
        <v>77</v>
      </c>
      <c r="E5" s="105" t="s">
        <v>87</v>
      </c>
      <c r="F5" s="107" t="s">
        <v>79</v>
      </c>
      <c r="G5" s="108"/>
      <c r="H5" s="107" t="s">
        <v>80</v>
      </c>
      <c r="I5" s="108"/>
      <c r="J5" s="35" t="s">
        <v>78</v>
      </c>
      <c r="K5" s="113" t="s">
        <v>110</v>
      </c>
      <c r="L5" s="82" t="s">
        <v>117</v>
      </c>
      <c r="M5" s="109" t="s">
        <v>109</v>
      </c>
      <c r="N5" s="110"/>
      <c r="O5" s="35" t="s">
        <v>81</v>
      </c>
      <c r="P5" s="35" t="s">
        <v>82</v>
      </c>
      <c r="Q5" s="35" t="s">
        <v>83</v>
      </c>
      <c r="R5" s="35" t="s">
        <v>84</v>
      </c>
      <c r="S5" s="116" t="s">
        <v>121</v>
      </c>
      <c r="T5" s="116" t="s">
        <v>118</v>
      </c>
      <c r="U5" s="116" t="s">
        <v>119</v>
      </c>
      <c r="V5" s="118" t="s">
        <v>114</v>
      </c>
      <c r="W5" s="118" t="s">
        <v>115</v>
      </c>
      <c r="X5" s="118" t="s">
        <v>116</v>
      </c>
      <c r="Y5" s="99" t="s">
        <v>121</v>
      </c>
      <c r="Z5" s="99" t="s">
        <v>118</v>
      </c>
      <c r="AA5" s="99" t="s">
        <v>120</v>
      </c>
      <c r="AB5" s="97" t="s">
        <v>114</v>
      </c>
      <c r="AC5" s="97" t="s">
        <v>115</v>
      </c>
      <c r="AD5" s="97" t="s">
        <v>116</v>
      </c>
      <c r="AE5" s="99" t="s">
        <v>122</v>
      </c>
      <c r="AF5" s="111" t="s">
        <v>123</v>
      </c>
      <c r="AG5" s="112"/>
      <c r="AH5" s="101" t="s">
        <v>115</v>
      </c>
    </row>
    <row r="6" spans="2:34" s="5" customFormat="1" ht="22.5" x14ac:dyDescent="0.25">
      <c r="B6" s="106"/>
      <c r="C6" s="106"/>
      <c r="D6" s="106"/>
      <c r="E6" s="106"/>
      <c r="F6" s="35" t="s">
        <v>1</v>
      </c>
      <c r="G6" s="35" t="s">
        <v>0</v>
      </c>
      <c r="H6" s="35" t="s">
        <v>1</v>
      </c>
      <c r="I6" s="35" t="s">
        <v>0</v>
      </c>
      <c r="J6" s="35" t="s">
        <v>0</v>
      </c>
      <c r="K6" s="114"/>
      <c r="L6" s="83"/>
      <c r="M6" s="40" t="s">
        <v>1</v>
      </c>
      <c r="N6" s="44" t="s">
        <v>0</v>
      </c>
      <c r="O6" s="35" t="s">
        <v>1</v>
      </c>
      <c r="P6" s="35" t="s">
        <v>1</v>
      </c>
      <c r="Q6" s="35" t="s">
        <v>85</v>
      </c>
      <c r="R6" s="35" t="s">
        <v>85</v>
      </c>
      <c r="S6" s="117"/>
      <c r="T6" s="117"/>
      <c r="U6" s="117"/>
      <c r="V6" s="119"/>
      <c r="W6" s="119"/>
      <c r="X6" s="119"/>
      <c r="Y6" s="100"/>
      <c r="Z6" s="100"/>
      <c r="AA6" s="100"/>
      <c r="AB6" s="98"/>
      <c r="AC6" s="98"/>
      <c r="AD6" s="98"/>
      <c r="AE6" s="100"/>
      <c r="AF6" s="91"/>
      <c r="AG6" s="92" t="s">
        <v>113</v>
      </c>
      <c r="AH6" s="102"/>
    </row>
    <row r="7" spans="2:34" x14ac:dyDescent="0.2">
      <c r="B7" s="29" t="s">
        <v>90</v>
      </c>
      <c r="C7" s="19" t="s">
        <v>3</v>
      </c>
      <c r="D7" s="7">
        <v>90066</v>
      </c>
      <c r="E7" s="7">
        <v>83842</v>
      </c>
      <c r="F7" s="21">
        <v>75082</v>
      </c>
      <c r="G7" s="9">
        <f>IF(OR(F7=0,E7=0),"...",F7/E7)</f>
        <v>0.89551775959542945</v>
      </c>
      <c r="H7" s="7">
        <v>82623</v>
      </c>
      <c r="I7" s="9">
        <f>IF(OR(H7=0,E7=0),"...",H7/E7)</f>
        <v>0.98546074759666991</v>
      </c>
      <c r="J7" s="9">
        <f>IF(OR(H7=0,F7=0),"...",F7/H7)</f>
        <v>0.90873001464483261</v>
      </c>
      <c r="K7" s="36">
        <v>86000</v>
      </c>
      <c r="L7" s="84"/>
      <c r="M7" s="41">
        <v>76138</v>
      </c>
      <c r="N7" s="45">
        <v>0.88529999999999998</v>
      </c>
      <c r="O7" s="7">
        <v>255</v>
      </c>
      <c r="P7" s="6">
        <v>0</v>
      </c>
      <c r="Q7" s="8">
        <v>1206</v>
      </c>
      <c r="R7" s="12">
        <v>698</v>
      </c>
      <c r="S7" s="94">
        <v>79206</v>
      </c>
      <c r="T7" s="94">
        <v>4395</v>
      </c>
      <c r="U7" s="95">
        <f>20707000+900000</f>
        <v>21607000</v>
      </c>
      <c r="V7" s="96">
        <f>S7/T7</f>
        <v>18.021843003412968</v>
      </c>
      <c r="W7" s="96">
        <f>U7/S7</f>
        <v>272.79499027851426</v>
      </c>
      <c r="X7" s="96">
        <f>U7/T7</f>
        <v>4916.2684869169507</v>
      </c>
      <c r="Y7" s="50"/>
      <c r="Z7" s="61"/>
      <c r="AA7" s="54"/>
      <c r="AB7" s="74"/>
      <c r="AC7" s="74"/>
      <c r="AD7" s="74"/>
      <c r="AE7" s="50">
        <v>27694</v>
      </c>
      <c r="AF7" s="50">
        <f>11649000+17390000</f>
        <v>29039000</v>
      </c>
      <c r="AG7" s="75">
        <v>0</v>
      </c>
      <c r="AH7" s="67">
        <f>(AF7-AG7)/AE7</f>
        <v>1048.5664764931032</v>
      </c>
    </row>
    <row r="8" spans="2:34" x14ac:dyDescent="0.2">
      <c r="B8" s="29" t="s">
        <v>93</v>
      </c>
      <c r="C8" s="19" t="s">
        <v>2</v>
      </c>
      <c r="D8" s="7">
        <v>677295</v>
      </c>
      <c r="E8" s="21">
        <v>668724</v>
      </c>
      <c r="F8" s="21">
        <v>619703</v>
      </c>
      <c r="G8" s="22">
        <f>IF(OR(F8=0,E8=0),"...",F8/E8)</f>
        <v>0.92669472009379061</v>
      </c>
      <c r="H8" s="21">
        <v>651562</v>
      </c>
      <c r="I8" s="22">
        <f>IF(OR(H8=0,E8=0),"...",H8/E8)</f>
        <v>0.97433619849145536</v>
      </c>
      <c r="J8" s="22">
        <f>IF(OR(H8=0,F8=0),"...",F8/H8)</f>
        <v>0.95110365552318887</v>
      </c>
      <c r="K8" s="36">
        <v>593176</v>
      </c>
      <c r="L8" s="84">
        <f>K8-E8</f>
        <v>-75548</v>
      </c>
      <c r="M8" s="41">
        <v>593176</v>
      </c>
      <c r="N8" s="45">
        <v>1</v>
      </c>
      <c r="O8" s="7">
        <v>749</v>
      </c>
      <c r="P8" s="6">
        <v>398</v>
      </c>
      <c r="Q8" s="8">
        <v>22652</v>
      </c>
      <c r="R8" s="12">
        <v>5308</v>
      </c>
      <c r="S8" s="94">
        <v>0</v>
      </c>
      <c r="T8" s="94">
        <v>0</v>
      </c>
      <c r="U8" s="95">
        <f>12900000</f>
        <v>12900000</v>
      </c>
      <c r="V8" s="96"/>
      <c r="W8" s="96"/>
      <c r="X8" s="96"/>
      <c r="Y8" s="50"/>
      <c r="Z8" s="61"/>
      <c r="AA8" s="54"/>
      <c r="AB8" s="74"/>
      <c r="AC8" s="74"/>
      <c r="AD8" s="74"/>
      <c r="AE8" s="50">
        <v>32915</v>
      </c>
      <c r="AF8" s="50">
        <f>136655269</f>
        <v>136655269</v>
      </c>
      <c r="AG8" s="75">
        <v>0</v>
      </c>
      <c r="AH8" s="67">
        <f t="shared" ref="AH8" si="0">(AF8-AG8)/AE8</f>
        <v>4151.7626917818625</v>
      </c>
    </row>
    <row r="9" spans="2:34" s="16" customFormat="1" ht="18.75" customHeight="1" x14ac:dyDescent="0.2">
      <c r="B9" s="1"/>
      <c r="C9" s="13" t="s">
        <v>86</v>
      </c>
      <c r="D9" s="14">
        <f>SUM(D7:D8)</f>
        <v>767361</v>
      </c>
      <c r="E9" s="14">
        <f>SUM(E7:E8)</f>
        <v>752566</v>
      </c>
      <c r="F9" s="14">
        <f>SUM(F7:F8)</f>
        <v>694785</v>
      </c>
      <c r="G9" s="17">
        <f>F9/E9</f>
        <v>0.92322135201430833</v>
      </c>
      <c r="H9" s="14">
        <f>SUM(H7:H8)</f>
        <v>734185</v>
      </c>
      <c r="I9" s="17">
        <f>H9/E9</f>
        <v>0.97557556413656743</v>
      </c>
      <c r="J9" s="17">
        <f>F9/H9</f>
        <v>0.94633505179212329</v>
      </c>
      <c r="K9" s="38"/>
      <c r="L9" s="38"/>
      <c r="M9" s="42"/>
      <c r="N9" s="46"/>
      <c r="O9" s="14">
        <f>SUM(O7:O8)</f>
        <v>1004</v>
      </c>
      <c r="P9" s="14">
        <f>SUM(P7:P8)</f>
        <v>398</v>
      </c>
      <c r="Q9" s="15">
        <f>SUM(Q7:Q8)</f>
        <v>23858</v>
      </c>
      <c r="R9" s="15">
        <f>SUM(R7:R8)</f>
        <v>6006</v>
      </c>
      <c r="S9" s="53"/>
      <c r="T9" s="53"/>
      <c r="U9" s="53"/>
      <c r="V9" s="72"/>
      <c r="W9" s="72"/>
      <c r="X9" s="72"/>
      <c r="Y9" s="73"/>
      <c r="Z9" s="53"/>
      <c r="AA9" s="53"/>
      <c r="AB9" s="65"/>
      <c r="AC9" s="65"/>
      <c r="AD9" s="65"/>
      <c r="AE9" s="53"/>
      <c r="AF9" s="63"/>
    </row>
    <row r="11" spans="2:34" x14ac:dyDescent="0.2">
      <c r="C11" s="3"/>
    </row>
  </sheetData>
  <mergeCells count="26">
    <mergeCell ref="Y5:Y6"/>
    <mergeCell ref="Z5:Z6"/>
    <mergeCell ref="AA5:AA6"/>
    <mergeCell ref="AB5:AB6"/>
    <mergeCell ref="AC5:AC6"/>
    <mergeCell ref="T5:T6"/>
    <mergeCell ref="U5:U6"/>
    <mergeCell ref="V5:V6"/>
    <mergeCell ref="W5:W6"/>
    <mergeCell ref="X5:X6"/>
    <mergeCell ref="AD5:AD6"/>
    <mergeCell ref="AE5:AE6"/>
    <mergeCell ref="AH5:AH6"/>
    <mergeCell ref="Y4:AH4"/>
    <mergeCell ref="B4:R4"/>
    <mergeCell ref="B5:B6"/>
    <mergeCell ref="C5:C6"/>
    <mergeCell ref="D5:D6"/>
    <mergeCell ref="E5:E6"/>
    <mergeCell ref="F5:G5"/>
    <mergeCell ref="H5:I5"/>
    <mergeCell ref="M5:N5"/>
    <mergeCell ref="AF5:AG5"/>
    <mergeCell ref="K5:K6"/>
    <mergeCell ref="S4:X4"/>
    <mergeCell ref="S5:S6"/>
  </mergeCells>
  <pageMargins left="0.7" right="0.7" top="0.75" bottom="0.75" header="0.3" footer="0.3"/>
  <pageSetup paperSize="9" scale="3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708B8-6D09-4ACF-A092-5C9F960BC76E}">
  <sheetPr>
    <pageSetUpPr fitToPage="1"/>
  </sheetPr>
  <dimension ref="B3:AI31"/>
  <sheetViews>
    <sheetView view="pageBreakPreview" topLeftCell="A4" zoomScale="40" zoomScaleNormal="40" zoomScaleSheetLayoutView="40" workbookViewId="0">
      <selection activeCell="M58" sqref="M58"/>
    </sheetView>
  </sheetViews>
  <sheetFormatPr defaultColWidth="9.140625" defaultRowHeight="12.75" x14ac:dyDescent="0.2"/>
  <cols>
    <col min="1" max="1" width="9.140625" style="3"/>
    <col min="2" max="2" width="8.140625" style="2" customWidth="1"/>
    <col min="3" max="3" width="16.28515625" style="4" customWidth="1"/>
    <col min="4" max="4" width="10.140625" style="3" customWidth="1"/>
    <col min="5" max="5" width="10.42578125" style="3" customWidth="1"/>
    <col min="6" max="9" width="9.140625" style="3" customWidth="1"/>
    <col min="10" max="12" width="10.28515625" style="3" customWidth="1"/>
    <col min="13" max="13" width="10.28515625" style="43" customWidth="1"/>
    <col min="14" max="14" width="11.42578125" style="47" customWidth="1"/>
    <col min="15" max="15" width="11.5703125" style="3" customWidth="1"/>
    <col min="16" max="16" width="11.42578125" style="3" customWidth="1"/>
    <col min="17" max="17" width="11.28515625" style="3" customWidth="1"/>
    <col min="18" max="18" width="12.28515625" style="3" customWidth="1"/>
    <col min="19" max="20" width="12.28515625" style="20" customWidth="1"/>
    <col min="21" max="21" width="11.7109375" style="20" customWidth="1"/>
    <col min="22" max="24" width="10" style="71" customWidth="1"/>
    <col min="25" max="25" width="11.7109375" style="60" customWidth="1"/>
    <col min="26" max="26" width="10" style="20" customWidth="1"/>
    <col min="27" max="27" width="11.28515625" style="20" customWidth="1"/>
    <col min="28" max="30" width="10" style="66" customWidth="1"/>
    <col min="31" max="31" width="11.140625" style="20" customWidth="1"/>
    <col min="32" max="32" width="10.85546875" style="62" bestFit="1" customWidth="1"/>
    <col min="33" max="33" width="13.85546875" style="3" customWidth="1"/>
    <col min="34" max="34" width="9.140625" style="3"/>
    <col min="35" max="35" width="9.85546875" style="3" bestFit="1" customWidth="1"/>
    <col min="36" max="16384" width="9.140625" style="3"/>
  </cols>
  <sheetData>
    <row r="3" spans="2:34" x14ac:dyDescent="0.2">
      <c r="R3" s="3" t="s">
        <v>127</v>
      </c>
    </row>
    <row r="4" spans="2:34" x14ac:dyDescent="0.2">
      <c r="B4" s="120" t="s">
        <v>126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15" t="s">
        <v>111</v>
      </c>
      <c r="T4" s="115"/>
      <c r="U4" s="115"/>
      <c r="V4" s="115"/>
      <c r="W4" s="115"/>
      <c r="X4" s="115"/>
      <c r="Y4" s="103" t="s">
        <v>112</v>
      </c>
      <c r="Z4" s="103"/>
      <c r="AA4" s="103"/>
      <c r="AB4" s="103"/>
      <c r="AC4" s="103"/>
      <c r="AD4" s="103"/>
      <c r="AE4" s="103"/>
      <c r="AF4" s="103"/>
      <c r="AG4" s="103"/>
      <c r="AH4" s="103"/>
    </row>
    <row r="5" spans="2:34" s="5" customFormat="1" ht="86.25" customHeight="1" x14ac:dyDescent="0.25">
      <c r="B5" s="105" t="s">
        <v>89</v>
      </c>
      <c r="C5" s="105" t="s">
        <v>76</v>
      </c>
      <c r="D5" s="105" t="s">
        <v>77</v>
      </c>
      <c r="E5" s="105" t="s">
        <v>87</v>
      </c>
      <c r="F5" s="107" t="s">
        <v>79</v>
      </c>
      <c r="G5" s="108"/>
      <c r="H5" s="107" t="s">
        <v>80</v>
      </c>
      <c r="I5" s="108"/>
      <c r="J5" s="93" t="s">
        <v>78</v>
      </c>
      <c r="K5" s="113" t="s">
        <v>110</v>
      </c>
      <c r="L5" s="82" t="s">
        <v>117</v>
      </c>
      <c r="M5" s="109" t="s">
        <v>109</v>
      </c>
      <c r="N5" s="110"/>
      <c r="O5" s="93" t="s">
        <v>81</v>
      </c>
      <c r="P5" s="93" t="s">
        <v>82</v>
      </c>
      <c r="Q5" s="93" t="s">
        <v>83</v>
      </c>
      <c r="R5" s="93" t="s">
        <v>84</v>
      </c>
      <c r="S5" s="116" t="s">
        <v>121</v>
      </c>
      <c r="T5" s="116" t="s">
        <v>118</v>
      </c>
      <c r="U5" s="116" t="s">
        <v>119</v>
      </c>
      <c r="V5" s="118" t="s">
        <v>114</v>
      </c>
      <c r="W5" s="118" t="s">
        <v>115</v>
      </c>
      <c r="X5" s="118" t="s">
        <v>116</v>
      </c>
      <c r="Y5" s="99" t="s">
        <v>121</v>
      </c>
      <c r="Z5" s="99" t="s">
        <v>118</v>
      </c>
      <c r="AA5" s="99" t="s">
        <v>120</v>
      </c>
      <c r="AB5" s="97" t="s">
        <v>114</v>
      </c>
      <c r="AC5" s="97" t="s">
        <v>115</v>
      </c>
      <c r="AD5" s="97" t="s">
        <v>116</v>
      </c>
      <c r="AE5" s="99" t="s">
        <v>122</v>
      </c>
      <c r="AF5" s="111" t="s">
        <v>123</v>
      </c>
      <c r="AG5" s="112"/>
      <c r="AH5" s="101" t="s">
        <v>115</v>
      </c>
    </row>
    <row r="6" spans="2:34" s="5" customFormat="1" ht="40.9" customHeight="1" x14ac:dyDescent="0.25">
      <c r="B6" s="106"/>
      <c r="C6" s="106"/>
      <c r="D6" s="106"/>
      <c r="E6" s="106"/>
      <c r="F6" s="93" t="s">
        <v>1</v>
      </c>
      <c r="G6" s="93" t="s">
        <v>0</v>
      </c>
      <c r="H6" s="93" t="s">
        <v>1</v>
      </c>
      <c r="I6" s="93" t="s">
        <v>0</v>
      </c>
      <c r="J6" s="93" t="s">
        <v>0</v>
      </c>
      <c r="K6" s="114"/>
      <c r="L6" s="83"/>
      <c r="M6" s="40" t="s">
        <v>1</v>
      </c>
      <c r="N6" s="44" t="s">
        <v>0</v>
      </c>
      <c r="O6" s="93" t="s">
        <v>1</v>
      </c>
      <c r="P6" s="93" t="s">
        <v>1</v>
      </c>
      <c r="Q6" s="93" t="s">
        <v>85</v>
      </c>
      <c r="R6" s="93" t="s">
        <v>85</v>
      </c>
      <c r="S6" s="117"/>
      <c r="T6" s="117"/>
      <c r="U6" s="117"/>
      <c r="V6" s="119"/>
      <c r="W6" s="119"/>
      <c r="X6" s="119"/>
      <c r="Y6" s="100"/>
      <c r="Z6" s="100"/>
      <c r="AA6" s="100"/>
      <c r="AB6" s="98"/>
      <c r="AC6" s="98"/>
      <c r="AD6" s="98"/>
      <c r="AE6" s="100"/>
      <c r="AF6" s="91"/>
      <c r="AG6" s="92" t="s">
        <v>113</v>
      </c>
      <c r="AH6" s="102"/>
    </row>
    <row r="7" spans="2:34" x14ac:dyDescent="0.2">
      <c r="B7" s="85" t="s">
        <v>103</v>
      </c>
      <c r="C7" s="86" t="s">
        <v>16</v>
      </c>
      <c r="D7" s="7">
        <v>10954</v>
      </c>
      <c r="E7" s="7">
        <v>10954</v>
      </c>
      <c r="F7" s="7">
        <v>10954</v>
      </c>
      <c r="G7" s="9">
        <f t="shared" ref="G7:G30" si="0">IF(OR(F7=0,E7=0),"...",F7/E7)</f>
        <v>1</v>
      </c>
      <c r="H7" s="7">
        <v>10954</v>
      </c>
      <c r="I7" s="9">
        <f t="shared" ref="I7:I30" si="1">IF(OR(H7=0,E7=0),"...",H7/E7)</f>
        <v>1</v>
      </c>
      <c r="J7" s="9">
        <f t="shared" ref="J7:J30" si="2">IF(OR(H7=0,F7=0),"...",F7/H7)</f>
        <v>1</v>
      </c>
      <c r="K7" s="36">
        <v>11591</v>
      </c>
      <c r="L7" s="36">
        <f t="shared" ref="L7:L12" si="3">K7-E7</f>
        <v>637</v>
      </c>
      <c r="M7" s="41">
        <v>11591</v>
      </c>
      <c r="N7" s="45">
        <v>1</v>
      </c>
      <c r="O7" s="7">
        <v>0</v>
      </c>
      <c r="P7" s="6">
        <v>0</v>
      </c>
      <c r="Q7" s="8">
        <v>253</v>
      </c>
      <c r="R7" s="12">
        <v>0</v>
      </c>
      <c r="S7" s="50">
        <v>0</v>
      </c>
      <c r="T7" s="50">
        <v>0</v>
      </c>
      <c r="U7" s="54">
        <v>0</v>
      </c>
      <c r="V7" s="67"/>
      <c r="W7" s="67"/>
      <c r="X7" s="67"/>
      <c r="Y7" s="50"/>
      <c r="Z7" s="61"/>
      <c r="AA7" s="54"/>
      <c r="AB7" s="74"/>
      <c r="AC7" s="74"/>
      <c r="AD7" s="74"/>
      <c r="AE7" s="50">
        <v>0</v>
      </c>
      <c r="AF7" s="50">
        <v>2725000</v>
      </c>
      <c r="AG7" s="75">
        <v>2725000</v>
      </c>
      <c r="AH7" s="64" t="e">
        <f t="shared" ref="AH7:AH22" si="4">(AF7-AG7)/AE7</f>
        <v>#DIV/0!</v>
      </c>
    </row>
    <row r="8" spans="2:34" x14ac:dyDescent="0.2">
      <c r="B8" s="85" t="s">
        <v>105</v>
      </c>
      <c r="C8" s="87" t="s">
        <v>4</v>
      </c>
      <c r="D8" s="7">
        <v>74637</v>
      </c>
      <c r="E8" s="7">
        <v>74637</v>
      </c>
      <c r="F8" s="21">
        <v>73933</v>
      </c>
      <c r="G8" s="9">
        <f t="shared" si="0"/>
        <v>0.99056768090893255</v>
      </c>
      <c r="H8" s="7">
        <v>74548</v>
      </c>
      <c r="I8" s="9">
        <f t="shared" si="1"/>
        <v>0.9988075619330895</v>
      </c>
      <c r="J8" s="9">
        <f t="shared" si="2"/>
        <v>0.99175028169769808</v>
      </c>
      <c r="K8" s="36">
        <v>75540</v>
      </c>
      <c r="L8" s="36">
        <f t="shared" si="3"/>
        <v>903</v>
      </c>
      <c r="M8" s="41">
        <v>74899</v>
      </c>
      <c r="N8" s="45">
        <v>0.99150000000000005</v>
      </c>
      <c r="O8" s="7">
        <v>12</v>
      </c>
      <c r="P8" s="6">
        <v>0</v>
      </c>
      <c r="Q8" s="8">
        <v>6313</v>
      </c>
      <c r="R8" s="25">
        <v>55</v>
      </c>
      <c r="S8" s="50">
        <v>0</v>
      </c>
      <c r="T8" s="50">
        <v>0</v>
      </c>
      <c r="U8" s="54">
        <v>0</v>
      </c>
      <c r="V8" s="67"/>
      <c r="W8" s="67"/>
      <c r="X8" s="67"/>
      <c r="Y8" s="50"/>
      <c r="Z8" s="61"/>
      <c r="AA8" s="54"/>
      <c r="AB8" s="74"/>
      <c r="AC8" s="74"/>
      <c r="AD8" s="74"/>
      <c r="AE8" s="50">
        <v>29000</v>
      </c>
      <c r="AF8" s="50">
        <f>14880000+3000000</f>
        <v>17880000</v>
      </c>
      <c r="AG8" s="75">
        <v>3000000</v>
      </c>
      <c r="AH8" s="64">
        <f t="shared" si="4"/>
        <v>513.10344827586209</v>
      </c>
    </row>
    <row r="9" spans="2:34" x14ac:dyDescent="0.2">
      <c r="B9" s="85" t="s">
        <v>97</v>
      </c>
      <c r="C9" s="86" t="s">
        <v>13</v>
      </c>
      <c r="D9" s="7">
        <v>17248</v>
      </c>
      <c r="E9" s="7">
        <v>16367</v>
      </c>
      <c r="F9" s="18">
        <f>15465-(E9-H9)</f>
        <v>15393</v>
      </c>
      <c r="G9" s="9">
        <f t="shared" si="0"/>
        <v>0.94049001038675384</v>
      </c>
      <c r="H9" s="7">
        <v>16295</v>
      </c>
      <c r="I9" s="9">
        <f t="shared" si="1"/>
        <v>0.99560090425856906</v>
      </c>
      <c r="J9" s="9">
        <f t="shared" si="2"/>
        <v>0.94464559680883708</v>
      </c>
      <c r="K9" s="36">
        <v>16893</v>
      </c>
      <c r="L9" s="36">
        <f t="shared" si="3"/>
        <v>526</v>
      </c>
      <c r="M9" s="41">
        <v>16458</v>
      </c>
      <c r="N9" s="45">
        <v>0.97419999999999995</v>
      </c>
      <c r="O9" s="7">
        <v>898</v>
      </c>
      <c r="P9" s="6">
        <v>4</v>
      </c>
      <c r="Q9" s="8">
        <v>1145</v>
      </c>
      <c r="R9" s="32">
        <v>71</v>
      </c>
      <c r="S9" s="50">
        <v>0</v>
      </c>
      <c r="T9" s="50">
        <v>0</v>
      </c>
      <c r="U9" s="54">
        <v>0</v>
      </c>
      <c r="V9" s="67"/>
      <c r="W9" s="67"/>
      <c r="X9" s="67"/>
      <c r="Y9" s="50"/>
      <c r="Z9" s="61"/>
      <c r="AA9" s="54"/>
      <c r="AB9" s="74"/>
      <c r="AC9" s="74"/>
      <c r="AD9" s="74"/>
      <c r="AE9" s="50">
        <v>6870</v>
      </c>
      <c r="AF9" s="50">
        <f>1763000+646000</f>
        <v>2409000</v>
      </c>
      <c r="AG9" s="75">
        <v>150000</v>
      </c>
      <c r="AH9" s="64">
        <f t="shared" si="4"/>
        <v>328.82096069868993</v>
      </c>
    </row>
    <row r="10" spans="2:34" x14ac:dyDescent="0.2">
      <c r="B10" s="85">
        <v>24</v>
      </c>
      <c r="C10" s="86" t="s">
        <v>12</v>
      </c>
      <c r="D10" s="7">
        <v>18100</v>
      </c>
      <c r="E10" s="7">
        <v>17897</v>
      </c>
      <c r="F10" s="21">
        <f>15270-E10+H10</f>
        <v>15163</v>
      </c>
      <c r="G10" s="9">
        <f t="shared" si="0"/>
        <v>0.84723696708945628</v>
      </c>
      <c r="H10" s="7">
        <v>17790</v>
      </c>
      <c r="I10" s="9">
        <f t="shared" si="1"/>
        <v>0.99402134435938982</v>
      </c>
      <c r="J10" s="9">
        <f t="shared" si="2"/>
        <v>0.85233277121978634</v>
      </c>
      <c r="K10" s="36">
        <v>18211</v>
      </c>
      <c r="L10" s="36">
        <f t="shared" si="3"/>
        <v>314</v>
      </c>
      <c r="M10" s="41">
        <v>16279</v>
      </c>
      <c r="N10" s="45">
        <v>0.89390000000000003</v>
      </c>
      <c r="O10" s="7">
        <v>1428</v>
      </c>
      <c r="P10" s="6">
        <v>150</v>
      </c>
      <c r="Q10" s="8">
        <v>1279</v>
      </c>
      <c r="R10" s="32">
        <v>162</v>
      </c>
      <c r="S10" s="50">
        <v>12990</v>
      </c>
      <c r="T10" s="50">
        <v>290</v>
      </c>
      <c r="U10" s="54">
        <f>2307400+290000</f>
        <v>2597400</v>
      </c>
      <c r="V10" s="67">
        <f t="shared" ref="V10:V15" si="5">S10/T10</f>
        <v>44.793103448275865</v>
      </c>
      <c r="W10" s="67">
        <f t="shared" ref="W10:W15" si="6">U10/S10</f>
        <v>199.95381062355659</v>
      </c>
      <c r="X10" s="67">
        <f t="shared" ref="X10:X15" si="7">U10/T10</f>
        <v>8956.5517241379312</v>
      </c>
      <c r="Y10" s="50"/>
      <c r="Z10" s="61"/>
      <c r="AA10" s="54"/>
      <c r="AB10" s="74"/>
      <c r="AC10" s="74"/>
      <c r="AD10" s="74"/>
      <c r="AE10" s="50">
        <v>21200</v>
      </c>
      <c r="AF10" s="50">
        <f>8140000+3970000</f>
        <v>12110000</v>
      </c>
      <c r="AG10" s="75">
        <v>3970000</v>
      </c>
      <c r="AH10" s="64">
        <f t="shared" si="4"/>
        <v>383.96226415094338</v>
      </c>
    </row>
    <row r="11" spans="2:34" x14ac:dyDescent="0.2">
      <c r="B11" s="85">
        <v>25</v>
      </c>
      <c r="C11" s="86" t="s">
        <v>10</v>
      </c>
      <c r="D11" s="7">
        <v>27258</v>
      </c>
      <c r="E11" s="7">
        <v>26855</v>
      </c>
      <c r="F11" s="21">
        <v>25103</v>
      </c>
      <c r="G11" s="9">
        <f t="shared" si="0"/>
        <v>0.93476075218767452</v>
      </c>
      <c r="H11" s="7">
        <v>26662</v>
      </c>
      <c r="I11" s="9">
        <f t="shared" si="1"/>
        <v>0.99281325637683859</v>
      </c>
      <c r="J11" s="9">
        <f t="shared" si="2"/>
        <v>0.94152726727177261</v>
      </c>
      <c r="K11" s="36">
        <v>26600</v>
      </c>
      <c r="L11" s="36">
        <f t="shared" si="3"/>
        <v>-255</v>
      </c>
      <c r="M11" s="41">
        <v>24661</v>
      </c>
      <c r="N11" s="45">
        <v>0.92710000000000004</v>
      </c>
      <c r="O11" s="7">
        <v>990</v>
      </c>
      <c r="P11" s="6">
        <v>56</v>
      </c>
      <c r="Q11" s="8">
        <v>439.7</v>
      </c>
      <c r="R11" s="12">
        <v>125.5</v>
      </c>
      <c r="S11" s="50">
        <v>2600</v>
      </c>
      <c r="T11" s="50">
        <v>76</v>
      </c>
      <c r="U11" s="54">
        <f>289000+50000</f>
        <v>339000</v>
      </c>
      <c r="V11" s="67">
        <f t="shared" si="5"/>
        <v>34.210526315789473</v>
      </c>
      <c r="W11" s="67">
        <f t="shared" si="6"/>
        <v>130.38461538461539</v>
      </c>
      <c r="X11" s="67">
        <f t="shared" si="7"/>
        <v>4460.5263157894733</v>
      </c>
      <c r="Y11" s="50"/>
      <c r="Z11" s="61"/>
      <c r="AA11" s="54"/>
      <c r="AB11" s="74"/>
      <c r="AC11" s="74"/>
      <c r="AD11" s="74"/>
      <c r="AE11" s="50">
        <v>6535</v>
      </c>
      <c r="AF11" s="50">
        <f>2382750+800000</f>
        <v>3182750</v>
      </c>
      <c r="AG11" s="75">
        <v>0</v>
      </c>
      <c r="AH11" s="64">
        <f t="shared" si="4"/>
        <v>487.03136954858456</v>
      </c>
    </row>
    <row r="12" spans="2:34" x14ac:dyDescent="0.2">
      <c r="B12" s="85">
        <v>20</v>
      </c>
      <c r="C12" s="86" t="s">
        <v>14</v>
      </c>
      <c r="D12" s="7">
        <v>19956</v>
      </c>
      <c r="E12" s="7">
        <v>19669</v>
      </c>
      <c r="F12" s="7">
        <v>18524</v>
      </c>
      <c r="G12" s="9">
        <f t="shared" si="0"/>
        <v>0.94178656769535818</v>
      </c>
      <c r="H12" s="7">
        <v>19507</v>
      </c>
      <c r="I12" s="9">
        <f t="shared" si="1"/>
        <v>0.99176368905384105</v>
      </c>
      <c r="J12" s="9">
        <f t="shared" si="2"/>
        <v>0.94960783308555907</v>
      </c>
      <c r="K12" s="36">
        <v>20243</v>
      </c>
      <c r="L12" s="36">
        <f t="shared" si="3"/>
        <v>574</v>
      </c>
      <c r="M12" s="41">
        <v>20053</v>
      </c>
      <c r="N12" s="45">
        <v>0.99060000000000004</v>
      </c>
      <c r="O12" s="7">
        <v>0</v>
      </c>
      <c r="P12" s="6">
        <v>0</v>
      </c>
      <c r="Q12" s="8">
        <v>705</v>
      </c>
      <c r="R12" s="32">
        <v>88</v>
      </c>
      <c r="S12" s="50">
        <v>50705</v>
      </c>
      <c r="T12" s="50">
        <v>1268</v>
      </c>
      <c r="U12" s="54">
        <f>5458225+693900</f>
        <v>6152125</v>
      </c>
      <c r="V12" s="67">
        <f t="shared" si="5"/>
        <v>39.988170347003155</v>
      </c>
      <c r="W12" s="67">
        <f t="shared" si="6"/>
        <v>121.33172270979193</v>
      </c>
      <c r="X12" s="67">
        <f t="shared" si="7"/>
        <v>4851.8335962145111</v>
      </c>
      <c r="Y12" s="50"/>
      <c r="Z12" s="61"/>
      <c r="AA12" s="54"/>
      <c r="AB12" s="74"/>
      <c r="AC12" s="74"/>
      <c r="AD12" s="74"/>
      <c r="AE12" s="50">
        <v>2494</v>
      </c>
      <c r="AF12" s="50">
        <f>570092+4313000</f>
        <v>4883092</v>
      </c>
      <c r="AG12" s="75">
        <v>1400000</v>
      </c>
      <c r="AH12" s="64">
        <f t="shared" si="4"/>
        <v>1396.588612670409</v>
      </c>
    </row>
    <row r="13" spans="2:34" x14ac:dyDescent="0.2">
      <c r="B13" s="85" t="s">
        <v>102</v>
      </c>
      <c r="C13" s="86" t="s">
        <v>23</v>
      </c>
      <c r="D13" s="7">
        <v>8037</v>
      </c>
      <c r="E13" s="7">
        <v>8004</v>
      </c>
      <c r="F13" s="21">
        <v>6954</v>
      </c>
      <c r="G13" s="9">
        <f t="shared" si="0"/>
        <v>0.86881559220389803</v>
      </c>
      <c r="H13" s="7">
        <v>7929</v>
      </c>
      <c r="I13" s="9">
        <f t="shared" si="1"/>
        <v>0.99062968515742134</v>
      </c>
      <c r="J13" s="9">
        <f t="shared" si="2"/>
        <v>0.87703367385546727</v>
      </c>
      <c r="K13" s="36"/>
      <c r="L13" s="36"/>
      <c r="M13" s="41"/>
      <c r="N13" s="45"/>
      <c r="O13" s="7">
        <v>584</v>
      </c>
      <c r="P13" s="6">
        <v>4</v>
      </c>
      <c r="Q13" s="8">
        <v>150</v>
      </c>
      <c r="R13" s="12">
        <v>106</v>
      </c>
      <c r="S13" s="50">
        <v>2200</v>
      </c>
      <c r="T13" s="50">
        <v>27</v>
      </c>
      <c r="U13" s="54">
        <f>264000+15000</f>
        <v>279000</v>
      </c>
      <c r="V13" s="67">
        <f t="shared" si="5"/>
        <v>81.481481481481481</v>
      </c>
      <c r="W13" s="67">
        <f t="shared" si="6"/>
        <v>126.81818181818181</v>
      </c>
      <c r="X13" s="67">
        <f t="shared" si="7"/>
        <v>10333.333333333334</v>
      </c>
      <c r="Y13" s="50"/>
      <c r="Z13" s="61"/>
      <c r="AA13" s="54"/>
      <c r="AB13" s="74"/>
      <c r="AC13" s="74"/>
      <c r="AD13" s="74"/>
      <c r="AE13" s="50">
        <v>12215</v>
      </c>
      <c r="AF13" s="50">
        <f>3420200+300000</f>
        <v>3720200</v>
      </c>
      <c r="AG13" s="75">
        <v>300000</v>
      </c>
      <c r="AH13" s="64">
        <f t="shared" si="4"/>
        <v>280</v>
      </c>
    </row>
    <row r="14" spans="2:34" x14ac:dyDescent="0.2">
      <c r="B14" s="85" t="s">
        <v>101</v>
      </c>
      <c r="C14" s="87" t="s">
        <v>7</v>
      </c>
      <c r="D14" s="7">
        <v>29746</v>
      </c>
      <c r="E14" s="7">
        <v>29346</v>
      </c>
      <c r="F14" s="7">
        <v>28744</v>
      </c>
      <c r="G14" s="9">
        <f t="shared" si="0"/>
        <v>0.97948613098889115</v>
      </c>
      <c r="H14" s="7">
        <v>29045</v>
      </c>
      <c r="I14" s="9">
        <f t="shared" si="1"/>
        <v>0.98974306549444557</v>
      </c>
      <c r="J14" s="9">
        <f t="shared" si="2"/>
        <v>0.98963677052849031</v>
      </c>
      <c r="K14" s="36"/>
      <c r="L14" s="36"/>
      <c r="M14" s="41"/>
      <c r="N14" s="45"/>
      <c r="O14" s="7">
        <v>751</v>
      </c>
      <c r="P14" s="6">
        <v>2</v>
      </c>
      <c r="Q14" s="8">
        <v>5623</v>
      </c>
      <c r="R14" s="12">
        <v>41</v>
      </c>
      <c r="S14" s="50">
        <v>5160</v>
      </c>
      <c r="T14" s="50">
        <v>462</v>
      </c>
      <c r="U14" s="54">
        <f>523100+120000</f>
        <v>643100</v>
      </c>
      <c r="V14" s="67">
        <f t="shared" si="5"/>
        <v>11.168831168831169</v>
      </c>
      <c r="W14" s="67">
        <f t="shared" si="6"/>
        <v>124.63178294573643</v>
      </c>
      <c r="X14" s="67">
        <f t="shared" si="7"/>
        <v>1391.9913419913421</v>
      </c>
      <c r="Y14" s="50"/>
      <c r="Z14" s="61"/>
      <c r="AA14" s="54"/>
      <c r="AB14" s="74"/>
      <c r="AC14" s="74"/>
      <c r="AD14" s="74"/>
      <c r="AE14" s="50">
        <v>3565</v>
      </c>
      <c r="AF14" s="50">
        <f>1695550+400000</f>
        <v>2095550</v>
      </c>
      <c r="AG14" s="75">
        <v>0</v>
      </c>
      <c r="AH14" s="64">
        <f t="shared" si="4"/>
        <v>587.81206171107999</v>
      </c>
    </row>
    <row r="15" spans="2:34" x14ac:dyDescent="0.2">
      <c r="B15" s="85" t="s">
        <v>108</v>
      </c>
      <c r="C15" s="86" t="s">
        <v>11</v>
      </c>
      <c r="D15" s="7">
        <v>24193</v>
      </c>
      <c r="E15" s="7">
        <v>21277</v>
      </c>
      <c r="F15" s="21">
        <v>18665</v>
      </c>
      <c r="G15" s="9">
        <f t="shared" si="0"/>
        <v>0.87723833247168304</v>
      </c>
      <c r="H15" s="7">
        <v>21052</v>
      </c>
      <c r="I15" s="9">
        <f t="shared" si="1"/>
        <v>0.98942520092118247</v>
      </c>
      <c r="J15" s="9">
        <f t="shared" si="2"/>
        <v>0.88661409842295269</v>
      </c>
      <c r="K15" s="36"/>
      <c r="L15" s="36"/>
      <c r="M15" s="41"/>
      <c r="N15" s="45"/>
      <c r="O15" s="7">
        <v>0</v>
      </c>
      <c r="P15" s="6">
        <v>0</v>
      </c>
      <c r="Q15" s="8">
        <v>0</v>
      </c>
      <c r="R15" s="12">
        <v>0</v>
      </c>
      <c r="S15" s="50">
        <v>20000</v>
      </c>
      <c r="T15" s="50">
        <v>1412</v>
      </c>
      <c r="U15" s="54">
        <f>3542000+425000</f>
        <v>3967000</v>
      </c>
      <c r="V15" s="67">
        <f t="shared" si="5"/>
        <v>14.164305949008499</v>
      </c>
      <c r="W15" s="67">
        <f t="shared" si="6"/>
        <v>198.35</v>
      </c>
      <c r="X15" s="67">
        <f t="shared" si="7"/>
        <v>2809.4900849858359</v>
      </c>
      <c r="Y15" s="50"/>
      <c r="Z15" s="61"/>
      <c r="AA15" s="54"/>
      <c r="AB15" s="74"/>
      <c r="AC15" s="74"/>
      <c r="AD15" s="74"/>
      <c r="AE15" s="50">
        <v>6825</v>
      </c>
      <c r="AF15" s="50">
        <f>1161750</f>
        <v>1161750</v>
      </c>
      <c r="AG15" s="75">
        <v>0</v>
      </c>
      <c r="AH15" s="64">
        <f t="shared" si="4"/>
        <v>170.21978021978023</v>
      </c>
    </row>
    <row r="16" spans="2:34" x14ac:dyDescent="0.2">
      <c r="B16" s="85">
        <v>23</v>
      </c>
      <c r="C16" s="86" t="s">
        <v>15</v>
      </c>
      <c r="D16" s="7">
        <v>9756</v>
      </c>
      <c r="E16" s="7">
        <v>9756</v>
      </c>
      <c r="F16" s="21">
        <v>8988</v>
      </c>
      <c r="G16" s="9">
        <f t="shared" si="0"/>
        <v>0.92127921279212788</v>
      </c>
      <c r="H16" s="7">
        <v>9619</v>
      </c>
      <c r="I16" s="9">
        <f t="shared" si="1"/>
        <v>0.98595735957359576</v>
      </c>
      <c r="J16" s="9">
        <f t="shared" si="2"/>
        <v>0.93440066534982846</v>
      </c>
      <c r="K16" s="36"/>
      <c r="L16" s="36"/>
      <c r="M16" s="41"/>
      <c r="N16" s="45"/>
      <c r="O16" s="7">
        <v>520</v>
      </c>
      <c r="P16" s="6">
        <v>0</v>
      </c>
      <c r="Q16" s="8">
        <v>367</v>
      </c>
      <c r="R16" s="12">
        <v>0</v>
      </c>
      <c r="S16" s="50">
        <v>0</v>
      </c>
      <c r="T16" s="50">
        <v>0</v>
      </c>
      <c r="U16" s="54">
        <v>0</v>
      </c>
      <c r="V16" s="67"/>
      <c r="W16" s="67"/>
      <c r="X16" s="67"/>
      <c r="Y16" s="50"/>
      <c r="Z16" s="61"/>
      <c r="AA16" s="54"/>
      <c r="AB16" s="74"/>
      <c r="AC16" s="74"/>
      <c r="AD16" s="74"/>
      <c r="AE16" s="50">
        <v>3506</v>
      </c>
      <c r="AF16" s="50">
        <f>968420+2500000</f>
        <v>3468420</v>
      </c>
      <c r="AG16" s="75">
        <v>2500000</v>
      </c>
      <c r="AH16" s="64">
        <f t="shared" si="4"/>
        <v>276.21791215059898</v>
      </c>
    </row>
    <row r="17" spans="2:35" x14ac:dyDescent="0.2">
      <c r="B17" s="85">
        <v>22</v>
      </c>
      <c r="C17" s="86" t="s">
        <v>19</v>
      </c>
      <c r="D17" s="7">
        <v>15009</v>
      </c>
      <c r="E17" s="7">
        <v>14292</v>
      </c>
      <c r="F17" s="7">
        <v>12731</v>
      </c>
      <c r="G17" s="9">
        <f t="shared" si="0"/>
        <v>0.89077805765463192</v>
      </c>
      <c r="H17" s="7">
        <v>14035</v>
      </c>
      <c r="I17" s="9">
        <f t="shared" si="1"/>
        <v>0.98201791211866774</v>
      </c>
      <c r="J17" s="9">
        <f t="shared" si="2"/>
        <v>0.90708941930887066</v>
      </c>
      <c r="K17" s="36">
        <v>13760</v>
      </c>
      <c r="L17" s="36">
        <f>K17-E17</f>
        <v>-532</v>
      </c>
      <c r="M17" s="41">
        <v>12412</v>
      </c>
      <c r="N17" s="45">
        <v>0.90200000000000002</v>
      </c>
      <c r="O17" s="7">
        <v>218</v>
      </c>
      <c r="P17" s="6">
        <v>0</v>
      </c>
      <c r="Q17" s="8">
        <v>854</v>
      </c>
      <c r="R17" s="12">
        <v>104</v>
      </c>
      <c r="S17" s="50">
        <v>5279</v>
      </c>
      <c r="T17" s="50">
        <v>119</v>
      </c>
      <c r="U17" s="54">
        <f>1169440+140000</f>
        <v>1309440</v>
      </c>
      <c r="V17" s="67">
        <f>S17/T17</f>
        <v>44.361344537815128</v>
      </c>
      <c r="W17" s="67">
        <f>U17/S17</f>
        <v>248.04697859443075</v>
      </c>
      <c r="X17" s="67">
        <f>U17/T17</f>
        <v>11003.697478991597</v>
      </c>
      <c r="Y17" s="50"/>
      <c r="Z17" s="61"/>
      <c r="AA17" s="54"/>
      <c r="AB17" s="74"/>
      <c r="AC17" s="74"/>
      <c r="AD17" s="74"/>
      <c r="AE17" s="50">
        <v>3123</v>
      </c>
      <c r="AF17" s="50">
        <f>1024440+950000</f>
        <v>1974440</v>
      </c>
      <c r="AG17" s="75">
        <v>0</v>
      </c>
      <c r="AH17" s="64">
        <f t="shared" si="4"/>
        <v>632.22542427153383</v>
      </c>
    </row>
    <row r="18" spans="2:35" x14ac:dyDescent="0.2">
      <c r="B18" s="88">
        <v>26</v>
      </c>
      <c r="C18" s="90" t="s">
        <v>6</v>
      </c>
      <c r="D18" s="7">
        <v>37204</v>
      </c>
      <c r="E18" s="7">
        <v>37204</v>
      </c>
      <c r="F18" s="7">
        <v>35413</v>
      </c>
      <c r="G18" s="9">
        <f t="shared" si="0"/>
        <v>0.9518600150521449</v>
      </c>
      <c r="H18" s="7">
        <v>36361</v>
      </c>
      <c r="I18" s="9">
        <f t="shared" si="1"/>
        <v>0.97734114611332112</v>
      </c>
      <c r="J18" s="9">
        <f t="shared" si="2"/>
        <v>0.97392810978795963</v>
      </c>
      <c r="K18" s="36">
        <v>39141</v>
      </c>
      <c r="L18" s="36">
        <f>K18-E18</f>
        <v>1937</v>
      </c>
      <c r="M18" s="41">
        <v>37737</v>
      </c>
      <c r="N18" s="45">
        <v>0.96409999999999996</v>
      </c>
      <c r="O18" s="11">
        <v>1791</v>
      </c>
      <c r="P18" s="6">
        <v>0</v>
      </c>
      <c r="Q18" s="8">
        <v>1708</v>
      </c>
      <c r="R18" s="12">
        <v>148.91</v>
      </c>
      <c r="S18" s="50">
        <v>0</v>
      </c>
      <c r="T18" s="50">
        <v>0</v>
      </c>
      <c r="U18" s="54">
        <v>0</v>
      </c>
      <c r="V18" s="67"/>
      <c r="W18" s="67"/>
      <c r="X18" s="67"/>
      <c r="Y18" s="50"/>
      <c r="Z18" s="61"/>
      <c r="AA18" s="54"/>
      <c r="AB18" s="74"/>
      <c r="AC18" s="74"/>
      <c r="AD18" s="74"/>
      <c r="AE18" s="50">
        <v>6100</v>
      </c>
      <c r="AF18" s="50">
        <f>2660833+3850000</f>
        <v>6510833</v>
      </c>
      <c r="AG18" s="75">
        <v>0</v>
      </c>
      <c r="AH18" s="64">
        <f t="shared" si="4"/>
        <v>1067.3496721311476</v>
      </c>
    </row>
    <row r="19" spans="2:35" x14ac:dyDescent="0.2">
      <c r="B19" s="88" t="s">
        <v>99</v>
      </c>
      <c r="C19" s="89" t="s">
        <v>20</v>
      </c>
      <c r="D19" s="7">
        <v>8878</v>
      </c>
      <c r="E19" s="7">
        <v>8879</v>
      </c>
      <c r="F19" s="7">
        <v>6778</v>
      </c>
      <c r="G19" s="9">
        <f t="shared" si="0"/>
        <v>0.76337425385741642</v>
      </c>
      <c r="H19" s="7">
        <v>8670</v>
      </c>
      <c r="I19" s="9">
        <f t="shared" si="1"/>
        <v>0.9764613132109472</v>
      </c>
      <c r="J19" s="9">
        <f t="shared" si="2"/>
        <v>0.78177623990772782</v>
      </c>
      <c r="K19" s="36"/>
      <c r="L19" s="36"/>
      <c r="M19" s="41"/>
      <c r="N19" s="45"/>
      <c r="O19" s="7">
        <v>216</v>
      </c>
      <c r="P19" s="6">
        <v>0</v>
      </c>
      <c r="Q19" s="8">
        <v>58</v>
      </c>
      <c r="R19" s="12">
        <v>122</v>
      </c>
      <c r="S19" s="50">
        <v>0</v>
      </c>
      <c r="T19" s="50">
        <v>0</v>
      </c>
      <c r="U19" s="54">
        <v>0</v>
      </c>
      <c r="V19" s="67"/>
      <c r="W19" s="67"/>
      <c r="X19" s="67"/>
      <c r="Y19" s="50"/>
      <c r="Z19" s="61"/>
      <c r="AA19" s="54"/>
      <c r="AB19" s="74"/>
      <c r="AC19" s="74"/>
      <c r="AD19" s="74"/>
      <c r="AE19" s="50">
        <v>0</v>
      </c>
      <c r="AF19" s="50">
        <f>65000+170000</f>
        <v>235000</v>
      </c>
      <c r="AG19" s="75">
        <v>170000</v>
      </c>
      <c r="AH19" s="64" t="e">
        <f t="shared" si="4"/>
        <v>#DIV/0!</v>
      </c>
    </row>
    <row r="20" spans="2:35" x14ac:dyDescent="0.2">
      <c r="B20" s="88" t="s">
        <v>106</v>
      </c>
      <c r="C20" s="90" t="s">
        <v>24</v>
      </c>
      <c r="D20" s="7">
        <v>7279</v>
      </c>
      <c r="E20" s="7">
        <v>7297</v>
      </c>
      <c r="F20" s="21">
        <v>6599</v>
      </c>
      <c r="G20" s="9">
        <f t="shared" si="0"/>
        <v>0.90434425106208027</v>
      </c>
      <c r="H20" s="7">
        <v>7115</v>
      </c>
      <c r="I20" s="9">
        <f t="shared" si="1"/>
        <v>0.97505824311360834</v>
      </c>
      <c r="J20" s="9">
        <f t="shared" si="2"/>
        <v>0.92747716092761767</v>
      </c>
      <c r="K20" s="36"/>
      <c r="L20" s="36"/>
      <c r="M20" s="41"/>
      <c r="N20" s="45"/>
      <c r="O20" s="7">
        <v>278</v>
      </c>
      <c r="P20" s="6">
        <v>22</v>
      </c>
      <c r="Q20" s="8">
        <v>603</v>
      </c>
      <c r="R20" s="12">
        <v>42</v>
      </c>
      <c r="S20" s="50">
        <v>3450</v>
      </c>
      <c r="T20" s="50">
        <v>120</v>
      </c>
      <c r="U20" s="54">
        <f>315000+35000</f>
        <v>350000</v>
      </c>
      <c r="V20" s="67">
        <f>S20/T20</f>
        <v>28.75</v>
      </c>
      <c r="W20" s="67">
        <f>U20/S20</f>
        <v>101.44927536231884</v>
      </c>
      <c r="X20" s="67">
        <f>U20/T20</f>
        <v>2916.6666666666665</v>
      </c>
      <c r="Y20" s="50"/>
      <c r="Z20" s="61"/>
      <c r="AA20" s="54"/>
      <c r="AB20" s="74"/>
      <c r="AC20" s="74"/>
      <c r="AD20" s="74"/>
      <c r="AE20" s="50">
        <v>0</v>
      </c>
      <c r="AF20" s="50">
        <v>200000</v>
      </c>
      <c r="AG20" s="75">
        <v>200000</v>
      </c>
      <c r="AH20" s="64" t="e">
        <f t="shared" si="4"/>
        <v>#DIV/0!</v>
      </c>
    </row>
    <row r="21" spans="2:35" x14ac:dyDescent="0.2">
      <c r="B21" s="88" t="s">
        <v>91</v>
      </c>
      <c r="C21" s="89" t="s">
        <v>22</v>
      </c>
      <c r="D21" s="7">
        <v>9067</v>
      </c>
      <c r="E21" s="21">
        <v>9067</v>
      </c>
      <c r="F21" s="18">
        <v>8384</v>
      </c>
      <c r="G21" s="22">
        <f t="shared" si="0"/>
        <v>0.92467188706297565</v>
      </c>
      <c r="H21" s="18">
        <f>F21+450</f>
        <v>8834</v>
      </c>
      <c r="I21" s="22">
        <f t="shared" si="1"/>
        <v>0.97430241535237672</v>
      </c>
      <c r="J21" s="22">
        <f t="shared" si="2"/>
        <v>0.94906044826805525</v>
      </c>
      <c r="K21" s="36">
        <v>9397</v>
      </c>
      <c r="L21" s="36">
        <f>K21-E21</f>
        <v>330</v>
      </c>
      <c r="M21" s="41">
        <v>8886</v>
      </c>
      <c r="N21" s="45">
        <v>0.9456</v>
      </c>
      <c r="O21" s="7">
        <v>683</v>
      </c>
      <c r="P21" s="6">
        <v>0</v>
      </c>
      <c r="Q21" s="8">
        <v>564</v>
      </c>
      <c r="R21" s="12">
        <v>0.1</v>
      </c>
      <c r="S21" s="50">
        <v>11185</v>
      </c>
      <c r="T21" s="50">
        <v>245</v>
      </c>
      <c r="U21" s="54">
        <f>2800850+107500</f>
        <v>2908350</v>
      </c>
      <c r="V21" s="67">
        <f>S21/T21</f>
        <v>45.653061224489797</v>
      </c>
      <c r="W21" s="67">
        <f>U21/S21</f>
        <v>260.02235136343319</v>
      </c>
      <c r="X21" s="67">
        <f>U21/T21</f>
        <v>11870.816326530612</v>
      </c>
      <c r="Y21" s="50"/>
      <c r="Z21" s="61"/>
      <c r="AA21" s="54"/>
      <c r="AB21" s="74"/>
      <c r="AC21" s="74"/>
      <c r="AD21" s="74"/>
      <c r="AE21" s="50">
        <v>7390</v>
      </c>
      <c r="AF21" s="50">
        <f>2022500+2520000</f>
        <v>4542500</v>
      </c>
      <c r="AG21" s="75">
        <v>0</v>
      </c>
      <c r="AH21" s="64">
        <f t="shared" si="4"/>
        <v>614.68200270635998</v>
      </c>
    </row>
    <row r="22" spans="2:35" x14ac:dyDescent="0.2">
      <c r="B22" s="88" t="s">
        <v>100</v>
      </c>
      <c r="C22" s="90" t="s">
        <v>17</v>
      </c>
      <c r="D22" s="7">
        <v>11572</v>
      </c>
      <c r="E22" s="7">
        <v>11237</v>
      </c>
      <c r="F22" s="21">
        <v>9960</v>
      </c>
      <c r="G22" s="9">
        <f t="shared" si="0"/>
        <v>0.88635756874610661</v>
      </c>
      <c r="H22" s="7">
        <v>10812</v>
      </c>
      <c r="I22" s="9">
        <f t="shared" si="1"/>
        <v>0.96217851739788196</v>
      </c>
      <c r="J22" s="9">
        <f t="shared" si="2"/>
        <v>0.92119866814650386</v>
      </c>
      <c r="K22" s="36"/>
      <c r="L22" s="36"/>
      <c r="M22" s="41"/>
      <c r="N22" s="45"/>
      <c r="O22" s="7">
        <v>993</v>
      </c>
      <c r="P22" s="6">
        <v>0</v>
      </c>
      <c r="Q22" s="8">
        <v>627</v>
      </c>
      <c r="R22" s="12">
        <v>79</v>
      </c>
      <c r="S22" s="50">
        <v>7900</v>
      </c>
      <c r="T22" s="50">
        <v>640</v>
      </c>
      <c r="U22" s="54">
        <f>1880300+35000</f>
        <v>1915300</v>
      </c>
      <c r="V22" s="67">
        <f>S22/T22</f>
        <v>12.34375</v>
      </c>
      <c r="W22" s="67">
        <f>U22/S22</f>
        <v>242.44303797468353</v>
      </c>
      <c r="X22" s="67">
        <f>U22/T22</f>
        <v>2992.65625</v>
      </c>
      <c r="Y22" s="50"/>
      <c r="Z22" s="61"/>
      <c r="AA22" s="54"/>
      <c r="AB22" s="74"/>
      <c r="AC22" s="74"/>
      <c r="AD22" s="74"/>
      <c r="AE22" s="50">
        <v>13190</v>
      </c>
      <c r="AF22" s="50">
        <f>4200450+60000</f>
        <v>4260450</v>
      </c>
      <c r="AG22" s="75">
        <v>60000</v>
      </c>
      <c r="AH22" s="64">
        <f t="shared" si="4"/>
        <v>318.4571645185747</v>
      </c>
    </row>
    <row r="23" spans="2:35" x14ac:dyDescent="0.2">
      <c r="B23" s="88" t="s">
        <v>98</v>
      </c>
      <c r="C23" s="89" t="s">
        <v>21</v>
      </c>
      <c r="D23" s="11">
        <v>10985</v>
      </c>
      <c r="E23" s="7">
        <v>10980</v>
      </c>
      <c r="F23" s="30">
        <v>10148</v>
      </c>
      <c r="G23" s="9">
        <f t="shared" si="0"/>
        <v>0.92422586520947181</v>
      </c>
      <c r="H23" s="7">
        <v>10449</v>
      </c>
      <c r="I23" s="9">
        <f t="shared" si="1"/>
        <v>0.95163934426229513</v>
      </c>
      <c r="J23" s="9">
        <f t="shared" si="2"/>
        <v>0.9711934156378601</v>
      </c>
      <c r="K23" s="36">
        <v>11565</v>
      </c>
      <c r="L23" s="36">
        <f>K23-E23</f>
        <v>585</v>
      </c>
      <c r="M23" s="41">
        <v>11440</v>
      </c>
      <c r="N23" s="45">
        <v>0.98919999999999997</v>
      </c>
      <c r="O23" s="7">
        <v>832</v>
      </c>
      <c r="P23" s="6">
        <v>0</v>
      </c>
      <c r="Q23" s="8">
        <v>348</v>
      </c>
      <c r="R23" s="12">
        <v>52</v>
      </c>
      <c r="S23" s="50">
        <v>0</v>
      </c>
      <c r="T23" s="50">
        <v>0</v>
      </c>
      <c r="U23" s="54">
        <v>0</v>
      </c>
      <c r="V23" s="67"/>
      <c r="W23" s="67"/>
      <c r="X23" s="67"/>
      <c r="Y23" s="50"/>
      <c r="Z23" s="61"/>
      <c r="AA23" s="54"/>
      <c r="AB23" s="74"/>
      <c r="AC23" s="74"/>
      <c r="AD23" s="74"/>
      <c r="AE23" s="50">
        <v>0</v>
      </c>
      <c r="AF23" s="50">
        <v>800000</v>
      </c>
      <c r="AG23" s="75">
        <v>800000</v>
      </c>
      <c r="AH23" s="64"/>
    </row>
    <row r="24" spans="2:35" x14ac:dyDescent="0.2">
      <c r="B24" s="29">
        <v>21</v>
      </c>
      <c r="C24" s="19" t="s">
        <v>18</v>
      </c>
      <c r="D24" s="7">
        <v>10665</v>
      </c>
      <c r="E24" s="7">
        <v>10665</v>
      </c>
      <c r="F24" s="11">
        <v>9677</v>
      </c>
      <c r="G24" s="9">
        <f t="shared" si="0"/>
        <v>0.90736052508204412</v>
      </c>
      <c r="H24" s="7">
        <v>9918</v>
      </c>
      <c r="I24" s="9">
        <f t="shared" si="1"/>
        <v>0.92995780590717303</v>
      </c>
      <c r="J24" s="9">
        <f t="shared" si="2"/>
        <v>0.97570074611816904</v>
      </c>
      <c r="K24" s="36">
        <v>11505</v>
      </c>
      <c r="L24" s="36">
        <f>K24-E24</f>
        <v>840</v>
      </c>
      <c r="M24" s="41">
        <v>10628</v>
      </c>
      <c r="N24" s="45">
        <v>0.92379999999999995</v>
      </c>
      <c r="O24" s="11">
        <v>988</v>
      </c>
      <c r="P24" s="6">
        <v>0</v>
      </c>
      <c r="Q24" s="8">
        <v>672</v>
      </c>
      <c r="R24" s="12">
        <v>63</v>
      </c>
      <c r="S24" s="50">
        <v>10324</v>
      </c>
      <c r="T24" s="50">
        <v>154</v>
      </c>
      <c r="U24" s="54">
        <f>1786520+40000</f>
        <v>1826520</v>
      </c>
      <c r="V24" s="67">
        <f>S24/T24</f>
        <v>67.038961038961034</v>
      </c>
      <c r="W24" s="67">
        <f>U24/S24</f>
        <v>176.91979852770245</v>
      </c>
      <c r="X24" s="67">
        <f>U24/T24</f>
        <v>11860.519480519481</v>
      </c>
      <c r="Y24" s="50"/>
      <c r="Z24" s="61"/>
      <c r="AA24" s="54"/>
      <c r="AB24" s="74"/>
      <c r="AC24" s="74"/>
      <c r="AD24" s="74"/>
      <c r="AE24" s="50">
        <v>7620</v>
      </c>
      <c r="AF24" s="50">
        <f>982000+750000</f>
        <v>1732000</v>
      </c>
      <c r="AG24" s="75">
        <v>750000</v>
      </c>
      <c r="AH24" s="64">
        <f>(AF24-AG24)/AE24</f>
        <v>128.87139107611549</v>
      </c>
    </row>
    <row r="25" spans="2:35" x14ac:dyDescent="0.2">
      <c r="B25" s="29" t="s">
        <v>92</v>
      </c>
      <c r="C25" s="19" t="s">
        <v>25</v>
      </c>
      <c r="D25" s="7">
        <v>8564</v>
      </c>
      <c r="E25" s="7">
        <v>8564</v>
      </c>
      <c r="F25" s="18">
        <v>7417</v>
      </c>
      <c r="G25" s="9">
        <f t="shared" si="0"/>
        <v>0.86606725829051845</v>
      </c>
      <c r="H25" s="11">
        <v>7964</v>
      </c>
      <c r="I25" s="9">
        <f t="shared" si="1"/>
        <v>0.92993928070994858</v>
      </c>
      <c r="J25" s="9">
        <f t="shared" si="2"/>
        <v>0.93131592164741339</v>
      </c>
      <c r="K25" s="39"/>
      <c r="L25" s="36"/>
      <c r="O25" s="7">
        <v>312</v>
      </c>
      <c r="P25" s="6">
        <v>0</v>
      </c>
      <c r="Q25" s="8">
        <v>666</v>
      </c>
      <c r="R25" s="32">
        <v>0.23</v>
      </c>
      <c r="S25" s="50">
        <v>0</v>
      </c>
      <c r="T25" s="50">
        <v>0</v>
      </c>
      <c r="U25" s="54">
        <v>0</v>
      </c>
      <c r="V25" s="67"/>
      <c r="W25" s="67"/>
      <c r="X25" s="67"/>
      <c r="Y25" s="50">
        <v>6476</v>
      </c>
      <c r="Z25" s="61">
        <v>535</v>
      </c>
      <c r="AA25" s="54">
        <f>1315000+150000</f>
        <v>1465000</v>
      </c>
      <c r="AB25" s="74">
        <f>Y25/Z25</f>
        <v>12.104672897196261</v>
      </c>
      <c r="AC25" s="74">
        <f>AA25/Y25</f>
        <v>226.21988882025943</v>
      </c>
      <c r="AD25" s="74">
        <f>AA25/Z25</f>
        <v>2738.3177570093458</v>
      </c>
      <c r="AE25" s="50">
        <v>0</v>
      </c>
      <c r="AF25" s="50">
        <v>345000</v>
      </c>
      <c r="AG25" s="75">
        <v>95000</v>
      </c>
      <c r="AH25" s="64" t="e">
        <f>(AF25-AG25)/AE25</f>
        <v>#DIV/0!</v>
      </c>
    </row>
    <row r="26" spans="2:35" x14ac:dyDescent="0.2">
      <c r="B26" s="29" t="s">
        <v>94</v>
      </c>
      <c r="C26" s="19" t="s">
        <v>5</v>
      </c>
      <c r="D26" s="7">
        <v>59202</v>
      </c>
      <c r="E26" s="7">
        <v>56242</v>
      </c>
      <c r="F26" s="7">
        <v>46597</v>
      </c>
      <c r="G26" s="9">
        <f t="shared" si="0"/>
        <v>0.8285089434941858</v>
      </c>
      <c r="H26" s="7">
        <v>51482</v>
      </c>
      <c r="I26" s="9">
        <f t="shared" si="1"/>
        <v>0.91536574090537326</v>
      </c>
      <c r="J26" s="9">
        <f t="shared" si="2"/>
        <v>0.90511246649314325</v>
      </c>
      <c r="K26" s="36">
        <v>57018</v>
      </c>
      <c r="L26" s="36">
        <f>K26-E26</f>
        <v>776</v>
      </c>
      <c r="M26" s="41">
        <v>50820</v>
      </c>
      <c r="N26" s="45">
        <v>0.89129999999999998</v>
      </c>
      <c r="O26" s="7">
        <v>4855</v>
      </c>
      <c r="P26" s="6">
        <v>0</v>
      </c>
      <c r="Q26" s="8">
        <v>3218</v>
      </c>
      <c r="R26" s="12">
        <v>773</v>
      </c>
      <c r="S26" s="51">
        <v>46750</v>
      </c>
      <c r="T26" s="50">
        <v>1901</v>
      </c>
      <c r="U26" s="54">
        <f>16328075+162350</f>
        <v>16490425</v>
      </c>
      <c r="V26" s="67">
        <f>S26/T26</f>
        <v>24.592319831667542</v>
      </c>
      <c r="W26" s="67">
        <f>U26/S26</f>
        <v>352.73636363636365</v>
      </c>
      <c r="X26" s="67">
        <f>U26/T26</f>
        <v>8674.6054708048396</v>
      </c>
      <c r="Y26" s="50">
        <v>0</v>
      </c>
      <c r="Z26" s="61">
        <v>0</v>
      </c>
      <c r="AA26" s="54">
        <v>0</v>
      </c>
      <c r="AB26" s="74"/>
      <c r="AC26" s="74"/>
      <c r="AD26" s="74"/>
      <c r="AE26" s="50">
        <v>28810</v>
      </c>
      <c r="AF26" s="50">
        <f>18987900+2690000</f>
        <v>21677900</v>
      </c>
      <c r="AG26" s="76">
        <v>0</v>
      </c>
      <c r="AH26" s="64">
        <f>(AF26-AG26)/AE26</f>
        <v>752.44359597362029</v>
      </c>
    </row>
    <row r="27" spans="2:35" x14ac:dyDescent="0.2">
      <c r="B27" s="29" t="s">
        <v>95</v>
      </c>
      <c r="C27" s="19" t="s">
        <v>8</v>
      </c>
      <c r="D27" s="7">
        <v>22803</v>
      </c>
      <c r="E27" s="7">
        <v>22351</v>
      </c>
      <c r="F27" s="7">
        <v>19532</v>
      </c>
      <c r="G27" s="9">
        <f t="shared" si="0"/>
        <v>0.8738758892219588</v>
      </c>
      <c r="H27" s="7">
        <v>20335</v>
      </c>
      <c r="I27" s="9">
        <f t="shared" si="1"/>
        <v>0.90980269339179454</v>
      </c>
      <c r="J27" s="9">
        <f t="shared" si="2"/>
        <v>0.96051143348905832</v>
      </c>
      <c r="K27" s="36">
        <v>22934</v>
      </c>
      <c r="L27" s="36">
        <f>K27-E27</f>
        <v>583</v>
      </c>
      <c r="M27" s="41">
        <v>21654</v>
      </c>
      <c r="N27" s="45">
        <v>0.94420000000000004</v>
      </c>
      <c r="O27" s="11">
        <v>3278</v>
      </c>
      <c r="P27" s="6">
        <v>3</v>
      </c>
      <c r="Q27" s="8">
        <v>2982</v>
      </c>
      <c r="R27" s="8">
        <v>1</v>
      </c>
      <c r="S27" s="50">
        <v>0</v>
      </c>
      <c r="T27" s="50">
        <v>0</v>
      </c>
      <c r="U27" s="54">
        <v>0</v>
      </c>
      <c r="V27" s="67"/>
      <c r="W27" s="67"/>
      <c r="X27" s="67"/>
      <c r="Y27" s="50">
        <v>9634</v>
      </c>
      <c r="Z27" s="68">
        <v>0</v>
      </c>
      <c r="AA27" s="54">
        <f>2596314+126000</f>
        <v>2722314</v>
      </c>
      <c r="AB27" s="74" t="e">
        <f>Y27/Z27</f>
        <v>#DIV/0!</v>
      </c>
      <c r="AC27" s="74">
        <f>AA27/Y27</f>
        <v>282.57359352293957</v>
      </c>
      <c r="AD27" s="74" t="e">
        <f>AA27/Z27</f>
        <v>#DIV/0!</v>
      </c>
      <c r="AE27" s="50">
        <v>5620</v>
      </c>
      <c r="AF27" s="50">
        <f>2009370+1319200</f>
        <v>3328570</v>
      </c>
      <c r="AG27" s="75">
        <v>1000200</v>
      </c>
      <c r="AH27" s="64">
        <f>(AF27-AG27)/AE27</f>
        <v>414.30071174377224</v>
      </c>
    </row>
    <row r="28" spans="2:35" x14ac:dyDescent="0.2">
      <c r="B28" s="29" t="s">
        <v>104</v>
      </c>
      <c r="C28" s="19" t="s">
        <v>88</v>
      </c>
      <c r="D28" s="7">
        <v>11472</v>
      </c>
      <c r="E28" s="21">
        <v>10988</v>
      </c>
      <c r="F28" s="7">
        <v>9105</v>
      </c>
      <c r="G28" s="9">
        <f t="shared" si="0"/>
        <v>0.82863123407353478</v>
      </c>
      <c r="H28" s="7">
        <v>9730</v>
      </c>
      <c r="I28" s="9">
        <f t="shared" si="1"/>
        <v>0.88551146705496908</v>
      </c>
      <c r="J28" s="9">
        <f t="shared" si="2"/>
        <v>0.93576567317574511</v>
      </c>
      <c r="K28" s="36">
        <v>14200</v>
      </c>
      <c r="L28" s="36">
        <f>K28-E28</f>
        <v>3212</v>
      </c>
      <c r="M28" s="41">
        <v>10431</v>
      </c>
      <c r="N28" s="45">
        <v>0.73460000000000003</v>
      </c>
      <c r="O28" s="7">
        <v>732</v>
      </c>
      <c r="P28" s="6">
        <v>526</v>
      </c>
      <c r="Q28" s="8">
        <v>338</v>
      </c>
      <c r="R28" s="12">
        <v>143</v>
      </c>
      <c r="S28" s="50">
        <v>6660</v>
      </c>
      <c r="T28" s="50">
        <v>1690</v>
      </c>
      <c r="U28" s="54">
        <f>1598400+66000</f>
        <v>1664400</v>
      </c>
      <c r="V28" s="67">
        <f>S28/T28</f>
        <v>3.940828402366864</v>
      </c>
      <c r="W28" s="67">
        <f>U28/S28</f>
        <v>249.90990990990991</v>
      </c>
      <c r="X28" s="67">
        <f>U28/T28</f>
        <v>984.8520710059172</v>
      </c>
      <c r="Y28" s="50"/>
      <c r="Z28" s="61"/>
      <c r="AA28" s="54"/>
      <c r="AB28" s="74"/>
      <c r="AC28" s="74"/>
      <c r="AD28" s="74"/>
      <c r="AE28" s="50">
        <v>0</v>
      </c>
      <c r="AF28" s="50">
        <v>0</v>
      </c>
      <c r="AG28" s="75">
        <v>0</v>
      </c>
      <c r="AH28" s="64"/>
    </row>
    <row r="29" spans="2:35" x14ac:dyDescent="0.2">
      <c r="B29" s="29" t="s">
        <v>96</v>
      </c>
      <c r="C29" s="19" t="s">
        <v>9</v>
      </c>
      <c r="D29" s="7">
        <v>55732</v>
      </c>
      <c r="E29" s="7">
        <v>55732</v>
      </c>
      <c r="F29" s="7">
        <v>39528</v>
      </c>
      <c r="G29" s="9">
        <f t="shared" si="0"/>
        <v>0.70925141749802623</v>
      </c>
      <c r="H29" s="7">
        <v>47930</v>
      </c>
      <c r="I29" s="9">
        <f t="shared" si="1"/>
        <v>0.86000861264623552</v>
      </c>
      <c r="J29" s="9">
        <f t="shared" si="2"/>
        <v>0.82470269142499475</v>
      </c>
      <c r="K29" s="36">
        <v>57371</v>
      </c>
      <c r="L29" s="36">
        <f>K29-E29</f>
        <v>1639</v>
      </c>
      <c r="M29" s="41">
        <v>40025</v>
      </c>
      <c r="N29" s="45">
        <v>0.69769999999999999</v>
      </c>
      <c r="O29" s="7">
        <v>0</v>
      </c>
      <c r="P29" s="6">
        <v>0</v>
      </c>
      <c r="Q29" s="8">
        <v>2542</v>
      </c>
      <c r="R29" s="12">
        <v>1546</v>
      </c>
      <c r="S29" s="50">
        <v>0</v>
      </c>
      <c r="T29" s="50">
        <v>0</v>
      </c>
      <c r="U29" s="54">
        <v>0</v>
      </c>
      <c r="V29" s="67"/>
      <c r="W29" s="67"/>
      <c r="X29" s="67"/>
      <c r="Y29" s="50">
        <v>15950</v>
      </c>
      <c r="Z29" s="61">
        <v>600</v>
      </c>
      <c r="AA29" s="54">
        <f>6264500+5600000</f>
        <v>11864500</v>
      </c>
      <c r="AB29" s="74">
        <f>Y29/Z29</f>
        <v>26.583333333333332</v>
      </c>
      <c r="AC29" s="74">
        <f>AA29/Y29</f>
        <v>743.85579937304078</v>
      </c>
      <c r="AD29" s="74">
        <f>AA29/Z29</f>
        <v>19774.166666666668</v>
      </c>
      <c r="AE29" s="50">
        <v>32808</v>
      </c>
      <c r="AF29" s="50">
        <v>13826150</v>
      </c>
      <c r="AG29" s="75">
        <v>0</v>
      </c>
      <c r="AH29" s="64">
        <f>(AF29-AG29)/AE29</f>
        <v>421.42617654230673</v>
      </c>
    </row>
    <row r="30" spans="2:35" x14ac:dyDescent="0.2">
      <c r="B30" s="29" t="s">
        <v>107</v>
      </c>
      <c r="C30" s="19" t="s">
        <v>26</v>
      </c>
      <c r="D30" s="7">
        <v>19831</v>
      </c>
      <c r="E30" s="7">
        <v>18964</v>
      </c>
      <c r="F30" s="21">
        <v>10602</v>
      </c>
      <c r="G30" s="9">
        <f t="shared" si="0"/>
        <v>0.5590592701961612</v>
      </c>
      <c r="H30" s="7">
        <v>14418</v>
      </c>
      <c r="I30" s="9">
        <f t="shared" si="1"/>
        <v>0.76028264079308161</v>
      </c>
      <c r="J30" s="9">
        <f t="shared" si="2"/>
        <v>0.73533083645443198</v>
      </c>
      <c r="K30" s="36">
        <v>19500</v>
      </c>
      <c r="L30" s="36">
        <f>K30-E30</f>
        <v>536</v>
      </c>
      <c r="M30" s="41">
        <v>16390</v>
      </c>
      <c r="N30" s="45">
        <v>0.84050000000000002</v>
      </c>
      <c r="O30" s="7">
        <v>0</v>
      </c>
      <c r="P30" s="6">
        <v>0</v>
      </c>
      <c r="Q30" s="8">
        <v>139</v>
      </c>
      <c r="R30" s="12">
        <v>1088</v>
      </c>
      <c r="S30" s="50">
        <v>82745</v>
      </c>
      <c r="T30" s="50">
        <v>5423</v>
      </c>
      <c r="U30" s="54">
        <f>19858800+780000</f>
        <v>20638800</v>
      </c>
      <c r="V30" s="67">
        <f>S30/T30</f>
        <v>15.258159690208371</v>
      </c>
      <c r="W30" s="67">
        <f>U30/S30</f>
        <v>249.42655145326</v>
      </c>
      <c r="X30" s="67">
        <f>U30/T30</f>
        <v>3805.7901530518166</v>
      </c>
      <c r="Y30" s="50">
        <v>19965</v>
      </c>
      <c r="Z30" s="61">
        <v>1305</v>
      </c>
      <c r="AA30" s="54">
        <f>4791600+210000</f>
        <v>5001600</v>
      </c>
      <c r="AB30" s="74">
        <f>Y30/Z30</f>
        <v>15.298850574712644</v>
      </c>
      <c r="AC30" s="74">
        <f>AA30/Y30</f>
        <v>250.51840721262209</v>
      </c>
      <c r="AD30" s="74">
        <f>AA30/Z30</f>
        <v>3832.6436781609195</v>
      </c>
      <c r="AE30" s="50">
        <v>0</v>
      </c>
      <c r="AF30" s="50">
        <v>3750000</v>
      </c>
      <c r="AG30" s="75">
        <v>3600000</v>
      </c>
      <c r="AH30" s="64" t="e">
        <f>(AF30-AG30)/AE30</f>
        <v>#DIV/0!</v>
      </c>
    </row>
    <row r="31" spans="2:35" s="16" customFormat="1" ht="18.75" customHeight="1" x14ac:dyDescent="0.2">
      <c r="B31" s="1"/>
      <c r="C31" s="13" t="s">
        <v>86</v>
      </c>
      <c r="D31" s="14">
        <f>SUM(D7:D30)</f>
        <v>528148</v>
      </c>
      <c r="E31" s="14">
        <f>SUM(E7:E30)</f>
        <v>517224</v>
      </c>
      <c r="F31" s="14">
        <f>SUM(F7:F30)</f>
        <v>454892</v>
      </c>
      <c r="G31" s="17">
        <f>F31/E31</f>
        <v>0.8794874174438928</v>
      </c>
      <c r="H31" s="14">
        <f>SUM(H7:H30)</f>
        <v>491454</v>
      </c>
      <c r="I31" s="17">
        <f>H31/E31</f>
        <v>0.95017632592455104</v>
      </c>
      <c r="J31" s="17">
        <f>F31/H31</f>
        <v>0.92560443093351563</v>
      </c>
      <c r="K31" s="38"/>
      <c r="L31" s="38"/>
      <c r="M31" s="14"/>
      <c r="N31" s="46"/>
      <c r="O31" s="14">
        <f>SUM(O7:O30)</f>
        <v>20359</v>
      </c>
      <c r="P31" s="14">
        <f>SUM(P7:P30)</f>
        <v>767</v>
      </c>
      <c r="Q31" s="15">
        <f>SUM(Q7:Q30)</f>
        <v>31593.7</v>
      </c>
      <c r="R31" s="15">
        <f>SUM(R7:R30)</f>
        <v>4810.74</v>
      </c>
      <c r="S31" s="53">
        <f>SUM(S7:S30)</f>
        <v>267948</v>
      </c>
      <c r="T31" s="53"/>
      <c r="U31" s="53">
        <f>SUM(U7:U30)</f>
        <v>61080860</v>
      </c>
      <c r="V31" s="72"/>
      <c r="W31" s="72"/>
      <c r="X31" s="72"/>
      <c r="Y31" s="73"/>
      <c r="Z31" s="53"/>
      <c r="AA31" s="53"/>
      <c r="AB31" s="65"/>
      <c r="AC31" s="65"/>
      <c r="AD31" s="65"/>
      <c r="AE31" s="53">
        <f>SUM(AE7:AE30)</f>
        <v>196871</v>
      </c>
      <c r="AF31" s="73">
        <f>SUM(AF7:AF30)</f>
        <v>116818605</v>
      </c>
      <c r="AG31" s="53">
        <f>SUM(AG7:AG30)</f>
        <v>20720200</v>
      </c>
      <c r="AI31" s="53">
        <f>AF31-AG31</f>
        <v>96098405</v>
      </c>
    </row>
  </sheetData>
  <mergeCells count="26">
    <mergeCell ref="S5:S6"/>
    <mergeCell ref="T5:T6"/>
    <mergeCell ref="U5:U6"/>
    <mergeCell ref="V5:V6"/>
    <mergeCell ref="W5:W6"/>
    <mergeCell ref="E5:E6"/>
    <mergeCell ref="F5:G5"/>
    <mergeCell ref="H5:I5"/>
    <mergeCell ref="K5:K6"/>
    <mergeCell ref="M5:N5"/>
    <mergeCell ref="B4:R4"/>
    <mergeCell ref="AE5:AE6"/>
    <mergeCell ref="AF5:AG5"/>
    <mergeCell ref="AH5:AH6"/>
    <mergeCell ref="Y5:Y6"/>
    <mergeCell ref="Z5:Z6"/>
    <mergeCell ref="AA5:AA6"/>
    <mergeCell ref="AB5:AB6"/>
    <mergeCell ref="AC5:AC6"/>
    <mergeCell ref="AD5:AD6"/>
    <mergeCell ref="X5:X6"/>
    <mergeCell ref="S4:X4"/>
    <mergeCell ref="Y4:AH4"/>
    <mergeCell ref="B5:B6"/>
    <mergeCell ref="C5:C6"/>
    <mergeCell ref="D5:D6"/>
  </mergeCells>
  <pageMargins left="0.7" right="0.7" top="0.75" bottom="0.75" header="0.3" footer="0.3"/>
  <pageSetup paperSize="9" scale="3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13EEB-A2FF-4509-87DD-C2833295BA6D}">
  <sheetPr>
    <pageSetUpPr fitToPage="1"/>
  </sheetPr>
  <dimension ref="B3:AH57"/>
  <sheetViews>
    <sheetView view="pageBreakPreview" zoomScale="90" zoomScaleNormal="90" zoomScaleSheetLayoutView="90" workbookViewId="0">
      <selection activeCell="E41" sqref="E41"/>
    </sheetView>
  </sheetViews>
  <sheetFormatPr defaultColWidth="9.140625" defaultRowHeight="12.75" x14ac:dyDescent="0.2"/>
  <cols>
    <col min="1" max="1" width="9.140625" style="3"/>
    <col min="2" max="2" width="8.140625" style="2" customWidth="1"/>
    <col min="3" max="3" width="16.28515625" style="4" customWidth="1"/>
    <col min="4" max="4" width="10.140625" style="3" customWidth="1"/>
    <col min="5" max="5" width="10.42578125" style="3" customWidth="1"/>
    <col min="6" max="9" width="9.140625" style="3" customWidth="1"/>
    <col min="10" max="12" width="10.28515625" style="3" customWidth="1"/>
    <col min="13" max="13" width="10.28515625" style="43" customWidth="1"/>
    <col min="14" max="14" width="11.42578125" style="47" customWidth="1"/>
    <col min="15" max="15" width="11.5703125" style="3" customWidth="1"/>
    <col min="16" max="16" width="11.42578125" style="3" customWidth="1"/>
    <col min="17" max="17" width="11.28515625" style="3" customWidth="1"/>
    <col min="18" max="18" width="12.28515625" style="3" customWidth="1"/>
    <col min="19" max="20" width="12.28515625" style="20" customWidth="1"/>
    <col min="21" max="21" width="11.7109375" style="20" customWidth="1"/>
    <col min="22" max="24" width="10" style="71" customWidth="1"/>
    <col min="25" max="25" width="11.7109375" style="60" customWidth="1"/>
    <col min="26" max="26" width="10" style="20" customWidth="1"/>
    <col min="27" max="27" width="11.28515625" style="20" customWidth="1"/>
    <col min="28" max="30" width="10" style="66" customWidth="1"/>
    <col min="31" max="31" width="11.140625" style="20" customWidth="1"/>
    <col min="32" max="32" width="10.85546875" style="62" bestFit="1" customWidth="1"/>
    <col min="33" max="33" width="13.85546875" style="3" customWidth="1"/>
    <col min="34" max="16384" width="9.140625" style="3"/>
  </cols>
  <sheetData>
    <row r="3" spans="2:34" x14ac:dyDescent="0.2">
      <c r="J3" s="3" t="s">
        <v>128</v>
      </c>
    </row>
    <row r="4" spans="2:34" x14ac:dyDescent="0.2">
      <c r="B4" s="120" t="s">
        <v>129</v>
      </c>
      <c r="C4" s="120"/>
      <c r="D4" s="120"/>
      <c r="E4" s="120"/>
      <c r="F4" s="120"/>
      <c r="G4" s="120"/>
      <c r="H4" s="120"/>
      <c r="I4" s="120"/>
      <c r="J4" s="120"/>
      <c r="S4" s="115" t="s">
        <v>111</v>
      </c>
      <c r="T4" s="115"/>
      <c r="U4" s="115"/>
      <c r="V4" s="115"/>
      <c r="W4" s="115"/>
      <c r="X4" s="115"/>
      <c r="Y4" s="103" t="s">
        <v>112</v>
      </c>
      <c r="Z4" s="103"/>
      <c r="AA4" s="103"/>
      <c r="AB4" s="103"/>
      <c r="AC4" s="103"/>
      <c r="AD4" s="103"/>
      <c r="AE4" s="103"/>
      <c r="AF4" s="103"/>
      <c r="AG4" s="103"/>
      <c r="AH4" s="103"/>
    </row>
    <row r="5" spans="2:34" s="5" customFormat="1" ht="86.25" customHeight="1" x14ac:dyDescent="0.25">
      <c r="B5" s="105" t="s">
        <v>89</v>
      </c>
      <c r="C5" s="105" t="s">
        <v>76</v>
      </c>
      <c r="D5" s="105" t="s">
        <v>77</v>
      </c>
      <c r="E5" s="105" t="s">
        <v>87</v>
      </c>
      <c r="F5" s="107" t="s">
        <v>79</v>
      </c>
      <c r="G5" s="108"/>
      <c r="H5" s="107" t="s">
        <v>80</v>
      </c>
      <c r="I5" s="108"/>
      <c r="J5" s="93" t="s">
        <v>78</v>
      </c>
      <c r="K5" s="113" t="s">
        <v>110</v>
      </c>
      <c r="L5" s="82" t="s">
        <v>117</v>
      </c>
      <c r="M5" s="109" t="s">
        <v>109</v>
      </c>
      <c r="N5" s="110"/>
      <c r="O5" s="93" t="s">
        <v>81</v>
      </c>
      <c r="P5" s="93" t="s">
        <v>82</v>
      </c>
      <c r="Q5" s="93" t="s">
        <v>83</v>
      </c>
      <c r="R5" s="93" t="s">
        <v>84</v>
      </c>
      <c r="S5" s="116" t="s">
        <v>121</v>
      </c>
      <c r="T5" s="116" t="s">
        <v>118</v>
      </c>
      <c r="U5" s="116" t="s">
        <v>119</v>
      </c>
      <c r="V5" s="118" t="s">
        <v>114</v>
      </c>
      <c r="W5" s="118" t="s">
        <v>115</v>
      </c>
      <c r="X5" s="118" t="s">
        <v>116</v>
      </c>
      <c r="Y5" s="99" t="s">
        <v>121</v>
      </c>
      <c r="Z5" s="99" t="s">
        <v>118</v>
      </c>
      <c r="AA5" s="99" t="s">
        <v>120</v>
      </c>
      <c r="AB5" s="97" t="s">
        <v>114</v>
      </c>
      <c r="AC5" s="97" t="s">
        <v>115</v>
      </c>
      <c r="AD5" s="97" t="s">
        <v>116</v>
      </c>
      <c r="AE5" s="99" t="s">
        <v>122</v>
      </c>
      <c r="AF5" s="111" t="s">
        <v>123</v>
      </c>
      <c r="AG5" s="112"/>
      <c r="AH5" s="101" t="s">
        <v>115</v>
      </c>
    </row>
    <row r="6" spans="2:34" s="5" customFormat="1" ht="40.9" customHeight="1" x14ac:dyDescent="0.25">
      <c r="B6" s="106"/>
      <c r="C6" s="106"/>
      <c r="D6" s="106"/>
      <c r="E6" s="106"/>
      <c r="F6" s="93" t="s">
        <v>1</v>
      </c>
      <c r="G6" s="93" t="s">
        <v>0</v>
      </c>
      <c r="H6" s="93" t="s">
        <v>1</v>
      </c>
      <c r="I6" s="93" t="s">
        <v>0</v>
      </c>
      <c r="J6" s="93" t="s">
        <v>0</v>
      </c>
      <c r="K6" s="114"/>
      <c r="L6" s="83"/>
      <c r="M6" s="40" t="s">
        <v>1</v>
      </c>
      <c r="N6" s="44" t="s">
        <v>0</v>
      </c>
      <c r="O6" s="93" t="s">
        <v>1</v>
      </c>
      <c r="P6" s="93" t="s">
        <v>1</v>
      </c>
      <c r="Q6" s="93" t="s">
        <v>85</v>
      </c>
      <c r="R6" s="93" t="s">
        <v>85</v>
      </c>
      <c r="S6" s="117"/>
      <c r="T6" s="117"/>
      <c r="U6" s="117"/>
      <c r="V6" s="119"/>
      <c r="W6" s="119"/>
      <c r="X6" s="119"/>
      <c r="Y6" s="100"/>
      <c r="Z6" s="100"/>
      <c r="AA6" s="100"/>
      <c r="AB6" s="98"/>
      <c r="AC6" s="98"/>
      <c r="AD6" s="98"/>
      <c r="AE6" s="100"/>
      <c r="AF6" s="91"/>
      <c r="AG6" s="92" t="s">
        <v>113</v>
      </c>
      <c r="AH6" s="102"/>
    </row>
    <row r="7" spans="2:34" x14ac:dyDescent="0.2">
      <c r="B7" s="85">
        <v>71</v>
      </c>
      <c r="C7" s="86" t="s">
        <v>66</v>
      </c>
      <c r="D7" s="7">
        <v>4796</v>
      </c>
      <c r="E7" s="7">
        <v>2753</v>
      </c>
      <c r="F7" s="18">
        <v>2732</v>
      </c>
      <c r="G7" s="9">
        <f t="shared" ref="G7:G38" si="0">IF(OR(F7=0,E7=0),"...",F7/E7)</f>
        <v>0.99237195786414822</v>
      </c>
      <c r="H7" s="7">
        <v>2753</v>
      </c>
      <c r="I7" s="9">
        <f t="shared" ref="I7:I38" si="1">IF(OR(H7=0,E7=0),"...",H7/E7)</f>
        <v>1</v>
      </c>
      <c r="J7" s="9">
        <f t="shared" ref="J7:J38" si="2">IF(OR(H7=0,F7=0),"...",F7/H7)</f>
        <v>0.99237195786414822</v>
      </c>
      <c r="K7" s="36"/>
      <c r="L7" s="36"/>
      <c r="M7" s="41"/>
      <c r="N7" s="45"/>
      <c r="O7" s="7">
        <v>194</v>
      </c>
      <c r="P7" s="6">
        <v>0</v>
      </c>
      <c r="Q7" s="8">
        <v>0</v>
      </c>
      <c r="R7" s="12">
        <v>0</v>
      </c>
      <c r="S7" s="50">
        <v>24080</v>
      </c>
      <c r="T7" s="50">
        <v>2040</v>
      </c>
      <c r="U7" s="54">
        <f>3602200+650000</f>
        <v>4252200</v>
      </c>
      <c r="V7" s="67">
        <f>S7/T7</f>
        <v>11.803921568627452</v>
      </c>
      <c r="W7" s="67">
        <f>U7/S7</f>
        <v>176.58637873754154</v>
      </c>
      <c r="X7" s="67">
        <f>U7/T7</f>
        <v>2084.4117647058824</v>
      </c>
      <c r="Y7" s="50"/>
      <c r="Z7" s="61"/>
      <c r="AA7" s="54"/>
      <c r="AB7" s="74"/>
      <c r="AC7" s="74"/>
      <c r="AD7" s="74"/>
      <c r="AE7" s="50">
        <v>0</v>
      </c>
      <c r="AF7" s="50">
        <v>860000</v>
      </c>
      <c r="AG7" s="75">
        <v>860000</v>
      </c>
      <c r="AH7" s="64">
        <v>0</v>
      </c>
    </row>
    <row r="8" spans="2:34" s="27" customFormat="1" x14ac:dyDescent="0.2">
      <c r="B8" s="85">
        <v>33</v>
      </c>
      <c r="C8" s="86" t="s">
        <v>55</v>
      </c>
      <c r="D8" s="11">
        <v>2100</v>
      </c>
      <c r="E8" s="48">
        <v>1790</v>
      </c>
      <c r="F8" s="18">
        <v>1676</v>
      </c>
      <c r="G8" s="9">
        <f t="shared" si="0"/>
        <v>0.93631284916201118</v>
      </c>
      <c r="H8" s="11">
        <v>1790</v>
      </c>
      <c r="I8" s="9">
        <f t="shared" si="1"/>
        <v>1</v>
      </c>
      <c r="J8" s="9">
        <f t="shared" si="2"/>
        <v>0.93631284916201118</v>
      </c>
      <c r="K8" s="49">
        <v>3390</v>
      </c>
      <c r="L8" s="37">
        <f>K8-E8</f>
        <v>1600</v>
      </c>
      <c r="M8" s="41">
        <v>2210</v>
      </c>
      <c r="N8" s="45">
        <v>0.65190000000000003</v>
      </c>
      <c r="O8" s="11">
        <v>190</v>
      </c>
      <c r="P8" s="10">
        <v>25</v>
      </c>
      <c r="Q8" s="12">
        <v>58</v>
      </c>
      <c r="R8" s="12">
        <v>7</v>
      </c>
      <c r="S8" s="52">
        <v>0</v>
      </c>
      <c r="T8" s="52">
        <v>0</v>
      </c>
      <c r="U8" s="55">
        <v>0</v>
      </c>
      <c r="V8" s="67"/>
      <c r="W8" s="67"/>
      <c r="X8" s="67"/>
      <c r="Y8" s="52">
        <v>13700</v>
      </c>
      <c r="Z8" s="69">
        <v>600</v>
      </c>
      <c r="AA8" s="55">
        <f>2700000+60000</f>
        <v>2760000</v>
      </c>
      <c r="AB8" s="74">
        <f>Y8/Z8</f>
        <v>22.833333333333332</v>
      </c>
      <c r="AC8" s="74">
        <f>AA8/Y8</f>
        <v>201.45985401459853</v>
      </c>
      <c r="AD8" s="74">
        <f>AA8/Z8</f>
        <v>4600</v>
      </c>
      <c r="AE8" s="52">
        <v>0</v>
      </c>
      <c r="AF8" s="52">
        <v>0</v>
      </c>
      <c r="AG8" s="80">
        <v>0</v>
      </c>
      <c r="AH8" s="81">
        <v>0</v>
      </c>
    </row>
    <row r="9" spans="2:34" x14ac:dyDescent="0.2">
      <c r="B9" s="85">
        <v>42</v>
      </c>
      <c r="C9" s="86" t="s">
        <v>42</v>
      </c>
      <c r="D9" s="7">
        <v>4044</v>
      </c>
      <c r="E9" s="7">
        <v>3993</v>
      </c>
      <c r="F9" s="18">
        <v>3593</v>
      </c>
      <c r="G9" s="9">
        <f t="shared" si="0"/>
        <v>0.89982469321312297</v>
      </c>
      <c r="H9" s="7">
        <v>3993</v>
      </c>
      <c r="I9" s="9">
        <f t="shared" si="1"/>
        <v>1</v>
      </c>
      <c r="J9" s="9">
        <f t="shared" si="2"/>
        <v>0.89982469321312297</v>
      </c>
      <c r="K9" s="36"/>
      <c r="L9" s="36"/>
      <c r="M9" s="41"/>
      <c r="N9" s="45"/>
      <c r="O9" s="7">
        <v>83</v>
      </c>
      <c r="P9" s="6">
        <v>6</v>
      </c>
      <c r="Q9" s="8">
        <v>103</v>
      </c>
      <c r="R9" s="12">
        <v>4</v>
      </c>
      <c r="S9" s="50">
        <v>0</v>
      </c>
      <c r="T9" s="50">
        <v>0</v>
      </c>
      <c r="U9" s="54">
        <v>0</v>
      </c>
      <c r="V9" s="67"/>
      <c r="W9" s="67"/>
      <c r="X9" s="67"/>
      <c r="Y9" s="50"/>
      <c r="Z9" s="61"/>
      <c r="AA9" s="54"/>
      <c r="AB9" s="74"/>
      <c r="AC9" s="74"/>
      <c r="AD9" s="74"/>
      <c r="AE9" s="50">
        <v>0</v>
      </c>
      <c r="AF9" s="50">
        <f>45000+1200000</f>
        <v>1245000</v>
      </c>
      <c r="AG9" s="75">
        <v>1200000</v>
      </c>
      <c r="AH9" s="64" t="e">
        <f>(AF9-AG9)/AE9</f>
        <v>#DIV/0!</v>
      </c>
    </row>
    <row r="10" spans="2:34" x14ac:dyDescent="0.2">
      <c r="B10" s="85">
        <v>60</v>
      </c>
      <c r="C10" s="86" t="s">
        <v>27</v>
      </c>
      <c r="D10" s="7">
        <v>6678</v>
      </c>
      <c r="E10" s="7">
        <v>6678</v>
      </c>
      <c r="F10" s="18">
        <f>5980-E10+H10</f>
        <v>5957</v>
      </c>
      <c r="G10" s="9">
        <f t="shared" si="0"/>
        <v>0.89203354297693915</v>
      </c>
      <c r="H10" s="7">
        <v>6655</v>
      </c>
      <c r="I10" s="9">
        <f t="shared" si="1"/>
        <v>0.99655585504642108</v>
      </c>
      <c r="J10" s="9">
        <f t="shared" si="2"/>
        <v>0.89511645379413973</v>
      </c>
      <c r="K10" s="36"/>
      <c r="L10" s="36"/>
      <c r="M10" s="41"/>
      <c r="N10" s="45"/>
      <c r="O10" s="7">
        <v>225</v>
      </c>
      <c r="P10" s="6">
        <v>21</v>
      </c>
      <c r="Q10" s="8">
        <v>540</v>
      </c>
      <c r="R10" s="12">
        <v>58</v>
      </c>
      <c r="S10" s="50">
        <v>1157</v>
      </c>
      <c r="T10" s="50">
        <v>75</v>
      </c>
      <c r="U10" s="54">
        <f>119710+120000</f>
        <v>239710</v>
      </c>
      <c r="V10" s="67">
        <f>S10/T10</f>
        <v>15.426666666666666</v>
      </c>
      <c r="W10" s="67">
        <f>U10/S10</f>
        <v>207.18236819360416</v>
      </c>
      <c r="X10" s="67">
        <f>U10/T10</f>
        <v>3196.1333333333332</v>
      </c>
      <c r="Y10" s="50"/>
      <c r="Z10" s="61"/>
      <c r="AA10" s="54"/>
      <c r="AB10" s="74"/>
      <c r="AC10" s="74"/>
      <c r="AD10" s="74"/>
      <c r="AE10" s="50">
        <v>2543</v>
      </c>
      <c r="AF10" s="50">
        <f>356020+295000</f>
        <v>651020</v>
      </c>
      <c r="AG10" s="75">
        <v>145000</v>
      </c>
      <c r="AH10" s="64">
        <f>(AF10-AG10)/AE10</f>
        <v>198.98545025560361</v>
      </c>
    </row>
    <row r="11" spans="2:34" x14ac:dyDescent="0.2">
      <c r="B11" s="85">
        <v>53</v>
      </c>
      <c r="C11" s="86" t="s">
        <v>64</v>
      </c>
      <c r="D11" s="7">
        <v>2214</v>
      </c>
      <c r="E11" s="7">
        <v>2214</v>
      </c>
      <c r="F11" s="18">
        <f>2158-E11+H11</f>
        <v>2148</v>
      </c>
      <c r="G11" s="9">
        <f t="shared" si="0"/>
        <v>0.97018970189701892</v>
      </c>
      <c r="H11" s="7">
        <v>2204</v>
      </c>
      <c r="I11" s="9">
        <f t="shared" si="1"/>
        <v>0.99548328816621501</v>
      </c>
      <c r="J11" s="9">
        <f t="shared" si="2"/>
        <v>0.97459165154264971</v>
      </c>
      <c r="K11" s="36"/>
      <c r="L11" s="36"/>
      <c r="M11" s="41"/>
      <c r="N11" s="45"/>
      <c r="O11" s="7">
        <v>97</v>
      </c>
      <c r="P11" s="6">
        <v>0</v>
      </c>
      <c r="Q11" s="8">
        <v>250</v>
      </c>
      <c r="R11" s="12">
        <v>550</v>
      </c>
      <c r="S11" s="50"/>
      <c r="T11" s="50"/>
      <c r="U11" s="54"/>
      <c r="V11" s="67"/>
      <c r="W11" s="67"/>
      <c r="X11" s="67"/>
      <c r="Y11" s="50"/>
      <c r="Z11" s="61"/>
      <c r="AA11" s="54"/>
      <c r="AB11" s="74"/>
      <c r="AC11" s="74"/>
      <c r="AD11" s="74"/>
      <c r="AE11" s="50"/>
      <c r="AF11" s="50"/>
      <c r="AG11" s="75"/>
      <c r="AH11" s="64"/>
    </row>
    <row r="12" spans="2:34" x14ac:dyDescent="0.2">
      <c r="B12" s="85">
        <v>73</v>
      </c>
      <c r="C12" s="87" t="s">
        <v>46</v>
      </c>
      <c r="D12" s="7">
        <v>3512</v>
      </c>
      <c r="E12" s="7">
        <v>3512</v>
      </c>
      <c r="F12" s="18">
        <v>3482</v>
      </c>
      <c r="G12" s="9">
        <f t="shared" si="0"/>
        <v>0.99145785876993164</v>
      </c>
      <c r="H12" s="7">
        <v>3491</v>
      </c>
      <c r="I12" s="9">
        <f t="shared" si="1"/>
        <v>0.99402050113895213</v>
      </c>
      <c r="J12" s="9">
        <f t="shared" si="2"/>
        <v>0.99742194213692348</v>
      </c>
      <c r="K12" s="36"/>
      <c r="L12" s="36"/>
      <c r="M12" s="41"/>
      <c r="N12" s="45"/>
      <c r="O12" s="7">
        <v>0</v>
      </c>
      <c r="P12" s="6">
        <v>0</v>
      </c>
      <c r="Q12" s="8">
        <v>183</v>
      </c>
      <c r="R12" s="12">
        <v>0</v>
      </c>
      <c r="S12" s="50">
        <v>0</v>
      </c>
      <c r="T12" s="50">
        <v>0</v>
      </c>
      <c r="U12" s="54">
        <v>0</v>
      </c>
      <c r="V12" s="67"/>
      <c r="W12" s="67"/>
      <c r="X12" s="67"/>
      <c r="Y12" s="50"/>
      <c r="Z12" s="61"/>
      <c r="AA12" s="54"/>
      <c r="AB12" s="74"/>
      <c r="AC12" s="74"/>
      <c r="AD12" s="74"/>
      <c r="AE12" s="50">
        <v>1785</v>
      </c>
      <c r="AF12" s="58">
        <v>0</v>
      </c>
      <c r="AG12" s="78">
        <v>0</v>
      </c>
      <c r="AH12" s="64">
        <f>(AF12-AG12)/AE12</f>
        <v>0</v>
      </c>
    </row>
    <row r="13" spans="2:34" x14ac:dyDescent="0.2">
      <c r="B13" s="85">
        <v>37</v>
      </c>
      <c r="C13" s="86" t="s">
        <v>49</v>
      </c>
      <c r="D13" s="7">
        <v>2918</v>
      </c>
      <c r="E13" s="7">
        <v>2851</v>
      </c>
      <c r="F13" s="18">
        <v>2596</v>
      </c>
      <c r="G13" s="9">
        <f t="shared" si="0"/>
        <v>0.91055769905296391</v>
      </c>
      <c r="H13" s="7">
        <v>2834</v>
      </c>
      <c r="I13" s="9">
        <f t="shared" si="1"/>
        <v>0.99403717993686425</v>
      </c>
      <c r="J13" s="9">
        <f t="shared" si="2"/>
        <v>0.91601976005645736</v>
      </c>
      <c r="K13" s="36">
        <v>2890</v>
      </c>
      <c r="L13" s="36">
        <f>K13-E13</f>
        <v>39</v>
      </c>
      <c r="M13" s="41">
        <v>2811</v>
      </c>
      <c r="N13" s="45">
        <v>0.97270000000000001</v>
      </c>
      <c r="O13" s="7">
        <v>272</v>
      </c>
      <c r="P13" s="6">
        <v>0</v>
      </c>
      <c r="Q13" s="12">
        <v>52</v>
      </c>
      <c r="R13" s="12">
        <v>20</v>
      </c>
      <c r="S13" s="50">
        <v>6078</v>
      </c>
      <c r="T13" s="50">
        <v>397</v>
      </c>
      <c r="U13" s="54">
        <f>1389530+105000</f>
        <v>1494530</v>
      </c>
      <c r="V13" s="67">
        <f>S13/T13</f>
        <v>15.309823677581864</v>
      </c>
      <c r="W13" s="67">
        <f>U13/S13</f>
        <v>245.891740704179</v>
      </c>
      <c r="X13" s="67">
        <f>U13/T13</f>
        <v>3764.5591939546598</v>
      </c>
      <c r="Y13" s="50"/>
      <c r="Z13" s="61"/>
      <c r="AA13" s="54"/>
      <c r="AB13" s="74"/>
      <c r="AC13" s="74"/>
      <c r="AD13" s="74"/>
      <c r="AE13" s="50">
        <v>5820</v>
      </c>
      <c r="AF13" s="50">
        <f>1129100+70000</f>
        <v>1199100</v>
      </c>
      <c r="AG13" s="75">
        <v>70000</v>
      </c>
      <c r="AH13" s="64">
        <f>(AF13-AG13)/AE13</f>
        <v>194.00343642611685</v>
      </c>
    </row>
    <row r="14" spans="2:34" x14ac:dyDescent="0.2">
      <c r="B14" s="85">
        <v>54</v>
      </c>
      <c r="C14" s="86" t="s">
        <v>31</v>
      </c>
      <c r="D14" s="7">
        <v>7689</v>
      </c>
      <c r="E14" s="7">
        <v>7689</v>
      </c>
      <c r="F14" s="18">
        <v>5492</v>
      </c>
      <c r="G14" s="9">
        <f t="shared" si="0"/>
        <v>0.7142671348679932</v>
      </c>
      <c r="H14" s="7">
        <v>7637</v>
      </c>
      <c r="I14" s="9">
        <f t="shared" si="1"/>
        <v>0.99323709194953835</v>
      </c>
      <c r="J14" s="9">
        <f t="shared" si="2"/>
        <v>0.71913054864475578</v>
      </c>
      <c r="K14" s="36">
        <v>8042</v>
      </c>
      <c r="L14" s="36">
        <f>K14-E14</f>
        <v>353</v>
      </c>
      <c r="M14" s="41">
        <v>7797</v>
      </c>
      <c r="N14" s="45">
        <v>0.96950000000000003</v>
      </c>
      <c r="O14" s="7">
        <v>1248</v>
      </c>
      <c r="P14" s="6">
        <v>0</v>
      </c>
      <c r="Q14" s="8">
        <v>349</v>
      </c>
      <c r="R14" s="12">
        <v>182</v>
      </c>
      <c r="S14" s="50">
        <v>8048</v>
      </c>
      <c r="T14" s="58">
        <v>0</v>
      </c>
      <c r="U14" s="54">
        <f>1159400+68000</f>
        <v>1227400</v>
      </c>
      <c r="V14" s="67"/>
      <c r="W14" s="67">
        <f>U14/S14</f>
        <v>152.50994035785288</v>
      </c>
      <c r="X14" s="67" t="e">
        <f>U14/T14</f>
        <v>#DIV/0!</v>
      </c>
      <c r="Y14" s="50"/>
      <c r="Z14" s="61"/>
      <c r="AA14" s="54"/>
      <c r="AB14" s="74"/>
      <c r="AC14" s="74"/>
      <c r="AD14" s="74"/>
      <c r="AE14" s="50">
        <v>0</v>
      </c>
      <c r="AF14" s="50">
        <v>0</v>
      </c>
      <c r="AG14" s="75">
        <v>0</v>
      </c>
      <c r="AH14" s="64"/>
    </row>
    <row r="15" spans="2:34" x14ac:dyDescent="0.2">
      <c r="B15" s="85">
        <v>34</v>
      </c>
      <c r="C15" s="86" t="s">
        <v>43</v>
      </c>
      <c r="D15" s="7">
        <v>6717</v>
      </c>
      <c r="E15" s="7">
        <v>6567</v>
      </c>
      <c r="F15" s="18">
        <f>6173-E15+H15</f>
        <v>6108</v>
      </c>
      <c r="G15" s="9">
        <f t="shared" si="0"/>
        <v>0.9301050708085884</v>
      </c>
      <c r="H15" s="7">
        <v>6502</v>
      </c>
      <c r="I15" s="9">
        <f t="shared" si="1"/>
        <v>0.9901020252779047</v>
      </c>
      <c r="J15" s="9">
        <f t="shared" si="2"/>
        <v>0.93940326053521994</v>
      </c>
      <c r="K15" s="36"/>
      <c r="L15" s="36"/>
      <c r="M15" s="41"/>
      <c r="N15" s="45"/>
      <c r="O15" s="7">
        <v>0</v>
      </c>
      <c r="P15" s="6">
        <v>0</v>
      </c>
      <c r="Q15" s="8">
        <v>173</v>
      </c>
      <c r="R15" s="12">
        <v>0</v>
      </c>
      <c r="S15" s="50">
        <v>0</v>
      </c>
      <c r="T15" s="50">
        <v>0</v>
      </c>
      <c r="U15" s="54">
        <v>0</v>
      </c>
      <c r="V15" s="67"/>
      <c r="W15" s="67"/>
      <c r="X15" s="67"/>
      <c r="Y15" s="50">
        <v>4100</v>
      </c>
      <c r="Z15" s="61">
        <v>637</v>
      </c>
      <c r="AA15" s="54">
        <f>984000+44000</f>
        <v>1028000</v>
      </c>
      <c r="AB15" s="74">
        <f>Y15/Z15</f>
        <v>6.4364207221350078</v>
      </c>
      <c r="AC15" s="74">
        <f>AA15/Y15</f>
        <v>250.73170731707316</v>
      </c>
      <c r="AD15" s="74">
        <f>AA15/Z15</f>
        <v>1613.8147566718994</v>
      </c>
      <c r="AE15" s="50">
        <v>0</v>
      </c>
      <c r="AF15" s="50">
        <v>0</v>
      </c>
      <c r="AG15" s="75">
        <v>0</v>
      </c>
      <c r="AH15" s="64"/>
    </row>
    <row r="16" spans="2:34" x14ac:dyDescent="0.2">
      <c r="B16" s="85">
        <v>63</v>
      </c>
      <c r="C16" s="86" t="s">
        <v>56</v>
      </c>
      <c r="D16" s="7">
        <v>2413</v>
      </c>
      <c r="E16" s="7">
        <v>2413</v>
      </c>
      <c r="F16" s="18">
        <v>2356</v>
      </c>
      <c r="G16" s="9">
        <f t="shared" si="0"/>
        <v>0.97637795275590555</v>
      </c>
      <c r="H16" s="11">
        <v>2383</v>
      </c>
      <c r="I16" s="9">
        <f t="shared" si="1"/>
        <v>0.98756734355573972</v>
      </c>
      <c r="J16" s="9">
        <f t="shared" si="2"/>
        <v>0.98866974402014263</v>
      </c>
      <c r="K16" s="36">
        <v>2501</v>
      </c>
      <c r="L16" s="36">
        <f>K16-E16</f>
        <v>88</v>
      </c>
      <c r="M16" s="41">
        <v>2344</v>
      </c>
      <c r="N16" s="45">
        <v>0.93720000000000003</v>
      </c>
      <c r="O16" s="7">
        <v>30</v>
      </c>
      <c r="P16" s="6">
        <v>0</v>
      </c>
      <c r="Q16" s="8">
        <v>117</v>
      </c>
      <c r="R16" s="32">
        <v>3</v>
      </c>
      <c r="S16" s="50">
        <v>0</v>
      </c>
      <c r="T16" s="50">
        <v>0</v>
      </c>
      <c r="U16" s="54">
        <v>0</v>
      </c>
      <c r="V16" s="67"/>
      <c r="W16" s="67"/>
      <c r="X16" s="67"/>
      <c r="Y16" s="50"/>
      <c r="Z16" s="61"/>
      <c r="AA16" s="54"/>
      <c r="AB16" s="74"/>
      <c r="AC16" s="74"/>
      <c r="AD16" s="74"/>
      <c r="AE16" s="50">
        <v>1650</v>
      </c>
      <c r="AF16" s="50">
        <v>264000</v>
      </c>
      <c r="AG16" s="75">
        <v>0</v>
      </c>
      <c r="AH16" s="64">
        <f>(AF16-AG16)/AE16</f>
        <v>160</v>
      </c>
    </row>
    <row r="17" spans="2:34" ht="12" customHeight="1" x14ac:dyDescent="0.2">
      <c r="B17" s="85">
        <v>27</v>
      </c>
      <c r="C17" s="86" t="s">
        <v>32</v>
      </c>
      <c r="D17" s="7">
        <v>8415</v>
      </c>
      <c r="E17" s="7">
        <v>7421</v>
      </c>
      <c r="F17" s="18">
        <v>7241</v>
      </c>
      <c r="G17" s="9">
        <f t="shared" si="0"/>
        <v>0.9757445088263037</v>
      </c>
      <c r="H17" s="7">
        <v>7297</v>
      </c>
      <c r="I17" s="9">
        <f t="shared" si="1"/>
        <v>0.98329066163589818</v>
      </c>
      <c r="J17" s="9">
        <f t="shared" si="2"/>
        <v>0.99232561326572566</v>
      </c>
      <c r="K17" s="36"/>
      <c r="L17" s="36"/>
      <c r="M17" s="41"/>
      <c r="N17" s="45"/>
      <c r="O17" s="7">
        <v>149</v>
      </c>
      <c r="P17" s="6">
        <v>31</v>
      </c>
      <c r="Q17" s="8">
        <v>285</v>
      </c>
      <c r="R17" s="12">
        <v>16</v>
      </c>
      <c r="S17" s="50">
        <v>0</v>
      </c>
      <c r="T17" s="50">
        <v>0</v>
      </c>
      <c r="U17" s="54">
        <v>0</v>
      </c>
      <c r="V17" s="67"/>
      <c r="W17" s="67"/>
      <c r="X17" s="67"/>
      <c r="Y17" s="50"/>
      <c r="Z17" s="61"/>
      <c r="AA17" s="54"/>
      <c r="AB17" s="74"/>
      <c r="AC17" s="74"/>
      <c r="AD17" s="74"/>
      <c r="AE17" s="50">
        <v>1200</v>
      </c>
      <c r="AF17" s="50">
        <f>590000+250000</f>
        <v>840000</v>
      </c>
      <c r="AG17" s="75">
        <v>0</v>
      </c>
      <c r="AH17" s="64">
        <f>(AF17-AG17)/AE17</f>
        <v>700</v>
      </c>
    </row>
    <row r="18" spans="2:34" x14ac:dyDescent="0.2">
      <c r="B18" s="85">
        <v>72</v>
      </c>
      <c r="C18" s="87" t="s">
        <v>36</v>
      </c>
      <c r="D18" s="7">
        <v>5173</v>
      </c>
      <c r="E18" s="7">
        <v>5173</v>
      </c>
      <c r="F18" s="18">
        <v>4360</v>
      </c>
      <c r="G18" s="9">
        <f t="shared" si="0"/>
        <v>0.84283781171467231</v>
      </c>
      <c r="H18" s="7">
        <v>5076</v>
      </c>
      <c r="I18" s="9">
        <f t="shared" si="1"/>
        <v>0.98124879180359559</v>
      </c>
      <c r="J18" s="9">
        <f t="shared" si="2"/>
        <v>0.85894405043341215</v>
      </c>
      <c r="K18" s="36">
        <v>5325</v>
      </c>
      <c r="L18" s="36">
        <f>K18-E18</f>
        <v>152</v>
      </c>
      <c r="M18" s="41">
        <v>5068</v>
      </c>
      <c r="N18" s="45">
        <v>0.95016999999999996</v>
      </c>
      <c r="O18" s="7">
        <v>813</v>
      </c>
      <c r="P18" s="6">
        <v>5</v>
      </c>
      <c r="Q18" s="8">
        <v>186</v>
      </c>
      <c r="R18" s="12">
        <v>49</v>
      </c>
      <c r="S18" s="50">
        <v>0</v>
      </c>
      <c r="T18" s="50">
        <v>0</v>
      </c>
      <c r="U18" s="54">
        <v>0</v>
      </c>
      <c r="V18" s="67"/>
      <c r="W18" s="67"/>
      <c r="X18" s="67"/>
      <c r="Y18" s="50"/>
      <c r="Z18" s="61"/>
      <c r="AA18" s="54"/>
      <c r="AB18" s="74"/>
      <c r="AC18" s="74"/>
      <c r="AD18" s="74"/>
      <c r="AE18" s="50">
        <v>610</v>
      </c>
      <c r="AF18" s="50">
        <v>173850</v>
      </c>
      <c r="AG18" s="75">
        <v>0</v>
      </c>
      <c r="AH18" s="64">
        <f>(AF18-AG18)/AE18</f>
        <v>285</v>
      </c>
    </row>
    <row r="19" spans="2:34" x14ac:dyDescent="0.2">
      <c r="B19" s="88">
        <v>32</v>
      </c>
      <c r="C19" s="90" t="s">
        <v>44</v>
      </c>
      <c r="D19" s="7">
        <v>5056</v>
      </c>
      <c r="E19" s="7">
        <v>5056</v>
      </c>
      <c r="F19" s="18">
        <v>4609</v>
      </c>
      <c r="G19" s="9">
        <f t="shared" si="0"/>
        <v>0.91159018987341767</v>
      </c>
      <c r="H19" s="7">
        <v>4930</v>
      </c>
      <c r="I19" s="9">
        <f t="shared" si="1"/>
        <v>0.97507911392405067</v>
      </c>
      <c r="J19" s="9">
        <f t="shared" si="2"/>
        <v>0.93488843813387423</v>
      </c>
      <c r="K19" s="36"/>
      <c r="L19" s="36"/>
      <c r="M19" s="41"/>
      <c r="N19" s="45"/>
      <c r="O19" s="11">
        <v>300</v>
      </c>
      <c r="P19" s="6">
        <v>13</v>
      </c>
      <c r="Q19" s="8">
        <v>97</v>
      </c>
      <c r="R19" s="12">
        <v>42</v>
      </c>
      <c r="S19" s="50">
        <v>4270</v>
      </c>
      <c r="T19" s="50">
        <v>180</v>
      </c>
      <c r="U19" s="54">
        <v>900000</v>
      </c>
      <c r="V19" s="67">
        <f>S19/T19</f>
        <v>23.722222222222221</v>
      </c>
      <c r="W19" s="67">
        <f>U19/S19</f>
        <v>210.77283372365341</v>
      </c>
      <c r="X19" s="67">
        <f>U19/T19</f>
        <v>5000</v>
      </c>
      <c r="Y19" s="50"/>
      <c r="Z19" s="61"/>
      <c r="AA19" s="54"/>
      <c r="AB19" s="74"/>
      <c r="AC19" s="74"/>
      <c r="AD19" s="74"/>
      <c r="AE19" s="50">
        <v>650</v>
      </c>
      <c r="AF19" s="50">
        <f>300000+2900000</f>
        <v>3200000</v>
      </c>
      <c r="AG19" s="75">
        <v>2900000</v>
      </c>
      <c r="AH19" s="64">
        <f>(AF19-AG19)/AE19</f>
        <v>461.53846153846155</v>
      </c>
    </row>
    <row r="20" spans="2:34" x14ac:dyDescent="0.2">
      <c r="B20" s="88">
        <v>74</v>
      </c>
      <c r="C20" s="89" t="s">
        <v>70</v>
      </c>
      <c r="D20" s="7">
        <v>1986</v>
      </c>
      <c r="E20" s="7">
        <v>1966</v>
      </c>
      <c r="F20" s="18">
        <v>1676</v>
      </c>
      <c r="G20" s="9">
        <f t="shared" si="0"/>
        <v>0.85249237029501523</v>
      </c>
      <c r="H20" s="7">
        <v>1907</v>
      </c>
      <c r="I20" s="9">
        <f t="shared" si="1"/>
        <v>0.96998982706002035</v>
      </c>
      <c r="J20" s="9">
        <f t="shared" si="2"/>
        <v>0.87886733088620872</v>
      </c>
      <c r="K20" s="36"/>
      <c r="L20" s="36"/>
      <c r="M20" s="41"/>
      <c r="N20" s="45"/>
      <c r="O20" s="7">
        <v>210</v>
      </c>
      <c r="P20" s="6">
        <v>0</v>
      </c>
      <c r="Q20" s="8">
        <v>71</v>
      </c>
      <c r="R20" s="12">
        <v>13</v>
      </c>
      <c r="S20" s="50">
        <v>2617</v>
      </c>
      <c r="T20" s="50">
        <v>46</v>
      </c>
      <c r="U20" s="54">
        <f>336290+24000</f>
        <v>360290</v>
      </c>
      <c r="V20" s="67">
        <f>S20/T20</f>
        <v>56.891304347826086</v>
      </c>
      <c r="W20" s="67">
        <f>U20/S20</f>
        <v>137.6729079098204</v>
      </c>
      <c r="X20" s="67">
        <f>U20/T20</f>
        <v>7832.391304347826</v>
      </c>
      <c r="Y20" s="50"/>
      <c r="Z20" s="61"/>
      <c r="AA20" s="54"/>
      <c r="AB20" s="74"/>
      <c r="AC20" s="74"/>
      <c r="AD20" s="74"/>
      <c r="AE20" s="50">
        <v>1614</v>
      </c>
      <c r="AF20" s="50">
        <f>234920+225000</f>
        <v>459920</v>
      </c>
      <c r="AG20" s="75">
        <v>0</v>
      </c>
      <c r="AH20" s="64">
        <f>(AF20-AG20)/AE20</f>
        <v>284.95662949194548</v>
      </c>
    </row>
    <row r="21" spans="2:34" x14ac:dyDescent="0.2">
      <c r="B21" s="88">
        <v>28</v>
      </c>
      <c r="C21" s="90" t="s">
        <v>38</v>
      </c>
      <c r="D21" s="7">
        <v>4304</v>
      </c>
      <c r="E21" s="7">
        <v>4211</v>
      </c>
      <c r="F21" s="18">
        <v>4004</v>
      </c>
      <c r="G21" s="9">
        <f t="shared" si="0"/>
        <v>0.95084303015910709</v>
      </c>
      <c r="H21" s="7">
        <v>4035</v>
      </c>
      <c r="I21" s="9">
        <f t="shared" si="1"/>
        <v>0.95820470197102825</v>
      </c>
      <c r="J21" s="9">
        <f t="shared" si="2"/>
        <v>0.99231722428748448</v>
      </c>
      <c r="K21" s="36">
        <v>3875</v>
      </c>
      <c r="L21" s="36">
        <f>K21-E21</f>
        <v>-336</v>
      </c>
      <c r="M21" s="41">
        <v>3875</v>
      </c>
      <c r="N21" s="45">
        <v>1</v>
      </c>
      <c r="O21" s="7">
        <v>264</v>
      </c>
      <c r="P21" s="6">
        <v>0</v>
      </c>
      <c r="Q21" s="8">
        <v>246</v>
      </c>
      <c r="R21" s="8">
        <v>11</v>
      </c>
      <c r="S21" s="50">
        <v>0</v>
      </c>
      <c r="T21" s="50">
        <v>0</v>
      </c>
      <c r="U21" s="54">
        <v>0</v>
      </c>
      <c r="V21" s="67"/>
      <c r="W21" s="67"/>
      <c r="X21" s="67"/>
      <c r="Y21" s="50"/>
      <c r="Z21" s="61"/>
      <c r="AA21" s="54"/>
      <c r="AB21" s="74"/>
      <c r="AC21" s="74"/>
      <c r="AD21" s="74"/>
      <c r="AE21" s="50">
        <v>0</v>
      </c>
      <c r="AF21" s="50">
        <v>0</v>
      </c>
      <c r="AG21" s="75">
        <v>0</v>
      </c>
      <c r="AH21" s="64"/>
    </row>
    <row r="22" spans="2:34" x14ac:dyDescent="0.2">
      <c r="B22" s="88">
        <v>62</v>
      </c>
      <c r="C22" s="90" t="s">
        <v>62</v>
      </c>
      <c r="D22" s="7">
        <v>2239</v>
      </c>
      <c r="E22" s="7">
        <v>2239</v>
      </c>
      <c r="F22" s="18">
        <v>2103</v>
      </c>
      <c r="G22" s="9">
        <f t="shared" si="0"/>
        <v>0.93925859758820907</v>
      </c>
      <c r="H22" s="11">
        <v>2135</v>
      </c>
      <c r="I22" s="9">
        <f t="shared" si="1"/>
        <v>0.95355069227333633</v>
      </c>
      <c r="J22" s="9">
        <f t="shared" si="2"/>
        <v>0.98501170960187356</v>
      </c>
      <c r="K22" s="36"/>
      <c r="L22" s="36"/>
      <c r="M22" s="41"/>
      <c r="N22" s="45"/>
      <c r="O22" s="7">
        <v>38</v>
      </c>
      <c r="P22" s="6">
        <v>5</v>
      </c>
      <c r="Q22" s="8">
        <v>133</v>
      </c>
      <c r="R22" s="32">
        <v>9</v>
      </c>
      <c r="S22" s="50"/>
      <c r="T22" s="50"/>
      <c r="U22" s="54"/>
      <c r="V22" s="67"/>
      <c r="W22" s="67"/>
      <c r="X22" s="67"/>
      <c r="Y22" s="50"/>
      <c r="Z22" s="61"/>
      <c r="AA22" s="54"/>
      <c r="AB22" s="74"/>
      <c r="AC22" s="74"/>
      <c r="AD22" s="74"/>
      <c r="AE22" s="50"/>
      <c r="AF22" s="50"/>
      <c r="AG22" s="75"/>
      <c r="AH22" s="64"/>
    </row>
    <row r="23" spans="2:34" x14ac:dyDescent="0.2">
      <c r="B23" s="29">
        <v>47</v>
      </c>
      <c r="C23" s="19" t="s">
        <v>57</v>
      </c>
      <c r="D23" s="7">
        <v>3110</v>
      </c>
      <c r="E23" s="7">
        <v>3110</v>
      </c>
      <c r="F23" s="18">
        <f>2830-E23+H23</f>
        <v>2580</v>
      </c>
      <c r="G23" s="9">
        <f t="shared" si="0"/>
        <v>0.82958199356913187</v>
      </c>
      <c r="H23" s="7">
        <v>2860</v>
      </c>
      <c r="I23" s="9">
        <f t="shared" si="1"/>
        <v>0.91961414790996787</v>
      </c>
      <c r="J23" s="9">
        <f t="shared" si="2"/>
        <v>0.90209790209790208</v>
      </c>
      <c r="K23" s="36">
        <v>3380</v>
      </c>
      <c r="L23" s="36">
        <f>K23-E23</f>
        <v>270</v>
      </c>
      <c r="M23" s="41">
        <v>3096</v>
      </c>
      <c r="N23" s="45">
        <v>0.91600000000000004</v>
      </c>
      <c r="O23" s="7">
        <v>255</v>
      </c>
      <c r="P23" s="6">
        <v>25</v>
      </c>
      <c r="Q23" s="8">
        <v>17</v>
      </c>
      <c r="R23" s="12">
        <v>21</v>
      </c>
      <c r="S23" s="50">
        <v>0</v>
      </c>
      <c r="T23" s="50">
        <v>0</v>
      </c>
      <c r="U23" s="54">
        <v>0</v>
      </c>
      <c r="V23" s="67"/>
      <c r="W23" s="67"/>
      <c r="X23" s="67"/>
      <c r="Y23" s="50"/>
      <c r="Z23" s="61"/>
      <c r="AA23" s="54"/>
      <c r="AB23" s="74"/>
      <c r="AC23" s="74"/>
      <c r="AD23" s="74"/>
      <c r="AE23" s="50">
        <v>5330</v>
      </c>
      <c r="AF23" s="50">
        <v>235840</v>
      </c>
      <c r="AG23" s="75">
        <v>0</v>
      </c>
      <c r="AH23" s="64">
        <f>(AF23-AG23)/AE23</f>
        <v>44.247654784240147</v>
      </c>
    </row>
    <row r="24" spans="2:34" x14ac:dyDescent="0.2">
      <c r="B24" s="29">
        <v>36</v>
      </c>
      <c r="C24" s="19" t="s">
        <v>33</v>
      </c>
      <c r="D24" s="7">
        <v>6510</v>
      </c>
      <c r="E24" s="7">
        <v>6458</v>
      </c>
      <c r="F24" s="18">
        <v>5489</v>
      </c>
      <c r="G24" s="9">
        <f t="shared" si="0"/>
        <v>0.84995354598947037</v>
      </c>
      <c r="H24" s="7">
        <v>5773</v>
      </c>
      <c r="I24" s="9">
        <f t="shared" si="1"/>
        <v>0.89393000929080213</v>
      </c>
      <c r="J24" s="9">
        <f t="shared" si="2"/>
        <v>0.9508054737571453</v>
      </c>
      <c r="K24" s="36">
        <v>6780</v>
      </c>
      <c r="L24" s="36">
        <f>K24-E24</f>
        <v>322</v>
      </c>
      <c r="M24" s="41">
        <v>6426</v>
      </c>
      <c r="N24" s="45">
        <v>0.94779999999999998</v>
      </c>
      <c r="O24" s="7">
        <v>354</v>
      </c>
      <c r="P24" s="6">
        <v>0</v>
      </c>
      <c r="Q24" s="12">
        <v>549</v>
      </c>
      <c r="R24" s="12">
        <v>64</v>
      </c>
      <c r="S24" s="50">
        <v>0</v>
      </c>
      <c r="T24" s="50">
        <v>0</v>
      </c>
      <c r="U24" s="54">
        <v>0</v>
      </c>
      <c r="V24" s="67"/>
      <c r="W24" s="67"/>
      <c r="X24" s="67"/>
      <c r="Y24" s="50"/>
      <c r="Z24" s="61">
        <v>480</v>
      </c>
      <c r="AA24" s="54"/>
      <c r="AB24" s="74">
        <f>Y24/Z24</f>
        <v>0</v>
      </c>
      <c r="AC24" s="74" t="e">
        <f>AA24/Y24</f>
        <v>#DIV/0!</v>
      </c>
      <c r="AD24" s="74">
        <f>AA24/Z24</f>
        <v>0</v>
      </c>
      <c r="AE24" s="50">
        <v>0</v>
      </c>
      <c r="AF24" s="50">
        <v>0</v>
      </c>
      <c r="AG24" s="75">
        <v>0</v>
      </c>
      <c r="AH24" s="64"/>
    </row>
    <row r="25" spans="2:34" x14ac:dyDescent="0.2">
      <c r="B25" s="29">
        <v>55</v>
      </c>
      <c r="C25" s="19" t="s">
        <v>29</v>
      </c>
      <c r="D25" s="7">
        <v>8159</v>
      </c>
      <c r="E25" s="7">
        <v>8159</v>
      </c>
      <c r="F25" s="18">
        <v>6249</v>
      </c>
      <c r="G25" s="9">
        <f t="shared" si="0"/>
        <v>0.76590268415246965</v>
      </c>
      <c r="H25" s="7">
        <v>7119</v>
      </c>
      <c r="I25" s="9">
        <f t="shared" si="1"/>
        <v>0.87253339870082114</v>
      </c>
      <c r="J25" s="9">
        <f t="shared" si="2"/>
        <v>0.87779182469447958</v>
      </c>
      <c r="K25" s="36">
        <v>8434</v>
      </c>
      <c r="L25" s="36">
        <f>K25-E25</f>
        <v>275</v>
      </c>
      <c r="M25" s="41">
        <v>7031</v>
      </c>
      <c r="N25" s="45">
        <v>0.83360000000000001</v>
      </c>
      <c r="O25" s="7">
        <v>432</v>
      </c>
      <c r="P25" s="6">
        <v>0</v>
      </c>
      <c r="Q25" s="8">
        <v>61</v>
      </c>
      <c r="R25" s="12">
        <v>111</v>
      </c>
      <c r="S25" s="50">
        <v>0</v>
      </c>
      <c r="T25" s="50">
        <v>0</v>
      </c>
      <c r="U25" s="54">
        <v>0</v>
      </c>
      <c r="V25" s="67"/>
      <c r="W25" s="67"/>
      <c r="X25" s="67"/>
      <c r="Y25" s="50">
        <v>6000</v>
      </c>
      <c r="Z25" s="61">
        <v>150</v>
      </c>
      <c r="AA25" s="54">
        <f>1500000+200000</f>
        <v>1700000</v>
      </c>
      <c r="AB25" s="74">
        <f>Y25/Z25</f>
        <v>40</v>
      </c>
      <c r="AC25" s="74">
        <f>AA25/Y25</f>
        <v>283.33333333333331</v>
      </c>
      <c r="AD25" s="74">
        <f>AA25/Z25</f>
        <v>11333.333333333334</v>
      </c>
      <c r="AE25" s="50">
        <v>6000</v>
      </c>
      <c r="AF25" s="50">
        <f>1600000+2000000</f>
        <v>3600000</v>
      </c>
      <c r="AG25" s="75">
        <v>2000000</v>
      </c>
      <c r="AH25" s="64">
        <f>(AF25-AG25)/AE25</f>
        <v>266.66666666666669</v>
      </c>
    </row>
    <row r="26" spans="2:34" x14ac:dyDescent="0.2">
      <c r="B26" s="29">
        <v>46</v>
      </c>
      <c r="C26" s="19" t="s">
        <v>73</v>
      </c>
      <c r="D26" s="7">
        <v>1889</v>
      </c>
      <c r="E26" s="7">
        <v>1881</v>
      </c>
      <c r="F26" s="18">
        <v>1589</v>
      </c>
      <c r="G26" s="9">
        <f t="shared" si="0"/>
        <v>0.84476342371079216</v>
      </c>
      <c r="H26" s="11">
        <v>1626</v>
      </c>
      <c r="I26" s="9">
        <f t="shared" si="1"/>
        <v>0.86443381180223289</v>
      </c>
      <c r="J26" s="9">
        <f t="shared" si="2"/>
        <v>0.97724477244772445</v>
      </c>
      <c r="K26" s="36"/>
      <c r="L26" s="36"/>
      <c r="M26" s="41"/>
      <c r="N26" s="45"/>
      <c r="O26" s="7">
        <v>292</v>
      </c>
      <c r="P26" s="6">
        <v>7</v>
      </c>
      <c r="Q26" s="8">
        <v>168</v>
      </c>
      <c r="R26" s="32">
        <v>25</v>
      </c>
      <c r="S26" s="50">
        <v>8700</v>
      </c>
      <c r="T26" s="50">
        <v>401</v>
      </c>
      <c r="U26" s="54">
        <f>2912800+521000</f>
        <v>3433800</v>
      </c>
      <c r="V26" s="67">
        <f>S26/T26</f>
        <v>21.695760598503739</v>
      </c>
      <c r="W26" s="67">
        <f>U26/S26</f>
        <v>394.68965517241378</v>
      </c>
      <c r="X26" s="67">
        <f>U26/T26</f>
        <v>8563.0922693266839</v>
      </c>
      <c r="Y26" s="50"/>
      <c r="Z26" s="61"/>
      <c r="AA26" s="54"/>
      <c r="AB26" s="74"/>
      <c r="AC26" s="74"/>
      <c r="AD26" s="74"/>
      <c r="AE26" s="50">
        <v>3200</v>
      </c>
      <c r="AF26" s="50">
        <f>837500</f>
        <v>837500</v>
      </c>
      <c r="AG26" s="75">
        <v>0</v>
      </c>
      <c r="AH26" s="64">
        <f>(AF26-AG26)/AE26</f>
        <v>261.71875</v>
      </c>
    </row>
    <row r="27" spans="2:34" x14ac:dyDescent="0.2">
      <c r="B27" s="29">
        <v>29</v>
      </c>
      <c r="C27" s="19" t="s">
        <v>30</v>
      </c>
      <c r="D27" s="7">
        <v>7420</v>
      </c>
      <c r="E27" s="7">
        <v>7103</v>
      </c>
      <c r="F27" s="18">
        <v>5244</v>
      </c>
      <c r="G27" s="9">
        <f t="shared" si="0"/>
        <v>0.73827960016894267</v>
      </c>
      <c r="H27" s="11">
        <v>6130</v>
      </c>
      <c r="I27" s="9">
        <f t="shared" si="1"/>
        <v>0.86301562719977476</v>
      </c>
      <c r="J27" s="9">
        <f t="shared" si="2"/>
        <v>0.8554649265905383</v>
      </c>
      <c r="K27" s="36">
        <v>7311</v>
      </c>
      <c r="L27" s="36">
        <f>K27-E27</f>
        <v>208</v>
      </c>
      <c r="M27" s="41">
        <v>5526</v>
      </c>
      <c r="N27" s="45">
        <v>0.75580000000000003</v>
      </c>
      <c r="O27" s="7">
        <v>1082</v>
      </c>
      <c r="P27" s="6">
        <v>31</v>
      </c>
      <c r="Q27" s="8">
        <v>258</v>
      </c>
      <c r="R27" s="32">
        <v>110</v>
      </c>
      <c r="S27" s="50">
        <v>16330</v>
      </c>
      <c r="T27" s="50">
        <v>311</v>
      </c>
      <c r="U27" s="54">
        <f>2967660+325000</f>
        <v>3292660</v>
      </c>
      <c r="V27" s="67">
        <f>S27/T27</f>
        <v>52.508038585209</v>
      </c>
      <c r="W27" s="67">
        <f>U27/S27</f>
        <v>201.6325780771586</v>
      </c>
      <c r="X27" s="67">
        <f>U27/T27</f>
        <v>10587.33118971061</v>
      </c>
      <c r="Y27" s="50"/>
      <c r="Z27" s="61"/>
      <c r="AA27" s="54"/>
      <c r="AB27" s="74"/>
      <c r="AC27" s="74"/>
      <c r="AD27" s="74"/>
      <c r="AE27" s="50">
        <v>1456</v>
      </c>
      <c r="AF27" s="50">
        <v>262080</v>
      </c>
      <c r="AG27" s="75">
        <v>0</v>
      </c>
      <c r="AH27" s="64">
        <f>(AF27-AG27)/AE27</f>
        <v>180</v>
      </c>
    </row>
    <row r="28" spans="2:34" x14ac:dyDescent="0.2">
      <c r="B28" s="29">
        <v>45</v>
      </c>
      <c r="C28" s="19" t="s">
        <v>54</v>
      </c>
      <c r="D28" s="7">
        <v>2585</v>
      </c>
      <c r="E28" s="7">
        <v>2585</v>
      </c>
      <c r="F28" s="18">
        <v>1994</v>
      </c>
      <c r="G28" s="9">
        <f t="shared" si="0"/>
        <v>0.77137330754352029</v>
      </c>
      <c r="H28" s="7">
        <v>2204</v>
      </c>
      <c r="I28" s="9">
        <f t="shared" si="1"/>
        <v>0.8526112185686654</v>
      </c>
      <c r="J28" s="9">
        <f t="shared" si="2"/>
        <v>0.90471869328493648</v>
      </c>
      <c r="K28" s="36"/>
      <c r="L28" s="36"/>
      <c r="M28" s="41"/>
      <c r="N28" s="45"/>
      <c r="O28" s="7">
        <v>102</v>
      </c>
      <c r="P28" s="6">
        <v>0</v>
      </c>
      <c r="Q28" s="8">
        <v>124</v>
      </c>
      <c r="R28" s="12">
        <v>27</v>
      </c>
      <c r="S28" s="50">
        <v>0</v>
      </c>
      <c r="T28" s="50">
        <v>0</v>
      </c>
      <c r="U28" s="54">
        <v>0</v>
      </c>
      <c r="V28" s="67"/>
      <c r="W28" s="67"/>
      <c r="X28" s="67"/>
      <c r="Y28" s="50">
        <v>4800</v>
      </c>
      <c r="Z28" s="61">
        <v>312</v>
      </c>
      <c r="AA28" s="54">
        <f>1459520+92000</f>
        <v>1551520</v>
      </c>
      <c r="AB28" s="74">
        <f>Y28/Z28</f>
        <v>15.384615384615385</v>
      </c>
      <c r="AC28" s="74">
        <f>AA28/Y28</f>
        <v>323.23333333333335</v>
      </c>
      <c r="AD28" s="74">
        <f>AA28/Z28</f>
        <v>4972.8205128205127</v>
      </c>
      <c r="AE28" s="50">
        <v>0</v>
      </c>
      <c r="AF28" s="50">
        <v>0</v>
      </c>
      <c r="AG28" s="75">
        <v>0</v>
      </c>
      <c r="AH28" s="64"/>
    </row>
    <row r="29" spans="2:34" x14ac:dyDescent="0.2">
      <c r="B29" s="29">
        <v>31</v>
      </c>
      <c r="C29" s="19" t="s">
        <v>39</v>
      </c>
      <c r="D29" s="7">
        <v>10157</v>
      </c>
      <c r="E29" s="7">
        <v>9813</v>
      </c>
      <c r="F29" s="18">
        <v>8123</v>
      </c>
      <c r="G29" s="9">
        <f t="shared" si="0"/>
        <v>0.82777947620503411</v>
      </c>
      <c r="H29" s="11">
        <v>8313</v>
      </c>
      <c r="I29" s="9">
        <f t="shared" si="1"/>
        <v>0.84714154692754506</v>
      </c>
      <c r="J29" s="9">
        <f t="shared" si="2"/>
        <v>0.97714423192589916</v>
      </c>
      <c r="K29" s="36">
        <v>8220</v>
      </c>
      <c r="L29" s="36">
        <f>K29-E29</f>
        <v>-1593</v>
      </c>
      <c r="M29" s="41">
        <v>5273</v>
      </c>
      <c r="N29" s="45">
        <v>0.64149999999999996</v>
      </c>
      <c r="O29" s="11">
        <v>1352</v>
      </c>
      <c r="P29" s="10">
        <v>338</v>
      </c>
      <c r="Q29" s="12">
        <v>466</v>
      </c>
      <c r="R29" s="12">
        <v>18</v>
      </c>
      <c r="S29" s="50">
        <v>20160</v>
      </c>
      <c r="T29" s="50">
        <v>662</v>
      </c>
      <c r="U29" s="54">
        <f>4363200+240000</f>
        <v>4603200</v>
      </c>
      <c r="V29" s="67">
        <f>S29/T29</f>
        <v>30.453172205438065</v>
      </c>
      <c r="W29" s="67">
        <f>U29/S29</f>
        <v>228.33333333333334</v>
      </c>
      <c r="X29" s="67">
        <f>U29/T29</f>
        <v>6953.4743202416921</v>
      </c>
      <c r="Y29" s="50"/>
      <c r="Z29" s="61"/>
      <c r="AA29" s="54"/>
      <c r="AB29" s="74"/>
      <c r="AC29" s="74"/>
      <c r="AD29" s="74"/>
      <c r="AE29" s="50">
        <v>2620</v>
      </c>
      <c r="AF29" s="50">
        <f>536000+850000</f>
        <v>1386000</v>
      </c>
      <c r="AG29" s="75">
        <v>800000</v>
      </c>
      <c r="AH29" s="64">
        <f>(AF29-AG29)/AE29</f>
        <v>223.66412213740458</v>
      </c>
    </row>
    <row r="30" spans="2:34" x14ac:dyDescent="0.2">
      <c r="B30" s="29">
        <v>57</v>
      </c>
      <c r="C30" s="23" t="s">
        <v>71</v>
      </c>
      <c r="D30" s="7">
        <v>1821</v>
      </c>
      <c r="E30" s="7">
        <v>1821</v>
      </c>
      <c r="F30" s="18">
        <v>1525</v>
      </c>
      <c r="G30" s="9">
        <f t="shared" si="0"/>
        <v>0.83745194947830859</v>
      </c>
      <c r="H30" s="7">
        <v>1525</v>
      </c>
      <c r="I30" s="9">
        <f t="shared" si="1"/>
        <v>0.83745194947830859</v>
      </c>
      <c r="J30" s="9">
        <f t="shared" si="2"/>
        <v>1</v>
      </c>
      <c r="K30" s="36"/>
      <c r="L30" s="36"/>
      <c r="M30" s="41"/>
      <c r="N30" s="45"/>
      <c r="O30" s="7">
        <v>200</v>
      </c>
      <c r="P30" s="6">
        <v>0</v>
      </c>
      <c r="Q30" s="8">
        <v>0</v>
      </c>
      <c r="R30" s="12">
        <v>27</v>
      </c>
      <c r="S30" s="50"/>
      <c r="T30" s="50"/>
      <c r="U30" s="54"/>
      <c r="V30" s="67"/>
      <c r="W30" s="67"/>
      <c r="X30" s="67"/>
      <c r="Y30" s="50"/>
      <c r="Z30" s="61"/>
      <c r="AA30" s="54"/>
      <c r="AB30" s="74"/>
      <c r="AC30" s="74"/>
      <c r="AD30" s="74"/>
      <c r="AE30" s="50"/>
      <c r="AF30" s="50"/>
      <c r="AG30" s="75"/>
      <c r="AH30" s="64"/>
    </row>
    <row r="31" spans="2:34" x14ac:dyDescent="0.2">
      <c r="B31" s="29">
        <v>43</v>
      </c>
      <c r="C31" s="23" t="s">
        <v>40</v>
      </c>
      <c r="D31" s="30">
        <v>5685</v>
      </c>
      <c r="E31" s="30">
        <v>4872</v>
      </c>
      <c r="F31" s="18">
        <v>3461</v>
      </c>
      <c r="G31" s="9">
        <f t="shared" si="0"/>
        <v>0.71038587848932677</v>
      </c>
      <c r="H31" s="30">
        <v>4059</v>
      </c>
      <c r="I31" s="9">
        <f t="shared" si="1"/>
        <v>0.83312807881773399</v>
      </c>
      <c r="J31" s="9">
        <f t="shared" si="2"/>
        <v>0.85267307218526733</v>
      </c>
      <c r="K31" s="36">
        <v>5352</v>
      </c>
      <c r="L31" s="36">
        <f>K31-E31</f>
        <v>480</v>
      </c>
      <c r="M31" s="41">
        <v>5208</v>
      </c>
      <c r="N31" s="45">
        <v>0.97309999999999997</v>
      </c>
      <c r="O31" s="30">
        <v>1411</v>
      </c>
      <c r="P31" s="6">
        <v>0</v>
      </c>
      <c r="Q31" s="8">
        <v>39</v>
      </c>
      <c r="R31" s="12">
        <v>0</v>
      </c>
      <c r="S31" s="50">
        <v>10290</v>
      </c>
      <c r="T31" s="50">
        <v>177</v>
      </c>
      <c r="U31" s="54">
        <f>1629000+90000</f>
        <v>1719000</v>
      </c>
      <c r="V31" s="67">
        <f>S31/T31</f>
        <v>58.135593220338983</v>
      </c>
      <c r="W31" s="67">
        <f>U31/S31</f>
        <v>167.05539358600583</v>
      </c>
      <c r="X31" s="67">
        <f>U31/T31</f>
        <v>9711.8644067796613</v>
      </c>
      <c r="Y31" s="50"/>
      <c r="Z31" s="61"/>
      <c r="AA31" s="54"/>
      <c r="AB31" s="74"/>
      <c r="AC31" s="74"/>
      <c r="AD31" s="74"/>
      <c r="AE31" s="50">
        <v>16770</v>
      </c>
      <c r="AF31" s="50">
        <v>3008280</v>
      </c>
      <c r="AG31" s="75">
        <v>0</v>
      </c>
      <c r="AH31" s="64">
        <f>(AF31-AG31)/AE31</f>
        <v>179.38461538461539</v>
      </c>
    </row>
    <row r="32" spans="2:34" x14ac:dyDescent="0.2">
      <c r="B32" s="29">
        <v>40</v>
      </c>
      <c r="C32" s="23" t="s">
        <v>72</v>
      </c>
      <c r="D32" s="7">
        <v>1751</v>
      </c>
      <c r="E32" s="7">
        <v>1369</v>
      </c>
      <c r="F32" s="18">
        <v>1017</v>
      </c>
      <c r="G32" s="9">
        <f t="shared" si="0"/>
        <v>0.74287801314828339</v>
      </c>
      <c r="H32" s="7">
        <v>1137</v>
      </c>
      <c r="I32" s="9">
        <f t="shared" si="1"/>
        <v>0.83053323593864137</v>
      </c>
      <c r="J32" s="9">
        <f t="shared" si="2"/>
        <v>0.89445910290237463</v>
      </c>
      <c r="K32" s="36">
        <v>2004</v>
      </c>
      <c r="L32" s="36">
        <f>K32-E32</f>
        <v>635</v>
      </c>
      <c r="M32" s="41">
        <v>1904</v>
      </c>
      <c r="N32" s="45">
        <v>0.95009999999999994</v>
      </c>
      <c r="O32" s="7">
        <v>213</v>
      </c>
      <c r="P32" s="6">
        <v>19</v>
      </c>
      <c r="Q32" s="12"/>
      <c r="R32" s="12">
        <v>37</v>
      </c>
      <c r="S32" s="50">
        <v>0</v>
      </c>
      <c r="T32" s="50">
        <v>0</v>
      </c>
      <c r="U32" s="54">
        <v>0</v>
      </c>
      <c r="V32" s="67"/>
      <c r="W32" s="67"/>
      <c r="X32" s="67"/>
      <c r="Y32" s="50"/>
      <c r="Z32" s="61"/>
      <c r="AA32" s="54"/>
      <c r="AB32" s="74"/>
      <c r="AC32" s="74"/>
      <c r="AD32" s="74"/>
      <c r="AE32" s="50">
        <v>0</v>
      </c>
      <c r="AF32" s="50">
        <v>1500000</v>
      </c>
      <c r="AG32" s="75">
        <v>1500000</v>
      </c>
      <c r="AH32" s="64" t="e">
        <f>(AF32-AG32)/AE32</f>
        <v>#DIV/0!</v>
      </c>
    </row>
    <row r="33" spans="2:34" x14ac:dyDescent="0.2">
      <c r="B33" s="29">
        <v>65</v>
      </c>
      <c r="C33" s="23" t="s">
        <v>28</v>
      </c>
      <c r="D33" s="7">
        <v>2731</v>
      </c>
      <c r="E33" s="7">
        <v>2046</v>
      </c>
      <c r="F33" s="18">
        <v>1423</v>
      </c>
      <c r="G33" s="9">
        <f t="shared" si="0"/>
        <v>0.69550342130987297</v>
      </c>
      <c r="H33" s="7">
        <v>1696</v>
      </c>
      <c r="I33" s="9">
        <f t="shared" si="1"/>
        <v>0.82893450635386123</v>
      </c>
      <c r="J33" s="9">
        <f t="shared" si="2"/>
        <v>0.83903301886792447</v>
      </c>
      <c r="K33" s="36">
        <v>2200</v>
      </c>
      <c r="L33" s="36">
        <f>K33-E33</f>
        <v>154</v>
      </c>
      <c r="M33" s="41">
        <v>2139</v>
      </c>
      <c r="N33" s="45">
        <v>0.97230000000000005</v>
      </c>
      <c r="O33" s="7">
        <v>65</v>
      </c>
      <c r="P33" s="6">
        <v>20</v>
      </c>
      <c r="Q33" s="8">
        <v>42</v>
      </c>
      <c r="R33" s="12">
        <v>40</v>
      </c>
      <c r="S33" s="50">
        <v>250</v>
      </c>
      <c r="T33" s="50">
        <v>598</v>
      </c>
      <c r="U33" s="54">
        <f>25000+25000</f>
        <v>50000</v>
      </c>
      <c r="V33" s="67">
        <f>S33/T33</f>
        <v>0.41806020066889632</v>
      </c>
      <c r="W33" s="67">
        <f>U33/S33</f>
        <v>200</v>
      </c>
      <c r="X33" s="67">
        <f>U33/T33</f>
        <v>83.61204013377926</v>
      </c>
      <c r="Y33" s="50"/>
      <c r="Z33" s="61"/>
      <c r="AA33" s="54"/>
      <c r="AB33" s="74"/>
      <c r="AC33" s="74"/>
      <c r="AD33" s="74"/>
      <c r="AE33" s="50">
        <v>2000</v>
      </c>
      <c r="AF33" s="50">
        <v>568100</v>
      </c>
      <c r="AG33" s="75">
        <v>0</v>
      </c>
      <c r="AH33" s="64">
        <f>(AF33-AG33)/AE33</f>
        <v>284.05</v>
      </c>
    </row>
    <row r="34" spans="2:34" x14ac:dyDescent="0.2">
      <c r="B34" s="29">
        <v>69</v>
      </c>
      <c r="C34" s="19" t="s">
        <v>35</v>
      </c>
      <c r="D34" s="7">
        <v>6139</v>
      </c>
      <c r="E34" s="7">
        <v>6041</v>
      </c>
      <c r="F34" s="18">
        <v>4120</v>
      </c>
      <c r="G34" s="9">
        <f t="shared" si="0"/>
        <v>0.68200629034927995</v>
      </c>
      <c r="H34" s="7">
        <v>5007</v>
      </c>
      <c r="I34" s="9">
        <f t="shared" si="1"/>
        <v>0.82883628538321474</v>
      </c>
      <c r="J34" s="9">
        <f t="shared" si="2"/>
        <v>0.82284801278210506</v>
      </c>
      <c r="K34" s="36">
        <v>6311</v>
      </c>
      <c r="L34" s="36">
        <f>K34-E34</f>
        <v>270</v>
      </c>
      <c r="M34" s="41">
        <v>4918</v>
      </c>
      <c r="N34" s="45">
        <v>0.77929999999999999</v>
      </c>
      <c r="O34" s="7">
        <v>245</v>
      </c>
      <c r="P34" s="6">
        <v>0</v>
      </c>
      <c r="Q34" s="8">
        <v>115</v>
      </c>
      <c r="R34" s="12">
        <v>131</v>
      </c>
      <c r="S34" s="50">
        <v>10749</v>
      </c>
      <c r="T34" s="50">
        <v>357</v>
      </c>
      <c r="U34" s="54">
        <f>1949833+115560</f>
        <v>2065393</v>
      </c>
      <c r="V34" s="67">
        <f>S34/T34</f>
        <v>30.109243697478991</v>
      </c>
      <c r="W34" s="67">
        <f>U34/S34</f>
        <v>192.147455577263</v>
      </c>
      <c r="X34" s="67">
        <f>U34/T34</f>
        <v>5785.4145658263305</v>
      </c>
      <c r="Y34" s="50"/>
      <c r="Z34" s="61"/>
      <c r="AA34" s="54"/>
      <c r="AB34" s="74"/>
      <c r="AC34" s="74"/>
      <c r="AD34" s="74"/>
      <c r="AE34" s="50">
        <v>1051</v>
      </c>
      <c r="AF34" s="50">
        <f>224582+1392000</f>
        <v>1616582</v>
      </c>
      <c r="AG34" s="75">
        <v>1392000</v>
      </c>
      <c r="AH34" s="64">
        <f>(AF34-AG34)/AE34</f>
        <v>213.68411037107518</v>
      </c>
    </row>
    <row r="35" spans="2:34" x14ac:dyDescent="0.2">
      <c r="B35" s="29">
        <v>41</v>
      </c>
      <c r="C35" s="19" t="s">
        <v>68</v>
      </c>
      <c r="D35" s="11">
        <v>2949</v>
      </c>
      <c r="E35" s="7">
        <v>1739</v>
      </c>
      <c r="F35" s="18">
        <v>1246</v>
      </c>
      <c r="G35" s="9">
        <f t="shared" si="0"/>
        <v>0.71650373778033349</v>
      </c>
      <c r="H35" s="7">
        <v>1430</v>
      </c>
      <c r="I35" s="9">
        <f t="shared" si="1"/>
        <v>0.82231167337550315</v>
      </c>
      <c r="J35" s="9">
        <f t="shared" si="2"/>
        <v>0.87132867132867131</v>
      </c>
      <c r="K35" s="36"/>
      <c r="L35" s="36"/>
      <c r="M35" s="41"/>
      <c r="N35" s="45"/>
      <c r="O35" s="7">
        <v>200</v>
      </c>
      <c r="P35" s="6">
        <v>2</v>
      </c>
      <c r="Q35" s="12">
        <v>30</v>
      </c>
      <c r="R35" s="12">
        <v>39</v>
      </c>
      <c r="S35" s="50">
        <v>0</v>
      </c>
      <c r="T35" s="50">
        <v>0</v>
      </c>
      <c r="U35" s="54">
        <v>0</v>
      </c>
      <c r="V35" s="67"/>
      <c r="W35" s="67"/>
      <c r="X35" s="67"/>
      <c r="Y35" s="50">
        <v>700</v>
      </c>
      <c r="Z35" s="61">
        <v>82</v>
      </c>
      <c r="AA35" s="54">
        <f>50000+14000</f>
        <v>64000</v>
      </c>
      <c r="AB35" s="74">
        <f>Y35/Z35</f>
        <v>8.536585365853659</v>
      </c>
      <c r="AC35" s="74">
        <f>AA35/Y35</f>
        <v>91.428571428571431</v>
      </c>
      <c r="AD35" s="74">
        <f>AA35/Z35</f>
        <v>780.48780487804879</v>
      </c>
      <c r="AE35" s="50">
        <v>0</v>
      </c>
      <c r="AF35" s="50">
        <v>0</v>
      </c>
      <c r="AG35" s="75">
        <v>0</v>
      </c>
      <c r="AH35" s="64"/>
    </row>
    <row r="36" spans="2:34" x14ac:dyDescent="0.2">
      <c r="B36" s="29">
        <v>38</v>
      </c>
      <c r="C36" s="19" t="s">
        <v>50</v>
      </c>
      <c r="D36" s="7">
        <v>3789</v>
      </c>
      <c r="E36" s="7">
        <v>4622</v>
      </c>
      <c r="F36" s="18">
        <v>3120</v>
      </c>
      <c r="G36" s="9">
        <f t="shared" si="0"/>
        <v>0.67503245348334051</v>
      </c>
      <c r="H36" s="7">
        <v>3789</v>
      </c>
      <c r="I36" s="9">
        <f t="shared" si="1"/>
        <v>0.81977498918217218</v>
      </c>
      <c r="J36" s="9">
        <f t="shared" si="2"/>
        <v>0.82343626286619165</v>
      </c>
      <c r="K36" s="36">
        <v>3763</v>
      </c>
      <c r="L36" s="36">
        <f>K36-E36</f>
        <v>-859</v>
      </c>
      <c r="M36" s="41">
        <v>3385</v>
      </c>
      <c r="N36" s="45">
        <v>0.89949999999999997</v>
      </c>
      <c r="O36" s="7">
        <v>1051</v>
      </c>
      <c r="P36" s="6">
        <v>451</v>
      </c>
      <c r="Q36" s="12">
        <v>122</v>
      </c>
      <c r="R36" s="12">
        <v>119</v>
      </c>
      <c r="S36" s="50">
        <v>0</v>
      </c>
      <c r="T36" s="50">
        <v>0</v>
      </c>
      <c r="U36" s="54">
        <v>0</v>
      </c>
      <c r="V36" s="67"/>
      <c r="W36" s="67"/>
      <c r="X36" s="67"/>
      <c r="Y36" s="50">
        <v>9620</v>
      </c>
      <c r="Z36" s="61">
        <v>440</v>
      </c>
      <c r="AA36" s="54">
        <f>1739700+48000</f>
        <v>1787700</v>
      </c>
      <c r="AB36" s="74">
        <f>Y36/Z36</f>
        <v>21.863636363636363</v>
      </c>
      <c r="AC36" s="74">
        <f>AA36/Y36</f>
        <v>185.83160083160084</v>
      </c>
      <c r="AD36" s="74">
        <f>AA36/Z36</f>
        <v>4062.9545454545455</v>
      </c>
      <c r="AE36" s="50">
        <v>1130</v>
      </c>
      <c r="AF36" s="50">
        <v>248000</v>
      </c>
      <c r="AG36" s="75">
        <v>0</v>
      </c>
      <c r="AH36" s="64">
        <f>(AF36-AG36)/AE36</f>
        <v>219.46902654867256</v>
      </c>
    </row>
    <row r="37" spans="2:34" x14ac:dyDescent="0.2">
      <c r="B37" s="29">
        <v>49</v>
      </c>
      <c r="C37" s="19" t="s">
        <v>41</v>
      </c>
      <c r="D37" s="7">
        <v>3718</v>
      </c>
      <c r="E37" s="7">
        <v>3718</v>
      </c>
      <c r="F37" s="18">
        <v>2437</v>
      </c>
      <c r="G37" s="9">
        <f t="shared" si="0"/>
        <v>0.65545992469069392</v>
      </c>
      <c r="H37" s="7">
        <v>2997</v>
      </c>
      <c r="I37" s="9">
        <f t="shared" si="1"/>
        <v>0.80607853684776765</v>
      </c>
      <c r="J37" s="9">
        <f t="shared" si="2"/>
        <v>0.81314647981314647</v>
      </c>
      <c r="K37" s="36">
        <v>4151</v>
      </c>
      <c r="L37" s="36">
        <f>K37-E37</f>
        <v>433</v>
      </c>
      <c r="M37" s="41">
        <v>3378</v>
      </c>
      <c r="N37" s="45">
        <v>0.81379999999999997</v>
      </c>
      <c r="O37" s="7">
        <v>336</v>
      </c>
      <c r="P37" s="6">
        <v>0</v>
      </c>
      <c r="Q37" s="8">
        <v>157</v>
      </c>
      <c r="R37" s="32">
        <v>62</v>
      </c>
      <c r="S37" s="50">
        <v>0</v>
      </c>
      <c r="T37" s="50">
        <v>0</v>
      </c>
      <c r="U37" s="54">
        <v>0</v>
      </c>
      <c r="V37" s="67"/>
      <c r="W37" s="67"/>
      <c r="X37" s="67"/>
      <c r="Y37" s="50">
        <v>3750</v>
      </c>
      <c r="Z37" s="61">
        <v>118</v>
      </c>
      <c r="AA37" s="54">
        <v>937500</v>
      </c>
      <c r="AB37" s="74">
        <f>Y37/Z37</f>
        <v>31.779661016949152</v>
      </c>
      <c r="AC37" s="74">
        <f>AA37/Y37</f>
        <v>250</v>
      </c>
      <c r="AD37" s="74">
        <f>AA37/Z37</f>
        <v>7944.9152542372885</v>
      </c>
      <c r="AE37" s="50">
        <v>0</v>
      </c>
      <c r="AF37" s="50">
        <v>380000</v>
      </c>
      <c r="AG37" s="75">
        <v>380000</v>
      </c>
      <c r="AH37" s="64" t="e">
        <f>(AF37-AG37)/AE37</f>
        <v>#DIV/0!</v>
      </c>
    </row>
    <row r="38" spans="2:34" s="27" customFormat="1" x14ac:dyDescent="0.2">
      <c r="B38" s="29">
        <v>75</v>
      </c>
      <c r="C38" s="23" t="s">
        <v>67</v>
      </c>
      <c r="D38" s="21">
        <v>1741</v>
      </c>
      <c r="E38" s="21">
        <v>1741</v>
      </c>
      <c r="F38" s="18">
        <v>1205</v>
      </c>
      <c r="G38" s="22">
        <f t="shared" si="0"/>
        <v>0.69213095921883971</v>
      </c>
      <c r="H38" s="21">
        <v>1392</v>
      </c>
      <c r="I38" s="22">
        <f t="shared" si="1"/>
        <v>0.7995404939689833</v>
      </c>
      <c r="J38" s="22">
        <f t="shared" si="2"/>
        <v>0.86566091954022983</v>
      </c>
      <c r="K38" s="36"/>
      <c r="L38" s="36"/>
      <c r="M38" s="41"/>
      <c r="N38" s="45"/>
      <c r="O38" s="18">
        <v>536</v>
      </c>
      <c r="P38" s="28">
        <v>0</v>
      </c>
      <c r="Q38" s="26">
        <v>1</v>
      </c>
      <c r="R38" s="26">
        <v>61</v>
      </c>
      <c r="S38" s="52">
        <v>0</v>
      </c>
      <c r="T38" s="52">
        <v>0</v>
      </c>
      <c r="U38" s="55">
        <v>0</v>
      </c>
      <c r="V38" s="67"/>
      <c r="W38" s="67"/>
      <c r="X38" s="67"/>
      <c r="Y38" s="52">
        <v>3910</v>
      </c>
      <c r="Z38" s="69">
        <v>360</v>
      </c>
      <c r="AA38" s="55">
        <f>632700+180000</f>
        <v>812700</v>
      </c>
      <c r="AB38" s="74">
        <f>Y38/Z38</f>
        <v>10.861111111111111</v>
      </c>
      <c r="AC38" s="74">
        <f>AA38/Y38</f>
        <v>207.85166240409208</v>
      </c>
      <c r="AD38" s="74">
        <f>AA38/Z38</f>
        <v>2257.5</v>
      </c>
      <c r="AE38" s="52">
        <v>0</v>
      </c>
      <c r="AF38" s="52">
        <v>12500</v>
      </c>
      <c r="AG38" s="80">
        <v>0</v>
      </c>
      <c r="AH38" s="64" t="e">
        <f>(AF38-AG38)/AE38</f>
        <v>#DIV/0!</v>
      </c>
    </row>
    <row r="39" spans="2:34" s="27" customFormat="1" x14ac:dyDescent="0.2">
      <c r="B39" s="29">
        <v>76</v>
      </c>
      <c r="C39" s="23" t="s">
        <v>47</v>
      </c>
      <c r="D39" s="21">
        <v>2971</v>
      </c>
      <c r="E39" s="21">
        <v>2643</v>
      </c>
      <c r="F39" s="18">
        <v>1803</v>
      </c>
      <c r="G39" s="22">
        <f t="shared" ref="G39:G55" si="3">IF(OR(F39=0,E39=0),"...",F39/E39)</f>
        <v>0.68217934165720773</v>
      </c>
      <c r="H39" s="21">
        <v>2069</v>
      </c>
      <c r="I39" s="22">
        <f t="shared" ref="I39:I55" si="4">IF(OR(H39=0,E39=0),"...",H39/E39)</f>
        <v>0.7828225501324253</v>
      </c>
      <c r="J39" s="22">
        <f t="shared" ref="J39:J55" si="5">IF(OR(H39=0,F39=0),"...",F39/H39)</f>
        <v>0.87143547607539873</v>
      </c>
      <c r="K39" s="36"/>
      <c r="L39" s="36"/>
      <c r="M39" s="41"/>
      <c r="N39" s="45"/>
      <c r="O39" s="21">
        <v>316</v>
      </c>
      <c r="P39" s="24">
        <v>0</v>
      </c>
      <c r="Q39" s="25">
        <v>0</v>
      </c>
      <c r="R39" s="26">
        <v>93</v>
      </c>
      <c r="S39" s="52">
        <v>0</v>
      </c>
      <c r="T39" s="52">
        <v>0</v>
      </c>
      <c r="U39" s="55">
        <v>0</v>
      </c>
      <c r="V39" s="67"/>
      <c r="W39" s="67"/>
      <c r="X39" s="67"/>
      <c r="Y39" s="52">
        <v>3000</v>
      </c>
      <c r="Z39" s="70">
        <v>0</v>
      </c>
      <c r="AA39" s="59">
        <v>0</v>
      </c>
      <c r="AB39" s="74" t="e">
        <f>Y39/Z39</f>
        <v>#DIV/0!</v>
      </c>
      <c r="AC39" s="74">
        <f>AA39/Y39</f>
        <v>0</v>
      </c>
      <c r="AD39" s="74" t="e">
        <f>AA39/Z39</f>
        <v>#DIV/0!</v>
      </c>
      <c r="AE39" s="52">
        <v>2869</v>
      </c>
      <c r="AF39" s="52">
        <f>286900+1173963</f>
        <v>1460863</v>
      </c>
      <c r="AG39" s="80">
        <v>1173963</v>
      </c>
      <c r="AH39" s="64">
        <f>(AF39-AG39)/AE39</f>
        <v>100</v>
      </c>
    </row>
    <row r="40" spans="2:34" x14ac:dyDescent="0.2">
      <c r="B40" s="29">
        <v>35</v>
      </c>
      <c r="C40" s="23" t="s">
        <v>75</v>
      </c>
      <c r="D40" s="7">
        <v>3140</v>
      </c>
      <c r="E40" s="7">
        <v>3140</v>
      </c>
      <c r="F40" s="18">
        <v>2053</v>
      </c>
      <c r="G40" s="9">
        <f t="shared" si="3"/>
        <v>0.65382165605095544</v>
      </c>
      <c r="H40" s="7">
        <v>2392</v>
      </c>
      <c r="I40" s="9">
        <f t="shared" si="4"/>
        <v>0.76178343949044591</v>
      </c>
      <c r="J40" s="9">
        <f t="shared" si="5"/>
        <v>0.85827759197324416</v>
      </c>
      <c r="K40" s="36">
        <v>2672</v>
      </c>
      <c r="L40" s="36">
        <f>K40-E40</f>
        <v>-468</v>
      </c>
      <c r="M40" s="41">
        <v>2497</v>
      </c>
      <c r="N40" s="45">
        <v>0.9345</v>
      </c>
      <c r="O40" s="7">
        <v>0</v>
      </c>
      <c r="P40" s="6">
        <v>0</v>
      </c>
      <c r="Q40" s="8">
        <v>46</v>
      </c>
      <c r="R40" s="12">
        <v>114</v>
      </c>
      <c r="S40" s="50">
        <v>27550</v>
      </c>
      <c r="T40" s="50">
        <v>2030</v>
      </c>
      <c r="U40" s="54">
        <f>6696000+3480000</f>
        <v>10176000</v>
      </c>
      <c r="V40" s="67">
        <f>S40/T40</f>
        <v>13.571428571428571</v>
      </c>
      <c r="W40" s="67">
        <f>U40/S40</f>
        <v>369.36479128856627</v>
      </c>
      <c r="X40" s="67">
        <f>U40/T40</f>
        <v>5012.8078817733995</v>
      </c>
      <c r="Y40" s="50"/>
      <c r="Z40" s="61"/>
      <c r="AA40" s="54"/>
      <c r="AB40" s="74"/>
      <c r="AC40" s="74"/>
      <c r="AD40" s="74"/>
      <c r="AE40" s="50">
        <v>0</v>
      </c>
      <c r="AF40" s="50">
        <v>40000</v>
      </c>
      <c r="AG40" s="75">
        <v>0</v>
      </c>
      <c r="AH40" s="64"/>
    </row>
    <row r="41" spans="2:34" x14ac:dyDescent="0.2">
      <c r="B41" s="29">
        <v>39</v>
      </c>
      <c r="C41" s="19" t="s">
        <v>60</v>
      </c>
      <c r="D41" s="7">
        <v>2296</v>
      </c>
      <c r="E41" s="7">
        <v>2296</v>
      </c>
      <c r="F41" s="18">
        <v>1566</v>
      </c>
      <c r="G41" s="9">
        <f t="shared" si="3"/>
        <v>0.68205574912891986</v>
      </c>
      <c r="H41" s="7">
        <v>1701</v>
      </c>
      <c r="I41" s="9">
        <f t="shared" si="4"/>
        <v>0.74085365853658536</v>
      </c>
      <c r="J41" s="9">
        <f t="shared" si="5"/>
        <v>0.92063492063492058</v>
      </c>
      <c r="K41" s="36"/>
      <c r="L41" s="36"/>
      <c r="M41" s="41"/>
      <c r="N41" s="45"/>
      <c r="O41" s="7">
        <v>178</v>
      </c>
      <c r="P41" s="6">
        <v>0</v>
      </c>
      <c r="Q41" s="12">
        <v>148</v>
      </c>
      <c r="R41" s="12">
        <v>25</v>
      </c>
      <c r="S41" s="50">
        <v>0</v>
      </c>
      <c r="T41" s="50">
        <v>0</v>
      </c>
      <c r="U41" s="54">
        <v>0</v>
      </c>
      <c r="V41" s="67"/>
      <c r="W41" s="67"/>
      <c r="X41" s="67"/>
      <c r="Y41" s="50">
        <v>7860</v>
      </c>
      <c r="Z41" s="61">
        <v>410</v>
      </c>
      <c r="AA41" s="54">
        <f>3251802+181416</f>
        <v>3433218</v>
      </c>
      <c r="AB41" s="74">
        <f>Y41/Z41</f>
        <v>19.170731707317074</v>
      </c>
      <c r="AC41" s="74">
        <f>AA41/Y41</f>
        <v>436.79618320610689</v>
      </c>
      <c r="AD41" s="74">
        <f>AA41/Z41</f>
        <v>8373.7024390243896</v>
      </c>
      <c r="AE41" s="50">
        <v>871</v>
      </c>
      <c r="AF41" s="50">
        <v>396762</v>
      </c>
      <c r="AG41" s="75">
        <v>0</v>
      </c>
      <c r="AH41" s="64">
        <f>(AF41-AG41)/AE41</f>
        <v>455.52468427095295</v>
      </c>
    </row>
    <row r="42" spans="2:34" x14ac:dyDescent="0.2">
      <c r="B42" s="29">
        <v>30</v>
      </c>
      <c r="C42" s="19" t="s">
        <v>52</v>
      </c>
      <c r="D42" s="7">
        <v>3293</v>
      </c>
      <c r="E42" s="7">
        <v>3293</v>
      </c>
      <c r="F42" s="18">
        <v>2023</v>
      </c>
      <c r="G42" s="9">
        <f t="shared" si="3"/>
        <v>0.6143334345581537</v>
      </c>
      <c r="H42" s="11">
        <v>2385</v>
      </c>
      <c r="I42" s="9">
        <f t="shared" si="4"/>
        <v>0.72426358943212876</v>
      </c>
      <c r="J42" s="9">
        <f t="shared" si="5"/>
        <v>0.84821802935010482</v>
      </c>
      <c r="K42" s="36">
        <v>3433</v>
      </c>
      <c r="L42" s="36">
        <f>K42-E42</f>
        <v>140</v>
      </c>
      <c r="M42" s="41">
        <v>2535</v>
      </c>
      <c r="N42" s="45">
        <v>0.73839999999999995</v>
      </c>
      <c r="O42" s="7">
        <v>1268</v>
      </c>
      <c r="P42" s="6">
        <v>0</v>
      </c>
      <c r="Q42" s="8">
        <v>140</v>
      </c>
      <c r="R42" s="12">
        <v>52</v>
      </c>
      <c r="S42" s="50">
        <v>0</v>
      </c>
      <c r="T42" s="50">
        <v>0</v>
      </c>
      <c r="U42" s="59">
        <v>0</v>
      </c>
      <c r="V42" s="67"/>
      <c r="W42" s="67"/>
      <c r="X42" s="67"/>
      <c r="Y42" s="50">
        <v>960</v>
      </c>
      <c r="Z42" s="61">
        <v>50</v>
      </c>
      <c r="AA42" s="57">
        <v>0</v>
      </c>
      <c r="AB42" s="74">
        <f>Y42/Z42</f>
        <v>19.2</v>
      </c>
      <c r="AC42" s="74">
        <f>AA42/Y42</f>
        <v>0</v>
      </c>
      <c r="AD42" s="74">
        <f>AA42/Z42</f>
        <v>0</v>
      </c>
      <c r="AE42" s="50">
        <v>4600</v>
      </c>
      <c r="AF42" s="56">
        <v>0</v>
      </c>
      <c r="AG42" s="77">
        <v>0</v>
      </c>
      <c r="AH42" s="64">
        <f>(AF42-AG42)/AE42</f>
        <v>0</v>
      </c>
    </row>
    <row r="43" spans="2:34" x14ac:dyDescent="0.2">
      <c r="B43" s="29">
        <v>58</v>
      </c>
      <c r="C43" s="19" t="s">
        <v>53</v>
      </c>
      <c r="D43" s="7">
        <v>10536</v>
      </c>
      <c r="E43" s="48">
        <v>10536</v>
      </c>
      <c r="F43" s="18">
        <v>7500</v>
      </c>
      <c r="G43" s="9">
        <f t="shared" si="3"/>
        <v>0.71184510250569477</v>
      </c>
      <c r="H43" s="7">
        <v>7500</v>
      </c>
      <c r="I43" s="9">
        <f t="shared" si="4"/>
        <v>0.71184510250569477</v>
      </c>
      <c r="J43" s="9">
        <f t="shared" si="5"/>
        <v>1</v>
      </c>
      <c r="K43" s="49">
        <v>4448</v>
      </c>
      <c r="L43" s="36">
        <f>K43-E43</f>
        <v>-6088</v>
      </c>
      <c r="M43" s="41">
        <v>2940</v>
      </c>
      <c r="N43" s="45">
        <v>0.66100000000000003</v>
      </c>
      <c r="O43" s="7">
        <v>0</v>
      </c>
      <c r="P43" s="6">
        <v>0</v>
      </c>
      <c r="Q43" s="8">
        <v>104</v>
      </c>
      <c r="R43" s="12">
        <v>8</v>
      </c>
      <c r="S43" s="50">
        <v>3547</v>
      </c>
      <c r="T43" s="50">
        <v>668</v>
      </c>
      <c r="U43" s="54">
        <f>591200+29000</f>
        <v>620200</v>
      </c>
      <c r="V43" s="67">
        <f>S43/T43</f>
        <v>5.3098802395209583</v>
      </c>
      <c r="W43" s="67">
        <f>U43/S43</f>
        <v>174.85198759515083</v>
      </c>
      <c r="X43" s="67">
        <f>U43/T43</f>
        <v>928.44311377245504</v>
      </c>
      <c r="Y43" s="50"/>
      <c r="Z43" s="61"/>
      <c r="AA43" s="54"/>
      <c r="AB43" s="74"/>
      <c r="AC43" s="74"/>
      <c r="AD43" s="74"/>
      <c r="AE43" s="50">
        <v>1392</v>
      </c>
      <c r="AF43" s="58">
        <v>0</v>
      </c>
      <c r="AG43" s="78">
        <v>0</v>
      </c>
      <c r="AH43" s="64">
        <f>(AF43-AG43)/AE43</f>
        <v>0</v>
      </c>
    </row>
    <row r="44" spans="2:34" x14ac:dyDescent="0.2">
      <c r="B44" s="29">
        <v>56</v>
      </c>
      <c r="C44" s="19" t="s">
        <v>58</v>
      </c>
      <c r="D44" s="18">
        <v>2543</v>
      </c>
      <c r="E44" s="7">
        <v>2543</v>
      </c>
      <c r="F44" s="18">
        <v>1653</v>
      </c>
      <c r="G44" s="9">
        <f t="shared" si="3"/>
        <v>0.65001966181675186</v>
      </c>
      <c r="H44" s="7">
        <v>1784</v>
      </c>
      <c r="I44" s="9">
        <f t="shared" si="4"/>
        <v>0.70153362170664568</v>
      </c>
      <c r="J44" s="9">
        <f t="shared" si="5"/>
        <v>0.92656950672645744</v>
      </c>
      <c r="K44" s="36">
        <v>2074</v>
      </c>
      <c r="L44" s="36">
        <f>K44-E44</f>
        <v>-469</v>
      </c>
      <c r="M44" s="41">
        <v>1474</v>
      </c>
      <c r="N44" s="45">
        <v>0.7107</v>
      </c>
      <c r="O44" s="7">
        <v>759</v>
      </c>
      <c r="P44" s="6">
        <v>0</v>
      </c>
      <c r="Q44" s="8">
        <v>9</v>
      </c>
      <c r="R44" s="12">
        <v>40</v>
      </c>
      <c r="S44" s="50"/>
      <c r="T44" s="50"/>
      <c r="U44" s="54"/>
      <c r="V44" s="67"/>
      <c r="W44" s="67"/>
      <c r="X44" s="67"/>
      <c r="Y44" s="50"/>
      <c r="Z44" s="61"/>
      <c r="AA44" s="54"/>
      <c r="AB44" s="74"/>
      <c r="AC44" s="74"/>
      <c r="AD44" s="74"/>
      <c r="AE44" s="50"/>
      <c r="AF44" s="50"/>
      <c r="AG44" s="75"/>
      <c r="AH44" s="64"/>
    </row>
    <row r="45" spans="2:34" x14ac:dyDescent="0.2">
      <c r="B45" s="29">
        <v>51</v>
      </c>
      <c r="C45" s="23" t="s">
        <v>69</v>
      </c>
      <c r="D45" s="7">
        <v>2208</v>
      </c>
      <c r="E45" s="30">
        <v>2208</v>
      </c>
      <c r="F45" s="31">
        <v>1353</v>
      </c>
      <c r="G45" s="9">
        <f t="shared" si="3"/>
        <v>0.61277173913043481</v>
      </c>
      <c r="H45" s="7">
        <v>1532</v>
      </c>
      <c r="I45" s="9">
        <f t="shared" si="4"/>
        <v>0.6938405797101449</v>
      </c>
      <c r="J45" s="9">
        <f t="shared" si="5"/>
        <v>0.88315926892950392</v>
      </c>
      <c r="K45" s="36"/>
      <c r="L45" s="36"/>
      <c r="M45" s="41"/>
      <c r="N45" s="45"/>
      <c r="O45" s="30">
        <v>855</v>
      </c>
      <c r="P45" s="6">
        <v>0</v>
      </c>
      <c r="Q45" s="8">
        <v>129</v>
      </c>
      <c r="R45" s="32">
        <v>49</v>
      </c>
      <c r="S45" s="50">
        <v>0</v>
      </c>
      <c r="T45" s="50">
        <v>0</v>
      </c>
      <c r="U45" s="54">
        <v>0</v>
      </c>
      <c r="V45" s="67"/>
      <c r="W45" s="67"/>
      <c r="X45" s="67"/>
      <c r="Y45" s="50">
        <v>14000</v>
      </c>
      <c r="Z45" s="20">
        <v>533</v>
      </c>
      <c r="AA45" s="54">
        <f>1703535+181980</f>
        <v>1885515</v>
      </c>
      <c r="AB45" s="74">
        <f>Y45/Z45</f>
        <v>26.266416510318951</v>
      </c>
      <c r="AC45" s="74">
        <f>AA45/Y45</f>
        <v>134.67964285714285</v>
      </c>
      <c r="AD45" s="74">
        <f>AA45/Z45</f>
        <v>3537.5515947467165</v>
      </c>
      <c r="AE45" s="50">
        <v>700</v>
      </c>
      <c r="AF45" s="50">
        <v>84000</v>
      </c>
      <c r="AG45" s="75">
        <v>0</v>
      </c>
      <c r="AH45" s="64">
        <f>(AF45-AG45)/AE45</f>
        <v>120</v>
      </c>
    </row>
    <row r="46" spans="2:34" x14ac:dyDescent="0.2">
      <c r="B46" s="29">
        <v>59</v>
      </c>
      <c r="C46" s="19" t="s">
        <v>45</v>
      </c>
      <c r="D46" s="11">
        <v>3056</v>
      </c>
      <c r="E46" s="7">
        <v>3056</v>
      </c>
      <c r="F46" s="18">
        <v>1652</v>
      </c>
      <c r="G46" s="9">
        <f t="shared" si="3"/>
        <v>0.54057591623036649</v>
      </c>
      <c r="H46" s="7">
        <v>2102</v>
      </c>
      <c r="I46" s="9">
        <f t="shared" si="4"/>
        <v>0.68782722513089001</v>
      </c>
      <c r="J46" s="9">
        <f t="shared" si="5"/>
        <v>0.78591817316841106</v>
      </c>
      <c r="K46" s="36"/>
      <c r="L46" s="36"/>
      <c r="M46" s="41"/>
      <c r="N46" s="45"/>
      <c r="O46" s="7">
        <v>710</v>
      </c>
      <c r="P46" s="6">
        <v>0</v>
      </c>
      <c r="Q46" s="8">
        <v>10</v>
      </c>
      <c r="R46" s="12">
        <v>85</v>
      </c>
      <c r="S46" s="50">
        <v>0</v>
      </c>
      <c r="T46" s="50">
        <v>0</v>
      </c>
      <c r="U46" s="54">
        <v>0</v>
      </c>
      <c r="V46" s="67"/>
      <c r="W46" s="67"/>
      <c r="X46" s="67"/>
      <c r="Y46" s="50"/>
      <c r="Z46" s="61"/>
      <c r="AA46" s="54"/>
      <c r="AB46" s="74"/>
      <c r="AC46" s="74"/>
      <c r="AD46" s="74"/>
      <c r="AE46" s="50">
        <v>13730</v>
      </c>
      <c r="AF46" s="50">
        <v>1176300</v>
      </c>
      <c r="AG46" s="75">
        <v>0</v>
      </c>
      <c r="AH46" s="64">
        <f>(AF46-AG46)/AE46</f>
        <v>85.673707210487976</v>
      </c>
    </row>
    <row r="47" spans="2:34" x14ac:dyDescent="0.2">
      <c r="B47" s="29">
        <v>52</v>
      </c>
      <c r="C47" s="19" t="s">
        <v>34</v>
      </c>
      <c r="D47" s="7">
        <v>6153</v>
      </c>
      <c r="E47" s="7">
        <v>6153</v>
      </c>
      <c r="F47" s="18">
        <v>3478</v>
      </c>
      <c r="G47" s="9">
        <f t="shared" si="3"/>
        <v>0.56525272224930923</v>
      </c>
      <c r="H47" s="7">
        <v>4055</v>
      </c>
      <c r="I47" s="9">
        <f t="shared" si="4"/>
        <v>0.65902811636600034</v>
      </c>
      <c r="J47" s="9">
        <f t="shared" si="5"/>
        <v>0.85770653514180029</v>
      </c>
      <c r="K47" s="36">
        <v>6449</v>
      </c>
      <c r="L47" s="36">
        <f>K47-E47</f>
        <v>296</v>
      </c>
      <c r="M47" s="41">
        <v>5063</v>
      </c>
      <c r="N47" s="45">
        <v>0.78510000000000002</v>
      </c>
      <c r="O47" s="7">
        <v>2671</v>
      </c>
      <c r="P47" s="6">
        <v>4</v>
      </c>
      <c r="Q47" s="8">
        <v>231</v>
      </c>
      <c r="R47" s="33">
        <v>233</v>
      </c>
      <c r="S47" s="50">
        <v>0</v>
      </c>
      <c r="T47" s="50">
        <v>0</v>
      </c>
      <c r="U47" s="54">
        <v>0</v>
      </c>
      <c r="V47" s="67"/>
      <c r="W47" s="67"/>
      <c r="X47" s="67"/>
      <c r="Y47" s="50"/>
      <c r="Z47" s="61"/>
      <c r="AA47" s="54"/>
      <c r="AB47" s="74"/>
      <c r="AC47" s="74"/>
      <c r="AD47" s="74"/>
      <c r="AE47" s="50">
        <v>8663</v>
      </c>
      <c r="AF47" s="50">
        <f>2608900+600000</f>
        <v>3208900</v>
      </c>
      <c r="AG47" s="75">
        <v>600000</v>
      </c>
      <c r="AH47" s="64">
        <f>(AF47-AG47)/AE47</f>
        <v>301.1543345261457</v>
      </c>
    </row>
    <row r="48" spans="2:34" x14ac:dyDescent="0.2">
      <c r="B48" s="29">
        <v>48</v>
      </c>
      <c r="C48" s="23" t="s">
        <v>74</v>
      </c>
      <c r="D48" s="7">
        <v>699</v>
      </c>
      <c r="E48" s="7">
        <v>699</v>
      </c>
      <c r="F48" s="18">
        <v>438</v>
      </c>
      <c r="G48" s="9">
        <f t="shared" si="3"/>
        <v>0.62660944206008584</v>
      </c>
      <c r="H48" s="7">
        <v>443</v>
      </c>
      <c r="I48" s="9">
        <f t="shared" si="4"/>
        <v>0.63376251788268956</v>
      </c>
      <c r="J48" s="9">
        <f t="shared" si="5"/>
        <v>0.98871331828442433</v>
      </c>
      <c r="K48" s="36"/>
      <c r="L48" s="36"/>
      <c r="M48" s="41"/>
      <c r="N48" s="45"/>
      <c r="O48" s="7">
        <v>20</v>
      </c>
      <c r="P48" s="6">
        <v>0</v>
      </c>
      <c r="Q48" s="8">
        <v>0</v>
      </c>
      <c r="R48" s="12">
        <v>14</v>
      </c>
      <c r="S48" s="50"/>
      <c r="T48" s="50"/>
      <c r="U48" s="54"/>
      <c r="V48" s="67"/>
      <c r="W48" s="67"/>
      <c r="X48" s="67"/>
      <c r="Y48" s="50"/>
      <c r="Z48" s="61"/>
      <c r="AA48" s="54"/>
      <c r="AB48" s="74"/>
      <c r="AC48" s="74"/>
      <c r="AD48" s="74"/>
      <c r="AE48" s="50"/>
      <c r="AF48" s="50"/>
      <c r="AG48" s="75"/>
      <c r="AH48" s="64"/>
    </row>
    <row r="49" spans="2:34" x14ac:dyDescent="0.2">
      <c r="B49" s="29">
        <v>64</v>
      </c>
      <c r="C49" s="23" t="s">
        <v>48</v>
      </c>
      <c r="D49" s="7">
        <v>2858</v>
      </c>
      <c r="E49" s="7">
        <v>2858</v>
      </c>
      <c r="F49" s="31">
        <v>1565</v>
      </c>
      <c r="G49" s="9">
        <f t="shared" si="3"/>
        <v>0.54758572428271524</v>
      </c>
      <c r="H49" s="30">
        <v>1809</v>
      </c>
      <c r="I49" s="9">
        <f t="shared" si="4"/>
        <v>0.63296011196641011</v>
      </c>
      <c r="J49" s="9">
        <f t="shared" si="5"/>
        <v>0.86511885019347701</v>
      </c>
      <c r="K49" s="36">
        <v>2797</v>
      </c>
      <c r="L49" s="36">
        <f>K49-E49</f>
        <v>-61</v>
      </c>
      <c r="M49" s="41">
        <v>1500</v>
      </c>
      <c r="N49" s="45">
        <v>0.5363</v>
      </c>
      <c r="O49" s="30">
        <v>1285</v>
      </c>
      <c r="P49" s="6">
        <v>8</v>
      </c>
      <c r="Q49" s="33">
        <v>33</v>
      </c>
      <c r="R49" s="32">
        <v>75</v>
      </c>
      <c r="S49" s="50">
        <v>0</v>
      </c>
      <c r="T49" s="50">
        <v>0</v>
      </c>
      <c r="U49" s="54">
        <v>0</v>
      </c>
      <c r="V49" s="67"/>
      <c r="W49" s="67"/>
      <c r="X49" s="67"/>
      <c r="Y49" s="50">
        <v>5400</v>
      </c>
      <c r="Z49" s="68">
        <v>0</v>
      </c>
      <c r="AA49" s="54">
        <f>1028000+24000</f>
        <v>1052000</v>
      </c>
      <c r="AB49" s="74" t="e">
        <f>Y49/Z49</f>
        <v>#DIV/0!</v>
      </c>
      <c r="AC49" s="74">
        <f>AA49/Y49</f>
        <v>194.81481481481481</v>
      </c>
      <c r="AD49" s="74" t="e">
        <f>AA49/Z49</f>
        <v>#DIV/0!</v>
      </c>
      <c r="AE49" s="50">
        <v>608</v>
      </c>
      <c r="AF49" s="58">
        <v>0</v>
      </c>
      <c r="AG49" s="79">
        <v>0</v>
      </c>
      <c r="AH49" s="64">
        <f>(AF49-AG49)/AE49</f>
        <v>0</v>
      </c>
    </row>
    <row r="50" spans="2:34" x14ac:dyDescent="0.2">
      <c r="B50" s="29">
        <v>61</v>
      </c>
      <c r="C50" s="19" t="s">
        <v>61</v>
      </c>
      <c r="D50" s="7">
        <v>2025</v>
      </c>
      <c r="E50" s="7">
        <v>2025</v>
      </c>
      <c r="F50" s="18">
        <v>1192</v>
      </c>
      <c r="G50" s="9">
        <f t="shared" si="3"/>
        <v>0.58864197530864193</v>
      </c>
      <c r="H50" s="7">
        <v>1192</v>
      </c>
      <c r="I50" s="9">
        <f t="shared" si="4"/>
        <v>0.58864197530864193</v>
      </c>
      <c r="J50" s="9">
        <f t="shared" si="5"/>
        <v>1</v>
      </c>
      <c r="K50" s="36">
        <v>2235</v>
      </c>
      <c r="L50" s="36">
        <f>K50-E50</f>
        <v>210</v>
      </c>
      <c r="M50" s="41">
        <v>1474</v>
      </c>
      <c r="N50" s="45">
        <v>0.65949999999999998</v>
      </c>
      <c r="O50" s="7">
        <v>0</v>
      </c>
      <c r="P50" s="6">
        <v>0</v>
      </c>
      <c r="Q50" s="8">
        <v>46</v>
      </c>
      <c r="R50" s="12">
        <v>53</v>
      </c>
      <c r="S50" s="50"/>
      <c r="T50" s="50"/>
      <c r="U50" s="54"/>
      <c r="V50" s="67"/>
      <c r="W50" s="67"/>
      <c r="X50" s="67"/>
      <c r="Y50" s="50"/>
      <c r="Z50" s="61"/>
      <c r="AA50" s="54"/>
      <c r="AB50" s="74"/>
      <c r="AC50" s="74"/>
      <c r="AD50" s="74"/>
      <c r="AE50" s="50"/>
      <c r="AF50" s="50"/>
      <c r="AG50" s="75"/>
      <c r="AH50" s="64"/>
    </row>
    <row r="51" spans="2:34" x14ac:dyDescent="0.2">
      <c r="B51" s="29">
        <v>68</v>
      </c>
      <c r="C51" s="19" t="s">
        <v>59</v>
      </c>
      <c r="D51" s="7">
        <v>2038</v>
      </c>
      <c r="E51" s="7">
        <v>2026</v>
      </c>
      <c r="F51" s="18">
        <v>1015</v>
      </c>
      <c r="G51" s="9">
        <f t="shared" si="3"/>
        <v>0.50098716683119449</v>
      </c>
      <c r="H51" s="7">
        <v>1158</v>
      </c>
      <c r="I51" s="9">
        <f t="shared" si="4"/>
        <v>0.57156959526159923</v>
      </c>
      <c r="J51" s="9">
        <f t="shared" si="5"/>
        <v>0.87651122625215894</v>
      </c>
      <c r="K51" s="36"/>
      <c r="L51" s="36"/>
      <c r="M51" s="41"/>
      <c r="N51" s="45"/>
      <c r="O51" s="7">
        <v>259</v>
      </c>
      <c r="P51" s="6">
        <v>0</v>
      </c>
      <c r="Q51" s="8">
        <v>106</v>
      </c>
      <c r="R51" s="12">
        <v>1</v>
      </c>
      <c r="S51" s="50">
        <v>0</v>
      </c>
      <c r="T51" s="50">
        <v>0</v>
      </c>
      <c r="U51" s="54">
        <v>0</v>
      </c>
      <c r="V51" s="67"/>
      <c r="W51" s="67"/>
      <c r="X51" s="67"/>
      <c r="Y51" s="50">
        <v>8492</v>
      </c>
      <c r="Z51" s="68">
        <v>0</v>
      </c>
      <c r="AA51" s="54">
        <f>710434+190610</f>
        <v>901044</v>
      </c>
      <c r="AB51" s="74" t="e">
        <f>Y51/Z51</f>
        <v>#DIV/0!</v>
      </c>
      <c r="AC51" s="74">
        <f>AA51/Y51</f>
        <v>106.10504003768253</v>
      </c>
      <c r="AD51" s="74" t="e">
        <f>AA51/Z51</f>
        <v>#DIV/0!</v>
      </c>
      <c r="AE51" s="50">
        <v>185</v>
      </c>
      <c r="AF51" s="50">
        <v>87449</v>
      </c>
      <c r="AG51" s="75">
        <v>0</v>
      </c>
      <c r="AH51" s="64">
        <f>(AF51-AG51)/AE51</f>
        <v>472.69729729729733</v>
      </c>
    </row>
    <row r="52" spans="2:34" x14ac:dyDescent="0.2">
      <c r="B52" s="29">
        <v>67</v>
      </c>
      <c r="C52" s="19" t="s">
        <v>51</v>
      </c>
      <c r="D52" s="7">
        <v>2973</v>
      </c>
      <c r="E52" s="7">
        <v>2973</v>
      </c>
      <c r="F52" s="18">
        <v>868</v>
      </c>
      <c r="G52" s="9">
        <f t="shared" si="3"/>
        <v>0.29196098217288935</v>
      </c>
      <c r="H52" s="7">
        <v>1583</v>
      </c>
      <c r="I52" s="9">
        <f t="shared" si="4"/>
        <v>0.53245879582912881</v>
      </c>
      <c r="J52" s="9">
        <f t="shared" si="5"/>
        <v>0.54832596336070749</v>
      </c>
      <c r="K52" s="36"/>
      <c r="L52" s="36"/>
      <c r="M52" s="41"/>
      <c r="N52" s="45"/>
      <c r="O52" s="7">
        <v>2105</v>
      </c>
      <c r="P52" s="6">
        <v>85</v>
      </c>
      <c r="Q52" s="8">
        <v>15</v>
      </c>
      <c r="R52" s="12">
        <v>5</v>
      </c>
      <c r="S52" s="50"/>
      <c r="T52" s="50"/>
      <c r="U52" s="54"/>
      <c r="V52" s="67"/>
      <c r="W52" s="67"/>
      <c r="X52" s="67"/>
      <c r="Y52" s="50"/>
      <c r="Z52" s="61"/>
      <c r="AA52" s="54"/>
      <c r="AB52" s="74"/>
      <c r="AC52" s="74"/>
      <c r="AD52" s="74"/>
      <c r="AE52" s="50"/>
      <c r="AF52" s="50"/>
      <c r="AG52" s="75"/>
      <c r="AH52" s="64"/>
    </row>
    <row r="53" spans="2:34" x14ac:dyDescent="0.2">
      <c r="B53" s="29">
        <v>66</v>
      </c>
      <c r="C53" s="19" t="s">
        <v>37</v>
      </c>
      <c r="D53" s="7">
        <v>5351</v>
      </c>
      <c r="E53" s="7">
        <v>5070</v>
      </c>
      <c r="F53" s="18">
        <v>1864</v>
      </c>
      <c r="G53" s="9">
        <f t="shared" si="3"/>
        <v>0.36765285996055225</v>
      </c>
      <c r="H53" s="7">
        <v>2685</v>
      </c>
      <c r="I53" s="9">
        <f t="shared" si="4"/>
        <v>0.52958579881656809</v>
      </c>
      <c r="J53" s="9">
        <f t="shared" si="5"/>
        <v>0.69422718808193673</v>
      </c>
      <c r="K53" s="36">
        <v>4639</v>
      </c>
      <c r="L53" s="36">
        <f>K53-E53</f>
        <v>-431</v>
      </c>
      <c r="M53" s="41">
        <v>3753</v>
      </c>
      <c r="N53" s="45">
        <v>0.80900000000000005</v>
      </c>
      <c r="O53" s="7">
        <v>1324</v>
      </c>
      <c r="P53" s="6">
        <v>0</v>
      </c>
      <c r="Q53" s="8">
        <v>168</v>
      </c>
      <c r="R53" s="12">
        <v>357</v>
      </c>
      <c r="S53" s="50">
        <v>8133</v>
      </c>
      <c r="T53" s="50">
        <v>933</v>
      </c>
      <c r="U53" s="54">
        <f>1546104+160000</f>
        <v>1706104</v>
      </c>
      <c r="V53" s="67">
        <f>S53/T53</f>
        <v>8.7170418006430861</v>
      </c>
      <c r="W53" s="67">
        <f>U53/S53</f>
        <v>209.77548260174598</v>
      </c>
      <c r="X53" s="67">
        <f>U53/T53</f>
        <v>1828.6216505894963</v>
      </c>
      <c r="Y53" s="50"/>
      <c r="Z53" s="61"/>
      <c r="AA53" s="54"/>
      <c r="AB53" s="74"/>
      <c r="AC53" s="74"/>
      <c r="AD53" s="74"/>
      <c r="AE53" s="50">
        <v>1920</v>
      </c>
      <c r="AF53" s="50">
        <f>370800+1685866</f>
        <v>2056666</v>
      </c>
      <c r="AG53" s="75">
        <v>1685866</v>
      </c>
      <c r="AH53" s="64">
        <f>(AF53-AG53)/AE53</f>
        <v>193.125</v>
      </c>
    </row>
    <row r="54" spans="2:34" x14ac:dyDescent="0.2">
      <c r="B54" s="29">
        <v>50</v>
      </c>
      <c r="C54" s="19" t="s">
        <v>63</v>
      </c>
      <c r="D54" s="7">
        <v>2040</v>
      </c>
      <c r="E54" s="7">
        <v>2040</v>
      </c>
      <c r="F54" s="18">
        <v>972</v>
      </c>
      <c r="G54" s="9">
        <f t="shared" si="3"/>
        <v>0.47647058823529409</v>
      </c>
      <c r="H54" s="7">
        <v>1038</v>
      </c>
      <c r="I54" s="9">
        <f t="shared" si="4"/>
        <v>0.50882352941176467</v>
      </c>
      <c r="J54" s="9">
        <f t="shared" si="5"/>
        <v>0.93641618497109824</v>
      </c>
      <c r="K54" s="36">
        <v>2277</v>
      </c>
      <c r="L54" s="36">
        <f>K54-E54</f>
        <v>237</v>
      </c>
      <c r="M54" s="41">
        <v>1096</v>
      </c>
      <c r="N54" s="45">
        <v>0.48099999999999998</v>
      </c>
      <c r="O54" s="7">
        <v>55</v>
      </c>
      <c r="P54" s="6">
        <v>0</v>
      </c>
      <c r="Q54" s="8">
        <v>40</v>
      </c>
      <c r="R54" s="12">
        <v>0</v>
      </c>
      <c r="S54" s="50">
        <v>0</v>
      </c>
      <c r="T54" s="50">
        <v>0</v>
      </c>
      <c r="U54" s="54">
        <v>0</v>
      </c>
      <c r="V54" s="67"/>
      <c r="W54" s="67"/>
      <c r="X54" s="67"/>
      <c r="Y54" s="50">
        <v>3640</v>
      </c>
      <c r="Z54" s="61">
        <v>90</v>
      </c>
      <c r="AA54" s="54">
        <v>440000</v>
      </c>
      <c r="AB54" s="74">
        <f>Y54/Z54</f>
        <v>40.444444444444443</v>
      </c>
      <c r="AC54" s="74">
        <f>AA54/Y54</f>
        <v>120.87912087912088</v>
      </c>
      <c r="AD54" s="74">
        <f>AA54/Z54</f>
        <v>4888.8888888888887</v>
      </c>
      <c r="AE54" s="50">
        <v>0</v>
      </c>
      <c r="AF54" s="50">
        <v>0</v>
      </c>
      <c r="AG54" s="75">
        <v>0</v>
      </c>
      <c r="AH54" s="64"/>
    </row>
    <row r="55" spans="2:34" x14ac:dyDescent="0.2">
      <c r="B55" s="29">
        <v>44</v>
      </c>
      <c r="C55" s="19" t="s">
        <v>65</v>
      </c>
      <c r="D55" s="7">
        <v>6751</v>
      </c>
      <c r="E55" s="7">
        <v>6116</v>
      </c>
      <c r="F55" s="18">
        <v>2470</v>
      </c>
      <c r="G55" s="9">
        <f t="shared" si="3"/>
        <v>0.40385873119686072</v>
      </c>
      <c r="H55" s="7">
        <v>3008</v>
      </c>
      <c r="I55" s="9">
        <f t="shared" si="4"/>
        <v>0.49182472204054939</v>
      </c>
      <c r="J55" s="9">
        <f t="shared" si="5"/>
        <v>0.82114361702127658</v>
      </c>
      <c r="K55" s="36">
        <v>6437</v>
      </c>
      <c r="L55" s="36">
        <f>K55-E55</f>
        <v>321</v>
      </c>
      <c r="M55" s="41">
        <v>5474</v>
      </c>
      <c r="N55" s="45">
        <v>0.85040000000000004</v>
      </c>
      <c r="O55" s="7">
        <v>0</v>
      </c>
      <c r="P55" s="6">
        <v>0</v>
      </c>
      <c r="Q55" s="8">
        <v>16</v>
      </c>
      <c r="R55" s="12">
        <v>360</v>
      </c>
      <c r="S55" s="50">
        <v>18320</v>
      </c>
      <c r="T55" s="50">
        <v>1344</v>
      </c>
      <c r="U55" s="54">
        <f>4270000+385000</f>
        <v>4655000</v>
      </c>
      <c r="V55" s="67">
        <f>S55/T55</f>
        <v>13.630952380952381</v>
      </c>
      <c r="W55" s="67">
        <f>U55/S55</f>
        <v>254.0938864628821</v>
      </c>
      <c r="X55" s="67">
        <f>U55/T55</f>
        <v>3463.5416666666665</v>
      </c>
      <c r="Y55" s="50"/>
      <c r="Z55" s="61"/>
      <c r="AA55" s="54"/>
      <c r="AB55" s="74"/>
      <c r="AC55" s="74"/>
      <c r="AD55" s="74"/>
      <c r="AE55" s="50">
        <v>2500</v>
      </c>
      <c r="AF55" s="50">
        <f>536000+1000000</f>
        <v>1536000</v>
      </c>
      <c r="AG55" s="75">
        <v>1000000</v>
      </c>
      <c r="AH55" s="64">
        <f>(AF55-AG55)/AE55</f>
        <v>214.4</v>
      </c>
    </row>
    <row r="56" spans="2:34" x14ac:dyDescent="0.2">
      <c r="B56" s="29"/>
      <c r="C56" s="19"/>
      <c r="D56" s="7"/>
      <c r="E56" s="7"/>
      <c r="F56" s="18"/>
      <c r="G56" s="9"/>
      <c r="H56" s="7"/>
      <c r="I56" s="9"/>
      <c r="J56" s="9"/>
      <c r="K56" s="36"/>
      <c r="L56" s="36"/>
      <c r="M56" s="41"/>
      <c r="N56" s="45"/>
      <c r="O56" s="7"/>
      <c r="P56" s="6"/>
      <c r="Q56" s="8"/>
      <c r="R56" s="12"/>
      <c r="S56" s="50"/>
      <c r="T56" s="50"/>
      <c r="U56" s="54"/>
      <c r="V56" s="67"/>
      <c r="W56" s="67"/>
      <c r="X56" s="67"/>
      <c r="Y56" s="50"/>
      <c r="Z56" s="61"/>
      <c r="AA56" s="54"/>
      <c r="AB56" s="74"/>
      <c r="AC56" s="74"/>
      <c r="AD56" s="74"/>
      <c r="AE56" s="50"/>
      <c r="AF56" s="50"/>
      <c r="AG56" s="75"/>
      <c r="AH56" s="64"/>
    </row>
    <row r="57" spans="2:34" s="16" customFormat="1" ht="18.75" customHeight="1" x14ac:dyDescent="0.2">
      <c r="B57" s="1"/>
      <c r="C57" s="13" t="s">
        <v>86</v>
      </c>
      <c r="D57" s="14">
        <f>SUM(D7:D55)</f>
        <v>201339</v>
      </c>
      <c r="E57" s="14">
        <f>SUM(E7:E55)</f>
        <v>193279</v>
      </c>
      <c r="F57" s="14">
        <f>SUM(F7:F55)</f>
        <v>144420</v>
      </c>
      <c r="G57" s="17">
        <f>F57/E57</f>
        <v>0.74720999177355019</v>
      </c>
      <c r="H57" s="14">
        <f>SUM(H7:H55)</f>
        <v>161115</v>
      </c>
      <c r="I57" s="17">
        <f>H57/E57</f>
        <v>0.83358771516822827</v>
      </c>
      <c r="J57" s="17">
        <f>F57/H57</f>
        <v>0.89637836328088627</v>
      </c>
      <c r="K57" s="38"/>
      <c r="L57" s="38"/>
      <c r="M57" s="42"/>
      <c r="N57" s="46"/>
      <c r="O57" s="14">
        <f>SUM(O7:O55)</f>
        <v>24044</v>
      </c>
      <c r="P57" s="14">
        <f>SUM(P7:P55)</f>
        <v>1096</v>
      </c>
      <c r="Q57" s="15">
        <f>SUM(Q7:Q55)</f>
        <v>6233</v>
      </c>
      <c r="R57" s="15">
        <f>SUM(R7:R55)</f>
        <v>3420</v>
      </c>
      <c r="S57" s="34"/>
      <c r="T57" s="34"/>
      <c r="U57" s="53"/>
      <c r="V57" s="53"/>
      <c r="W57" s="53"/>
      <c r="X57" s="72"/>
      <c r="Y57" s="72"/>
      <c r="Z57" s="72"/>
      <c r="AA57" s="73"/>
      <c r="AB57" s="53"/>
      <c r="AC57" s="53"/>
      <c r="AD57" s="65"/>
      <c r="AE57" s="65"/>
      <c r="AF57" s="65"/>
      <c r="AG57" s="53"/>
      <c r="AH57" s="63"/>
    </row>
  </sheetData>
  <mergeCells count="26">
    <mergeCell ref="S5:S6"/>
    <mergeCell ref="T5:T6"/>
    <mergeCell ref="U5:U6"/>
    <mergeCell ref="V5:V6"/>
    <mergeCell ref="W5:W6"/>
    <mergeCell ref="E5:E6"/>
    <mergeCell ref="F5:G5"/>
    <mergeCell ref="H5:I5"/>
    <mergeCell ref="K5:K6"/>
    <mergeCell ref="M5:N5"/>
    <mergeCell ref="B4:J4"/>
    <mergeCell ref="AE5:AE6"/>
    <mergeCell ref="AF5:AG5"/>
    <mergeCell ref="AH5:AH6"/>
    <mergeCell ref="Y5:Y6"/>
    <mergeCell ref="Z5:Z6"/>
    <mergeCell ref="AA5:AA6"/>
    <mergeCell ref="AB5:AB6"/>
    <mergeCell ref="AC5:AC6"/>
    <mergeCell ref="AD5:AD6"/>
    <mergeCell ref="X5:X6"/>
    <mergeCell ref="S4:X4"/>
    <mergeCell ref="Y4:AH4"/>
    <mergeCell ref="B5:B6"/>
    <mergeCell ref="C5:C6"/>
    <mergeCell ref="D5:D6"/>
  </mergeCells>
  <pageMargins left="0.7" right="0.7" top="0.75" bottom="0.75" header="0.3" footer="0.3"/>
  <pageSetup paperSize="9" scale="60" fitToWidth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virs100_000_1pielik</vt:lpstr>
      <vt:lpstr>10_000līdz100_000_2pielik</vt:lpstr>
      <vt:lpstr>virs2000_3pielik</vt:lpstr>
      <vt:lpstr>'10_000līdz100_000_2pielik'!Print_Area</vt:lpstr>
      <vt:lpstr>virs100_000_1pielik!Print_Area</vt:lpstr>
      <vt:lpstr>virs2000_3pielik!Print_Area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2020-11-24T07:38:38Z</dcterms:modified>
</cp:coreProperties>
</file>