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080" windowHeight="12240" tabRatio="821" activeTab="0"/>
  </bookViews>
  <sheets>
    <sheet name="Datu ievade" sheetId="1" r:id="rId1"/>
    <sheet name="Līdzfinansējums" sheetId="2" r:id="rId2"/>
    <sheet name="Naudas plusma" sheetId="3" r:id="rId3"/>
    <sheet name="Fin_pl_izm.ieguld." sheetId="4" r:id="rId4"/>
    <sheet name="Fin_pl_lēmuma summa" sheetId="5" r:id="rId5"/>
    <sheet name="Saimnieciskas pamatdarbibas NP" sheetId="6" r:id="rId6"/>
    <sheet name="Aprekini" sheetId="7" r:id="rId7"/>
    <sheet name="Ilgtermina saistibas" sheetId="8" r:id="rId8"/>
    <sheet name="Iedzivotaju maksatspeja" sheetId="9" r:id="rId9"/>
    <sheet name="Maksājumu_naudas plūsma_MK1041" sheetId="10" r:id="rId10"/>
  </sheets>
  <externalReferences>
    <externalReference r:id="rId13"/>
  </externalReference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#REF!</definedName>
    <definedName name="Excel_BuiltIn_Print_Area_2">'Naudas plusma'!$A$1:$U$28</definedName>
    <definedName name="Excel_BuiltIn_Print_Area_8">'Aprekini'!$A$1:$U$107</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MMask">"$#REF!.$L$12:$AO$12"</definedName>
    <definedName name="OperatingMask">"$#REF!.$L$8:$AO$8"</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'Aprekini'!$A$1:$AG$329</definedName>
    <definedName name="_xlnm.Print_Area" localSheetId="4">'Fin_pl_lēmuma summa'!$A$1:$P$15</definedName>
    <definedName name="_xlnm.Print_Area" localSheetId="8">'Iedzivotaju maksatspeja'!$A$1:$AG$25</definedName>
    <definedName name="_xlnm.Print_Area" localSheetId="7">'Ilgtermina saistibas'!$A$1:$AG$52</definedName>
    <definedName name="_xlnm.Print_Area" localSheetId="2">'Naudas plusma'!$A$1:$AG$29</definedName>
    <definedName name="_xlnm.Print_Area" localSheetId="5">'Saimnieciskas pamatdarbibas NP'!$A$1:$AG$38</definedName>
    <definedName name="_xlnm.Print_Titles" localSheetId="6">('Aprekini'!$A:$A,'Aprekini'!$1:$2)</definedName>
    <definedName name="_xlnm.Print_Titles" localSheetId="7">'Ilgtermina saistibas'!$A:$A</definedName>
    <definedName name="_xlnm.Print_Titles" localSheetId="2">'Naudas plusma'!$A:$A</definedName>
    <definedName name="_xlnm.Print_Titles" localSheetId="5">'Saimnieciskas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fullCalcOnLoad="1" iterate="1" iterateCount="100" iterateDelta="0.001"/>
</workbook>
</file>

<file path=xl/comments1.xml><?xml version="1.0" encoding="utf-8"?>
<comments xmlns="http://schemas.openxmlformats.org/spreadsheetml/2006/main">
  <authors>
    <author>AL</author>
    <author>inesek</author>
  </authors>
  <commentList>
    <comment ref="B41" authorId="0">
      <text>
        <r>
          <rPr>
            <b/>
            <sz val="8"/>
            <color indexed="8"/>
            <rFont val="Times New Roman"/>
            <family val="1"/>
          </rPr>
          <t xml:space="preserve">Normunds Cizevskis:
</t>
        </r>
        <r>
          <rPr>
            <sz val="8"/>
            <color indexed="8"/>
            <rFont val="Times New Roman"/>
            <family val="1"/>
          </rPr>
          <t>Jābūt &gt;=2% un &lt;=4%</t>
        </r>
      </text>
    </comment>
    <comment ref="A181" authorId="0">
      <text>
        <r>
          <rPr>
            <b/>
            <sz val="8"/>
            <color indexed="8"/>
            <rFont val="Times New Roman"/>
            <family val="1"/>
          </rPr>
          <t xml:space="preserve">Normunds Cizevskis:
</t>
        </r>
        <r>
          <rPr>
            <sz val="8"/>
            <color indexed="8"/>
            <rFont val="Times New Roman"/>
            <family val="1"/>
          </rPr>
          <t>Izdevumu pieaugums ar (+) zīmi; izdevumu samazinājums ar (-) zīmi</t>
        </r>
      </text>
    </comment>
    <comment ref="A23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39" authorId="0">
      <text>
        <r>
          <rPr>
            <sz val="8"/>
            <color indexed="8"/>
            <rFont val="Times New Roman"/>
            <family val="1"/>
          </rPr>
          <t xml:space="preserve">Ūdens daudzums mērītāju uzstādīšan u.c. ieņēmumi, kas nav iekļauti tarifā vai pakalpojuma cenā
</t>
        </r>
      </text>
    </comment>
    <comment ref="A246"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48" authorId="0">
      <text>
        <r>
          <rPr>
            <sz val="8"/>
            <color indexed="8"/>
            <rFont val="Times New Roman"/>
            <family val="1"/>
          </rPr>
          <t xml:space="preserve">Ūdens daudzums mērītāju uzstādīšan u.c. ieņēmumi, kas nav iekļauti tarifā vai pakalpojuma cenā
</t>
        </r>
      </text>
    </comment>
    <comment ref="A253"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5" authorId="0">
      <text>
        <r>
          <rPr>
            <sz val="8"/>
            <color indexed="8"/>
            <rFont val="Times New Roman"/>
            <family val="1"/>
          </rPr>
          <t xml:space="preserve">Ūdens daudzums mērītāju uzstādīšan u.c. ieņēmumi, kas nav iekļauti tarifā vai pakalpojuma cenā
</t>
        </r>
      </text>
    </comment>
    <comment ref="A273" authorId="0">
      <text>
        <r>
          <rPr>
            <sz val="8"/>
            <color indexed="8"/>
            <rFont val="Times New Roman"/>
            <family val="1"/>
          </rPr>
          <t xml:space="preserve">Citi ieņēmumi, kas nav iekļauti tarifā vai pakalpojuma cenā
</t>
        </r>
      </text>
    </comment>
    <comment ref="A282" authorId="0">
      <text>
        <r>
          <rPr>
            <sz val="8"/>
            <color indexed="8"/>
            <rFont val="Times New Roman"/>
            <family val="1"/>
          </rPr>
          <t xml:space="preserve">Citi ieņēmumi, kas nav iekļauti tarifā vai pakalpojuma cenā
</t>
        </r>
      </text>
    </comment>
    <comment ref="A289" authorId="0">
      <text>
        <r>
          <rPr>
            <sz val="8"/>
            <color indexed="8"/>
            <rFont val="Times New Roman"/>
            <family val="1"/>
          </rPr>
          <t xml:space="preserve">Citi ieņēmumi, kas nav iekļauti tarifā vai pakalpojuma cenā
</t>
        </r>
      </text>
    </comment>
    <comment ref="A295" authorId="0">
      <text>
        <r>
          <rPr>
            <b/>
            <sz val="8"/>
            <color indexed="8"/>
            <rFont val="Times New Roman"/>
            <family val="1"/>
          </rPr>
          <t xml:space="preserve">Normunds Cizevskis:
</t>
        </r>
        <r>
          <rPr>
            <sz val="8"/>
            <color indexed="8"/>
            <rFont val="Times New Roman"/>
            <family val="1"/>
          </rPr>
          <t>Ievadiet prognozējamo ūdenssaimniecības debitoru līmeni visā pārskata periodā</t>
        </r>
      </text>
    </comment>
    <comment ref="A297" authorId="0">
      <text>
        <r>
          <rPr>
            <b/>
            <sz val="8"/>
            <color indexed="8"/>
            <rFont val="Times New Roman"/>
            <family val="1"/>
          </rPr>
          <t xml:space="preserve">Normunds Cizevskis:
</t>
        </r>
        <r>
          <rPr>
            <sz val="8"/>
            <color indexed="8"/>
            <rFont val="Times New Roman"/>
            <family val="1"/>
          </rPr>
          <t>Ievadiet naudas līdzekļu atlikumu uz perioda beigām pirms analīzes veikšanas gada</t>
        </r>
      </text>
    </comment>
    <comment ref="A344" authorId="0">
      <text>
        <r>
          <rPr>
            <b/>
            <sz val="8"/>
            <color indexed="8"/>
            <rFont val="Times New Roman"/>
            <family val="1"/>
          </rPr>
          <t xml:space="preserve">Normunds Cizevskis:
</t>
        </r>
        <r>
          <rPr>
            <sz val="8"/>
            <color indexed="8"/>
            <rFont val="Times New Roman"/>
            <family val="1"/>
          </rPr>
          <t>Ievadiet prognozējamos pašvaldības pamatbudžeta ieņēmumus tuvākajiem 5 gadiem</t>
        </r>
      </text>
    </comment>
    <comment ref="A349" authorId="0">
      <text>
        <r>
          <rPr>
            <b/>
            <sz val="8"/>
            <color indexed="8"/>
            <rFont val="Times New Roman"/>
            <family val="1"/>
          </rPr>
          <t xml:space="preserve">Normunds Cizevskis:
</t>
        </r>
        <r>
          <rPr>
            <sz val="8"/>
            <color indexed="8"/>
            <rFont val="Times New Roman"/>
            <family val="1"/>
          </rPr>
          <t>Izvēlieties vai veikt analīzi variantam "AR projektu" vai "BEZ projekta"</t>
        </r>
      </text>
    </comment>
    <comment ref="A357" authorId="0">
      <text>
        <r>
          <rPr>
            <sz val="8"/>
            <color indexed="8"/>
            <rFont val="Times New Roman"/>
            <family val="1"/>
          </rPr>
          <t xml:space="preserve">Ir jāņem vērā, ka gadījumā, ja tarifa aprēķinā iekļauj aizņēmuma pamatsummu, tiek iekļauta arī tā nolietojuma daļa, kas atbilst ES un Valsts dāvinājumam. Ja aizņēmums netiek iekļauts tarifā, tad tajā ir jāiekļauj viss nolietojums jaunajiem pamatlīdzekļiem.
</t>
        </r>
      </text>
    </comment>
    <comment ref="A361" authorId="0">
      <text>
        <r>
          <rPr>
            <sz val="8"/>
            <color indexed="8"/>
            <rFont val="Times New Roman"/>
            <family val="1"/>
          </rPr>
          <t xml:space="preserve">Ir jāņem vērā, ka rentabilitātes līmenis nevar pārsniegt 3,5%, ja tarifa aprēķinā ir iekļautas arī ilgtermiņa aizņēmuma izmaksas (ja tarifa aprēkinā neiekļauj aizņēmuma pamatsummas atmaksu, aizņēmuma procentu maksājumi tik un tā tiek iekļauti)
</t>
        </r>
      </text>
    </comment>
    <comment ref="B361" authorId="0">
      <text>
        <r>
          <rPr>
            <b/>
            <sz val="8"/>
            <color indexed="8"/>
            <rFont val="Times New Roman"/>
            <family val="1"/>
          </rPr>
          <t xml:space="preserve">Normunds Cizevskis:
</t>
        </r>
        <r>
          <rPr>
            <sz val="8"/>
            <color indexed="8"/>
            <rFont val="Times New Roman"/>
            <family val="1"/>
          </rPr>
          <t>Maksimums 7%, ja tarifā iekļauj visu nolietojumu.
Maksimums 3,5%, ja tarifā iekļauj aizņēmumu; skat. izvēlni "Tarifu aprēķina metodika"</t>
        </r>
      </text>
    </comment>
    <comment ref="A378"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79" authorId="0">
      <text>
        <r>
          <rPr>
            <b/>
            <sz val="8"/>
            <color indexed="8"/>
            <rFont val="Times New Roman"/>
            <family val="1"/>
          </rPr>
          <t xml:space="preserve">Normunds Cizevskis:
</t>
        </r>
        <r>
          <rPr>
            <sz val="8"/>
            <color indexed="8"/>
            <rFont val="Times New Roman"/>
            <family val="1"/>
          </rPr>
          <t>Tikai, ja pieļaujamais tarifs pārsniedz aprēķināto</t>
        </r>
      </text>
    </comment>
    <comment ref="A380" authorId="0">
      <text>
        <r>
          <rPr>
            <sz val="8"/>
            <color indexed="8"/>
            <rFont val="Times New Roman"/>
            <family val="1"/>
          </rPr>
          <t>Šajā rindā raksta vai nu tarifu, ko automātiski aprēķina finansu modelis, vai arī citu tarifu (tādā gadījumā ūdenssaimniecībai ir jāpamato cita tarifa izvēle)</t>
        </r>
      </text>
    </comment>
    <comment ref="A385"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87" author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388" authorId="0">
      <text>
        <r>
          <rPr>
            <sz val="8"/>
            <color indexed="8"/>
            <rFont val="Times New Roman"/>
            <family val="1"/>
          </rPr>
          <t>(LVL par 1m3 ūdens un 1m3 kanalizācijas)</t>
        </r>
      </text>
    </comment>
    <comment ref="A250"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1" authorId="0">
      <text>
        <r>
          <rPr>
            <sz val="8"/>
            <color indexed="8"/>
            <rFont val="Times New Roman"/>
            <family val="1"/>
          </rPr>
          <t xml:space="preserve">Ūdens daudzums mērītāju uzstādīšan u.c. ieņēmumi, kas nav iekļauti tarifā vai pakalpojuma cenā
</t>
        </r>
      </text>
    </comment>
    <comment ref="A25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8" authorId="0">
      <text>
        <r>
          <rPr>
            <sz val="8"/>
            <color indexed="8"/>
            <rFont val="Times New Roman"/>
            <family val="1"/>
          </rPr>
          <t xml:space="preserve">Ūdens daudzums mērītāju uzstādīšan u.c. ieņēmumi, kas nav iekļauti tarifā vai pakalpojuma cenā
</t>
        </r>
      </text>
    </comment>
    <comment ref="A277" authorId="0">
      <text>
        <r>
          <rPr>
            <sz val="8"/>
            <color indexed="8"/>
            <rFont val="Times New Roman"/>
            <family val="1"/>
          </rPr>
          <t xml:space="preserve">Citi ieņēmumi, kas nav iekļauti tarifā vai pakalpojuma cenā
</t>
        </r>
      </text>
    </comment>
    <comment ref="A285" authorId="0">
      <text>
        <r>
          <rPr>
            <sz val="8"/>
            <color indexed="8"/>
            <rFont val="Times New Roman"/>
            <family val="1"/>
          </rPr>
          <t xml:space="preserve">Citi ieņēmumi, kas nav iekļauti tarifā vai pakalpojuma cenā
</t>
        </r>
      </text>
    </comment>
    <comment ref="A292" authorId="0">
      <text>
        <r>
          <rPr>
            <sz val="8"/>
            <color indexed="8"/>
            <rFont val="Times New Roman"/>
            <family val="1"/>
          </rPr>
          <t xml:space="preserve">Citi ieņēmumi, kas nav iekļauti tarifā vai pakalpojuma cenā
</t>
        </r>
      </text>
    </comment>
    <comment ref="A394"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95" authorId="0">
      <text>
        <r>
          <rPr>
            <b/>
            <sz val="8"/>
            <color indexed="8"/>
            <rFont val="Times New Roman"/>
            <family val="1"/>
          </rPr>
          <t xml:space="preserve">Normunds Cizevskis:
</t>
        </r>
        <r>
          <rPr>
            <sz val="8"/>
            <color indexed="8"/>
            <rFont val="Times New Roman"/>
            <family val="1"/>
          </rPr>
          <t>Tikai, ja pieļaujamais tarifs pārsniedz aprēķināto</t>
        </r>
      </text>
    </comment>
    <comment ref="A396" authorId="0">
      <text>
        <r>
          <rPr>
            <sz val="8"/>
            <color indexed="8"/>
            <rFont val="Times New Roman"/>
            <family val="1"/>
          </rPr>
          <t>Šajā rindā raksta vai nu tarifu, ko automātiski aprēķina finansu modelis, vai arī citu tarifu (tādā gadījumā ūdenssaimniecībai ir jāpamato cita tarifa izvēle)</t>
        </r>
      </text>
    </comment>
    <comment ref="A399"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401" author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402" authorId="0">
      <text>
        <r>
          <rPr>
            <sz val="8"/>
            <color indexed="8"/>
            <rFont val="Times New Roman"/>
            <family val="1"/>
          </rPr>
          <t>(LVL par 1m3 ūdens un 1m3 kanalizācijas)</t>
        </r>
      </text>
    </comment>
    <comment ref="B79" authorId="1">
      <text>
        <r>
          <rPr>
            <b/>
            <sz val="8"/>
            <rFont val="Tahoma"/>
            <family val="2"/>
          </rPr>
          <t>inesek:</t>
        </r>
        <r>
          <rPr>
            <sz val="8"/>
            <rFont val="Tahoma"/>
            <family val="2"/>
          </rPr>
          <t xml:space="preserve">
jāpārkopē ar Paste Special Value no Līdzfinansējuma lapas</t>
        </r>
      </text>
    </comment>
    <comment ref="G74" authorId="1">
      <text>
        <r>
          <rPr>
            <b/>
            <sz val="8"/>
            <rFont val="Tahoma"/>
            <family val="2"/>
          </rPr>
          <t>inesek:</t>
        </r>
        <r>
          <rPr>
            <sz val="8"/>
            <rFont val="Tahoma"/>
            <family val="2"/>
          </rPr>
          <t xml:space="preserve">
neattiecināmās izmaskas kopā ar PVN</t>
        </r>
      </text>
    </comment>
    <comment ref="B78" authorId="1">
      <text>
        <r>
          <rPr>
            <b/>
            <sz val="8"/>
            <rFont val="Tahoma"/>
            <family val="2"/>
          </rPr>
          <t>inesek:</t>
        </r>
        <r>
          <rPr>
            <sz val="8"/>
            <rFont val="Tahoma"/>
            <family val="2"/>
          </rPr>
          <t xml:space="preserve">
saskaņā ar 28.07.2008. MK not. Nr. 606 (grozījumi 27.08.2009.) netiek paredzēts valsts līdzfinansējums</t>
        </r>
      </text>
    </comment>
    <comment ref="A423" authorId="0">
      <text>
        <r>
          <rPr>
            <b/>
            <sz val="8"/>
            <color indexed="8"/>
            <rFont val="Times New Roman"/>
            <family val="1"/>
          </rPr>
          <t xml:space="preserve">Normunds Cizevskis:
</t>
        </r>
        <r>
          <rPr>
            <sz val="8"/>
            <color indexed="8"/>
            <rFont val="Times New Roman"/>
            <family val="1"/>
          </rPr>
          <t>Pamatdarbības ieņēmumu un izmaksu indeksācijai un mājsaimniecību ieņēmumu indeksācijai</t>
        </r>
      </text>
    </comment>
    <comment ref="A425" authorId="0">
      <text>
        <r>
          <rPr>
            <b/>
            <sz val="8"/>
            <color indexed="8"/>
            <rFont val="Times New Roman"/>
            <family val="1"/>
          </rPr>
          <t xml:space="preserve">Normunds Cizevskis:
</t>
        </r>
        <r>
          <rPr>
            <sz val="8"/>
            <color indexed="8"/>
            <rFont val="Times New Roman"/>
            <family val="1"/>
          </rPr>
          <t>Pamatdarbības izmaksās iekļautās darba algas indeksācijai</t>
        </r>
      </text>
    </comment>
    <comment ref="A427" authorId="0">
      <text>
        <r>
          <rPr>
            <b/>
            <sz val="8"/>
            <color indexed="8"/>
            <rFont val="Times New Roman"/>
            <family val="1"/>
          </rPr>
          <t xml:space="preserve">Normunds Cizevskis:
</t>
        </r>
        <r>
          <rPr>
            <sz val="8"/>
            <color indexed="8"/>
            <rFont val="Times New Roman"/>
            <family val="1"/>
          </rPr>
          <t>Ieguldījumu izmaksu indeksācijai</t>
        </r>
      </text>
    </comment>
  </commentList>
</comments>
</file>

<file path=xl/comments2.xml><?xml version="1.0" encoding="utf-8"?>
<comments xmlns="http://schemas.openxmlformats.org/spreadsheetml/2006/main">
  <authors>
    <author>inesek</author>
  </authors>
  <commentList>
    <comment ref="E34" authorId="0">
      <text>
        <r>
          <rPr>
            <b/>
            <sz val="8"/>
            <rFont val="Tahoma"/>
            <family val="0"/>
          </rPr>
          <t>inesek:</t>
        </r>
        <r>
          <rPr>
            <sz val="8"/>
            <rFont val="Tahoma"/>
            <family val="0"/>
          </rPr>
          <t xml:space="preserve">
lēmuma summa tiek ierobežota saskaņā ar 28.07.2008. MK not. Nr. 606 prasībām. </t>
        </r>
      </text>
    </comment>
  </commentList>
</comments>
</file>

<file path=xl/comments7.xml><?xml version="1.0" encoding="utf-8"?>
<comments xmlns="http://schemas.openxmlformats.org/spreadsheetml/2006/main">
  <authors>
    <author>AL</author>
  </authors>
  <commentList>
    <comment ref="A198" authorId="0">
      <text>
        <r>
          <rPr>
            <sz val="8"/>
            <color indexed="8"/>
            <rFont val="Times New Roman"/>
            <family val="1"/>
          </rPr>
          <t xml:space="preserve">Šim rādītājam jāpievērš ļoti liela uzmanība, jo tas norāda uz uzņēmuma spēju apmaksāt drīzumā paredzamos maksājumus. Jāņem vērā, ka brīvie apgrozāmie līdzekļi parasti ir proporcionāli realizācijas apjomiem. Ja, tiek plānots realizācijas apjomu pieaugums, būs nepieciešams arī lielāki brīvie apgrozāmie līdzekļi, lai finansētu realizācijas izmaksas. 
</t>
        </r>
      </text>
    </comment>
    <comment ref="A204" authorId="0">
      <text>
        <r>
          <rPr>
            <sz val="8"/>
            <color indexed="8"/>
            <rFont val="Times New Roman"/>
            <family val="1"/>
          </rPr>
          <t xml:space="preserve">Zems koeficients norāda, ka klienti lēni apmaksā pakalpojumus, vai arī uzņēmumā izmantotā rēķinu apmaksas sistēma neatbilst konkrētajai nozarei vajadzīgajai. </t>
        </r>
      </text>
    </comment>
    <comment ref="A206" authorId="0">
      <text>
        <r>
          <rPr>
            <sz val="8"/>
            <color indexed="8"/>
            <rFont val="Times New Roman"/>
            <family val="1"/>
          </rPr>
          <t xml:space="preserve">Augsts koeficients var norādīt uz nepietiekamiem apgrozāmajiem līdzekļiem, kamēr zems koeficients var norādīt uz esošo apgrozāmo līdzekļu neefektīvu izmantošanu. </t>
        </r>
      </text>
    </comment>
    <comment ref="A208" authorId="0">
      <text>
        <r>
          <rPr>
            <sz val="8"/>
            <color indexed="8"/>
            <rFont val="Times New Roman"/>
            <family val="1"/>
          </rPr>
          <t xml:space="preserve">Šis koeficients nosaka vai uzņēmums efektīvi izmanto savus esošos aktīvus, vai arī ieguldījumi aktīvos ir pārāk lieli. </t>
        </r>
      </text>
    </comment>
    <comment ref="A216" authorId="0">
      <text>
        <r>
          <rPr>
            <sz val="8"/>
            <color indexed="8"/>
            <rFont val="Times New Roman"/>
            <family val="1"/>
          </rPr>
          <t xml:space="preserve">Parāda ilgtermiņa ieguldījumu pietiekamību. Augsts koeficients norāda to, ka uzņēmumam ir pārāk lieli ilgtermiņa ieguldījumi, zems koeficients norāda, ka uzņēmumam varētu būt jāpalielina ilgtermiņa ieguldījumi, lai nezaudētu konkurētspēju. </t>
        </r>
      </text>
    </comment>
    <comment ref="A222" authorId="0">
      <text>
        <r>
          <rPr>
            <sz val="8"/>
            <color indexed="8"/>
            <rFont val="Times New Roman"/>
            <family val="1"/>
          </rPr>
          <t xml:space="preserve">Šis koeficients parāda ienesīgumu atkarībā no  ieguldījumiem aktīvos. </t>
        </r>
      </text>
    </comment>
    <comment ref="A224" authorId="0">
      <text>
        <r>
          <rPr>
            <sz val="8"/>
            <color indexed="8"/>
            <rFont val="Times New Roman"/>
            <family val="1"/>
          </rPr>
          <t xml:space="preserve">Šis koeficients parāda ienesīgumu atkarībā no ieguldījumiem ilgtermiņa aktīvos. </t>
        </r>
      </text>
    </comment>
  </commentList>
</comments>
</file>

<file path=xl/comments8.xml><?xml version="1.0" encoding="utf-8"?>
<comments xmlns="http://schemas.openxmlformats.org/spreadsheetml/2006/main">
  <authors>
    <author>inesek</author>
  </authors>
  <commentList>
    <comment ref="A3" authorId="0">
      <text>
        <r>
          <rPr>
            <b/>
            <sz val="8"/>
            <rFont val="Tahoma"/>
            <family val="0"/>
          </rPr>
          <t>inesek:</t>
        </r>
        <r>
          <rPr>
            <sz val="8"/>
            <rFont val="Tahoma"/>
            <family val="0"/>
          </rPr>
          <t xml:space="preserve">
nepieciešams konsolidēt pašvaldības (novada) saistības un pamatbudžeta ieņēmumus</t>
        </r>
      </text>
    </comment>
  </commentList>
</comments>
</file>

<file path=xl/sharedStrings.xml><?xml version="1.0" encoding="utf-8"?>
<sst xmlns="http://schemas.openxmlformats.org/spreadsheetml/2006/main" count="948" uniqueCount="558">
  <si>
    <t>Datu ievades lapa</t>
  </si>
  <si>
    <t>Projekta finanšu analīzes veikšanai nepieciešamo datu ievadīšana notiek tikai šajā lapā! Pārējās lapas satur aprēķinus un to rezultātus, un ir aizsargātas pret rediģēšanu!</t>
  </si>
  <si>
    <t>Dati jāievada tikai dzeltenajās šūnās! Pelēkajās šūnās ir formulas, kuras ir aizsargātas pret rediģēšanu.</t>
  </si>
  <si>
    <t>Finansējuma saņēmējs</t>
  </si>
  <si>
    <t>Projekta nosaukums</t>
  </si>
  <si>
    <t>Finansējuma saņēmēja juridiskā forma</t>
  </si>
  <si>
    <t>Pašvaldība vai pašvaldības aģentūra</t>
  </si>
  <si>
    <t>Komercsabiedrība</t>
  </si>
  <si>
    <t>Finanšu modeļa pieņēmumi</t>
  </si>
  <si>
    <t>1.1 Projekta analīzē izmantotie laika rādītāji</t>
  </si>
  <si>
    <t>Ilgtermiņa ieguldījumu nolietojums (gados)</t>
  </si>
  <si>
    <t>Ūdens un kanalizācijas vadi</t>
  </si>
  <si>
    <t>Rezervuāri un tilpnes</t>
  </si>
  <si>
    <t>Ēkas un būves</t>
  </si>
  <si>
    <t>Iekārtas un mašīnas</t>
  </si>
  <si>
    <t>Nemateriālie ieguldījumi</t>
  </si>
  <si>
    <t>Ieguldījumu sākuma gads</t>
  </si>
  <si>
    <t>Ekspluatācijas uzsākšanas gads</t>
  </si>
  <si>
    <t>Analīzes perioda ilgums, gadi</t>
  </si>
  <si>
    <t>PL atlikušās vērtības gads</t>
  </si>
  <si>
    <t>PL atlikušais darbības laiks perioda beigās, gadi</t>
  </si>
  <si>
    <t>1.2 Iedzīvotāju maksātspējas noteikšanas pieņēmumi</t>
  </si>
  <si>
    <t>Vidējais mājsaimniecības locekļu skaits</t>
  </si>
  <si>
    <t>* avots: pašvaldība</t>
  </si>
  <si>
    <t>Vidējie mājsaimniecību ienākumi uz 1 locekli, mēn.</t>
  </si>
  <si>
    <t>Gadi</t>
  </si>
  <si>
    <t>Vidējie mājsaimniecību ienākumi, mēn.</t>
  </si>
  <si>
    <t>Tarifu pieļaujamais īpatsvars mājsaimniecības ienākumos</t>
  </si>
  <si>
    <t>1.3. Finanšu avoti, %</t>
  </si>
  <si>
    <t>Attiecināmās izmaksas</t>
  </si>
  <si>
    <t>Neattiecināmās izmaksas</t>
  </si>
  <si>
    <t>Pašvaldības pašu līdzekļi</t>
  </si>
  <si>
    <t>Pašvaldības komercsabiedrības pašu līdzekļi</t>
  </si>
  <si>
    <t>Citi finanšu avoti</t>
  </si>
  <si>
    <t>Pašvaldības aizņēmumi</t>
  </si>
  <si>
    <t>Pašvaldības komercsabiedrības aizņēmumi</t>
  </si>
  <si>
    <t>Valsts budžeta dotācija</t>
  </si>
  <si>
    <t>ERAF līdzfinansējums</t>
  </si>
  <si>
    <t>Kopā:</t>
  </si>
  <si>
    <t>Valsts kases aizdevuma likme</t>
  </si>
  <si>
    <t>Komercbanku aizdevuma likme</t>
  </si>
  <si>
    <t xml:space="preserve">Pašvaldības aizņēmuma atmaksas periods (gadi) </t>
  </si>
  <si>
    <t xml:space="preserve">Komercsabiedrības aizņēmuma atmaksas periods (gadi) </t>
  </si>
  <si>
    <t>Projektu finansēs ar aizņēmumu?</t>
  </si>
  <si>
    <t>Jā</t>
  </si>
  <si>
    <t>Nē</t>
  </si>
  <si>
    <t>Aizņēmuma saņēmējs ir:</t>
  </si>
  <si>
    <t>Pašvaldība</t>
  </si>
  <si>
    <t>Būvuzraudzība</t>
  </si>
  <si>
    <t>Autoruzraudzība</t>
  </si>
  <si>
    <t>PVN</t>
  </si>
  <si>
    <t>Ūdenssaimniecības un projekta rādītāji</t>
  </si>
  <si>
    <t>Investīciju izmaksas un pamatlīdzekļi  (bez PVN)  - LVL, faktiskajās cenās</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</si>
  <si>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</si>
  <si>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</si>
  <si>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</si>
  <si>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</si>
  <si>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</si>
  <si>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Esošie izdevumi</t>
  </si>
  <si>
    <t>Ūdensapgādes pakalpojumi</t>
  </si>
  <si>
    <t>Mainīgās izmaksas</t>
  </si>
  <si>
    <t xml:space="preserve">    Materiāli un remontdarbu izmaksas</t>
  </si>
  <si>
    <t xml:space="preserve">    Elektroenerģija</t>
  </si>
  <si>
    <t xml:space="preserve">    Dabas resursu nodoklis</t>
  </si>
  <si>
    <t xml:space="preserve">    Pakalpojumi</t>
  </si>
  <si>
    <t xml:space="preserve">    Citas mainīgās izmaksas</t>
  </si>
  <si>
    <t>Fiksētās izmaksas</t>
  </si>
  <si>
    <t xml:space="preserve">    Darba algas</t>
  </si>
  <si>
    <t xml:space="preserve">    Darba devēja sociālais nodoklis</t>
  </si>
  <si>
    <t xml:space="preserve">    Citas fiksētās izmaksas</t>
  </si>
  <si>
    <t>Kanalizācijas pakalpojumi</t>
  </si>
  <si>
    <t>Projekta ietekmē radušās izmaiņas izdevumos (bez PVN), LVL, finanšu analīzes veikšanas gada cenās</t>
  </si>
  <si>
    <t xml:space="preserve">   Citi ieņēmumi, bez PVN, LVL</t>
  </si>
  <si>
    <t>Debitoru parādu īpatsvars, %</t>
  </si>
  <si>
    <t>Naudas līdzekļi ūdenssaimniecības bilancē</t>
  </si>
  <si>
    <t>Pašvaldības ilgtermiņa kredītsaistības  - LVL, faktiskajās cenās</t>
  </si>
  <si>
    <t>Aizņēmumi (pamatsummas un procenti)</t>
  </si>
  <si>
    <t>Īstermiņa aizņēmums PVN segšanai</t>
  </si>
  <si>
    <t>7.20. Ūdenssaimniecības projekts</t>
  </si>
  <si>
    <t>Galvojumi (pamatsumma un procenti)</t>
  </si>
  <si>
    <t>7.37. Ūdenssaimniecības projekts</t>
  </si>
  <si>
    <t>Citas ilgtermiņa saistības</t>
  </si>
  <si>
    <t>Pašvaldības pamatbudžeta ieņēmumi, LVL</t>
  </si>
  <si>
    <t>Lietotāja izvēles</t>
  </si>
  <si>
    <t>Analizējamā varianta izvēle</t>
  </si>
  <si>
    <t>Variants "AR" vai "BEZ" projekta?</t>
  </si>
  <si>
    <t>AR projektu</t>
  </si>
  <si>
    <t>BEZ projekta</t>
  </si>
  <si>
    <t>Ūdenssaimniecības izmaksu segšanas līmenis</t>
  </si>
  <si>
    <t>Aprēķinātais tarifu īpatsvars mājsaimniecību ienākumos:</t>
  </si>
  <si>
    <t>Mājsaimniecību izdevumi:</t>
  </si>
  <si>
    <t>sedz visas izmaksas</t>
  </si>
  <si>
    <t>nepārsniedz tarifu pieļaujamo īpatsvaru mājsaimniecības ienākumos</t>
  </si>
  <si>
    <t>Tarifu aprēķina metodika</t>
  </si>
  <si>
    <t>Tarifa aprēķinā ir iekļauts</t>
  </si>
  <si>
    <t>viss nolietojums</t>
  </si>
  <si>
    <t>aizņēmums</t>
  </si>
  <si>
    <t>Tarifā iekļautā rentabilitāte</t>
  </si>
  <si>
    <t>Kopā</t>
  </si>
  <si>
    <t>Ūdenssaimniecības tarifi pirms projekta īstenošanas, bez PVN, LVL/m3</t>
  </si>
  <si>
    <t>Fiziskām personām</t>
  </si>
  <si>
    <t>Juridiskām personām</t>
  </si>
  <si>
    <t>mājsaimniecību skaits</t>
  </si>
  <si>
    <t>Makroekonomiskie pieņēmumi ir vienādi visiem projektiem! Izmaiņas tajos ir jāveic tikai tad, ja ir mainījušās atbilstošo normatīvo aktu prasības! Jebkuras izmaiņas šajos pieņēmumos ir jāsaskaņo ar LR Vides ministriju!</t>
  </si>
  <si>
    <t>Makroekonomiskie pieņēmumi</t>
  </si>
  <si>
    <t>Patēriņa cenu inflācija, %</t>
  </si>
  <si>
    <t>Indekss</t>
  </si>
  <si>
    <t>Darba algas pieaugums salīdzināmās cenās, %</t>
  </si>
  <si>
    <t>Kopējā pamatkapitāla veidošanas deflators,%</t>
  </si>
  <si>
    <t>PVN ūdenssaimniecības pakalpojumiem</t>
  </si>
  <si>
    <t>Darba devēja sociālais nodoklis</t>
  </si>
  <si>
    <t>Uzņēmumu ienākuma nodoklis</t>
  </si>
  <si>
    <t>Nominālā finanšu diskonta likme</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</si>
  <si>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</si>
  <si>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</si>
  <si>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</si>
  <si>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</si>
  <si>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</si>
  <si>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</si>
  <si>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</si>
  <si>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</si>
  <si>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</si>
  <si>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</si>
  <si>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</si>
  <si>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6.6. Pašvaldības aizņēmumu atmaksa</t>
  </si>
  <si>
    <t>6.13. Pašvaldības komercsabiedrības aizņēmumu atmaksa</t>
  </si>
  <si>
    <t>8.8. Finansiālās darbības rezultāts</t>
  </si>
  <si>
    <t>8.9.Naudas un tās ekvivalentu izmaiņas pārskata perioda laikā</t>
  </si>
  <si>
    <t>8.10.Naudas un tās atlikumu atlikums pārskata perioda beigās</t>
  </si>
  <si>
    <t>Gads</t>
  </si>
  <si>
    <t>Kopējās izmaksas</t>
  </si>
  <si>
    <t>Kopējās attiecināmās izmaksas</t>
  </si>
  <si>
    <t>Publiskās izmaksas</t>
  </si>
  <si>
    <t>Publiskās attiecināmās izmaksas</t>
  </si>
  <si>
    <t>Privātās attiecināmās izmaksas</t>
  </si>
  <si>
    <t>ERAF / KF finansējums</t>
  </si>
  <si>
    <t>Pārējais finansējums</t>
  </si>
  <si>
    <t>Attiecināmais valsts budžeta finansējums</t>
  </si>
  <si>
    <t>Valsts budžeta dotācija pašvaldībām</t>
  </si>
  <si>
    <t>Attiecināmais pašvaldības budžeta finansējums</t>
  </si>
  <si>
    <t>Cits publiskais finansējums</t>
  </si>
  <si>
    <t>1=2+3</t>
  </si>
  <si>
    <t>3=4+5</t>
  </si>
  <si>
    <t>4=6+8+10+12+14</t>
  </si>
  <si>
    <t>%
7=6/3</t>
  </si>
  <si>
    <t>%
9=8/3</t>
  </si>
  <si>
    <t>%
11=10/3</t>
  </si>
  <si>
    <t>%
13=12/3</t>
  </si>
  <si>
    <t>%
15=14/3</t>
  </si>
  <si>
    <t>2.1. Ūdensapgādes pakalpojumi</t>
  </si>
  <si>
    <t>2.2. Materiāli un remontdarbu izmaksas</t>
  </si>
  <si>
    <t>2.3. Elektroenerģija</t>
  </si>
  <si>
    <t>2.4. Dabas resursu nodoklis</t>
  </si>
  <si>
    <t>2.5. Pakalpojumi</t>
  </si>
  <si>
    <t>2.6. Citas mainīgās izmaksas</t>
  </si>
  <si>
    <t>2.7.Kanalizācijas pakalpojumi</t>
  </si>
  <si>
    <t>2.8. Materiāli un remontdarbu izmaksas</t>
  </si>
  <si>
    <t>2.9. Elektroenerģija</t>
  </si>
  <si>
    <t>2.10. Dabas resursu nodoklis</t>
  </si>
  <si>
    <t>2.11. Pakalpojumi</t>
  </si>
  <si>
    <t>2.12. Citas mainīgās izmaksas</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</si>
  <si>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</si>
  <si>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</si>
  <si>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</si>
  <si>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</si>
  <si>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</si>
  <si>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</si>
  <si>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</si>
  <si>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</si>
  <si>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</si>
  <si>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</si>
  <si>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</si>
  <si>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</si>
  <si>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</si>
  <si>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</si>
  <si>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</si>
  <si>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</si>
  <si>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</si>
  <si>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</si>
  <si>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</si>
  <si>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</si>
  <si>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</si>
  <si>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7.1. Aizņēmumi (kopā pamatsummas un procentu maksājumi)</t>
  </si>
  <si>
    <t>7.12. Kopā aizņēmumi</t>
  </si>
  <si>
    <t>7.13. Galvojumi (kopā pamatsummas un procentu maksājumi)</t>
  </si>
  <si>
    <t>7.19. Kopā galvojumi</t>
  </si>
  <si>
    <t>7.20. Ilgtermiņa saistības</t>
  </si>
  <si>
    <t>7.26. Kopā ilgtermiņa saistības</t>
  </si>
  <si>
    <t>7.27. Kopā saistības</t>
  </si>
  <si>
    <t>7.28. Pašvaldības pamatbudžeta ieņēmumi</t>
  </si>
  <si>
    <t>7.29. Saistību apjoms pret pamatbudžeta ieņēmumiem</t>
  </si>
  <si>
    <t>Pie tarifu apjoma, kas sedz pilnas sistēmas izmaksas</t>
  </si>
  <si>
    <t>11.1.Vidējie mājsaimniecības mēneša ienākumi (LVL)</t>
  </si>
  <si>
    <t>11.2. Ūdens patēriņš (m3/uz mājsaimniecību mēnesī)</t>
  </si>
  <si>
    <t>11.4. Mājsaimniecības izdevumi ūdensapgādes pakalpojumiem mēnesī (LVL)</t>
  </si>
  <si>
    <t>11.5. Notekūdeņu apjoms (m3/uz mājsaimniecību mēnesī)</t>
  </si>
  <si>
    <t>11.7. Mājsaimniecības izdevumi kanalizācijas pakalpojumiem mēnesī (LVL)</t>
  </si>
  <si>
    <t>11.8. Kopā izdevumi ūdenssaimniecības pakalpojumiem</t>
  </si>
  <si>
    <t>11.9. Izdevumi % no mājsaimn.vidējiem mēn. ienākumiem</t>
  </si>
  <si>
    <t>Finanšu modeļa aprēķinu tabulas</t>
  </si>
  <si>
    <t>Investīciju izmaksu nolietojuma aprēķins  - LVL, faktiskajās cenās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</si>
  <si>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</si>
  <si>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</si>
  <si>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</si>
  <si>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</si>
  <si>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</si>
  <si>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</si>
  <si>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</si>
  <si>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</si>
  <si>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</si>
  <si>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</si>
  <si>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</si>
  <si>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</si>
  <si>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</si>
  <si>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</si>
  <si>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</si>
  <si>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</si>
  <si>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</si>
  <si>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</si>
  <si>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</si>
  <si>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</si>
  <si>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</si>
  <si>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</si>
  <si>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</si>
  <si>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</si>
  <si>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</si>
  <si>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</si>
  <si>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</si>
  <si>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1.5.Citas ražošanas uzsākšanas izmaksas</t>
  </si>
  <si>
    <t>1.6. Ražošanas uzsākšanas izmaksas</t>
  </si>
  <si>
    <t>1.7 Kopā investīciju izmaksas</t>
  </si>
  <si>
    <t>Investīcijas kanalizācijas sistēmā</t>
  </si>
  <si>
    <t>3.1. Pašvaldības pašu līdzekļi</t>
  </si>
  <si>
    <t>6.3. Pašvaldības aizņēmumi</t>
  </si>
  <si>
    <t>3.2. Pašvaldības komercsabiedrības pašu līdzekļi</t>
  </si>
  <si>
    <t>3. 3. Pašvaldības komercsabiedrības aizņēmumi</t>
  </si>
  <si>
    <t>3.4. Valsts budžeta dotācija</t>
  </si>
  <si>
    <t>3.5. Citi finanšu avoti</t>
  </si>
  <si>
    <t>3.6. Kopā nacionālais finansējums</t>
  </si>
  <si>
    <t>Kopā nacionālais finansējums bez aizņēmumiem</t>
  </si>
  <si>
    <t>3.7. ERAF līdzfinansējums</t>
  </si>
  <si>
    <t>3.8. Kopā finanšu avoti</t>
  </si>
  <si>
    <t>ES atbalsta likme</t>
  </si>
  <si>
    <t xml:space="preserve">Valsts dotācijas likme </t>
  </si>
  <si>
    <t>Kopā atbalsts</t>
  </si>
  <si>
    <t>4.1. Kopā ienākošās naudas plūsma</t>
  </si>
  <si>
    <t>1.7. Kopā investīciju izmaksas</t>
  </si>
  <si>
    <t>6.5. Procentu maksājumi (pašvaldība)</t>
  </si>
  <si>
    <t>6.12. Procentu maksājumi (pašvald. komercsabiedrība)</t>
  </si>
  <si>
    <t>6.6. Aizņēmuma pamatsummas maksājumi (pašvald.)</t>
  </si>
  <si>
    <t>6.13. Aizņēmuma pamatsummas maksājumi (komercsab.)</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</si>
  <si>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</si>
  <si>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</si>
  <si>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</si>
  <si>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</si>
  <si>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</si>
  <si>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</si>
  <si>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</si>
  <si>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</si>
  <si>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</si>
  <si>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</si>
  <si>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</si>
  <si>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</si>
  <si>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</si>
  <si>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</si>
  <si>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</si>
  <si>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</si>
  <si>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</si>
  <si>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</si>
  <si>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</si>
  <si>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r>
      <t>1.5.15. Kapitāla struktūras analīze </t>
    </r>
    <r>
      <rPr>
        <b/>
        <sz val="10"/>
        <rFont val="Times New Roman"/>
        <family val="1"/>
      </rPr>
      <t xml:space="preserve"> </t>
    </r>
  </si>
  <si>
    <t>5.10. Finanšu līdzsvara koeficients = Pašu kapitāls / Kopējie aktīvi</t>
  </si>
  <si>
    <t>5.17. Parāds pret pašu kapitālu = Kreditori / Pašu kapitāls</t>
  </si>
  <si>
    <t>5.18. Ilgtermiņa aktīvi pret Pašu kapitālu = Ilgtermiņa ieguldījumi / Pašu kapitāls</t>
  </si>
  <si>
    <r>
      <t>5.19. Ienesīguma koeficienti </t>
    </r>
    <r>
      <rPr>
        <b/>
        <sz val="10"/>
        <rFont val="Times New Roman"/>
        <family val="1"/>
      </rPr>
      <t xml:space="preserve"> </t>
    </r>
  </si>
  <si>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</si>
  <si>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</si>
  <si>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</si>
  <si>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</si>
  <si>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</si>
  <si>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</si>
  <si>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</si>
  <si>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</si>
  <si>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</si>
  <si>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</si>
  <si>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6.1. Pašvaldības aizņēmums attiecināmo izmaksu segšanai</t>
  </si>
  <si>
    <t>6.2. Procentu likme</t>
  </si>
  <si>
    <t>6.3. Aizņēmuma pamatsumma</t>
  </si>
  <si>
    <t>6.4. Kopā maksājumi</t>
  </si>
  <si>
    <t>6.5. Procentu atmaksa</t>
  </si>
  <si>
    <t>6.6. Pamatsummas atmaksa</t>
  </si>
  <si>
    <t>6.7. Maksājumu bilance</t>
  </si>
  <si>
    <t>6.8. Pašvaldības komercsabiedrības aizņēmums attiecināmo izmaksu segšanai</t>
  </si>
  <si>
    <t>.6.9. Procentu likme</t>
  </si>
  <si>
    <t>6.10. Aizņēmuma pamatsumma</t>
  </si>
  <si>
    <t>6.11. Kopā maksājumi</t>
  </si>
  <si>
    <t>6.14.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</si>
  <si>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</si>
  <si>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</si>
  <si>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</si>
  <si>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</si>
  <si>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</si>
  <si>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</si>
  <si>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</si>
  <si>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</si>
  <si>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</si>
  <si>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9.5. Citi ieņēmumi</t>
  </si>
  <si>
    <t>9.6. Saimnieciskās pamatdarbības izdevumi</t>
  </si>
  <si>
    <t>9.7. Mainīgās izmaksas</t>
  </si>
  <si>
    <t>2.1. Materiāli un remontdarbu izmaksas</t>
  </si>
  <si>
    <t>2.2. Elektroenerģija</t>
  </si>
  <si>
    <t>2.3. Dabas resursu nodoklis</t>
  </si>
  <si>
    <t>2.4. Pakalpojumi</t>
  </si>
  <si>
    <t>2.5. Citas mainīgās izmaksas</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</si>
  <si>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</si>
  <si>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</si>
  <si>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</si>
  <si>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</si>
  <si>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</si>
  <si>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</si>
  <si>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</si>
  <si>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</si>
  <si>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</si>
  <si>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</si>
  <si>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</si>
  <si>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</si>
  <si>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10.5. Nemateriālie ieguldījumi</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</si>
  <si>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</si>
  <si>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</si>
  <si>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</si>
  <si>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</si>
  <si>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</si>
  <si>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</si>
  <si>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</si>
  <si>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</si>
  <si>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</si>
  <si>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</si>
  <si>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</si>
  <si>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</si>
  <si>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</si>
  <si>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</si>
  <si>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</si>
  <si>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</si>
  <si>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</si>
  <si>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1 Investīciju izmaksas un pamatlīdzekļi  (bez PVN)  - LVL, faktiskajās cenās</t>
  </si>
  <si>
    <t>Investīcijas ūdensapgādes pakalpojumiem projekta īstenošanas gadu cenās</t>
  </si>
  <si>
    <t>Investīcijas kanalizācijas pakalpojumi projekta īstenošanas gadu cenās</t>
  </si>
  <si>
    <t>Pavisam kopā, t.sk.</t>
  </si>
  <si>
    <t>Attiecināmās izmaksas kopā</t>
  </si>
  <si>
    <t>Pašvaldības pašu līdzekļi, attiecināmās izmaksas</t>
  </si>
  <si>
    <t>Pašvaldības pašu līdzekļi, Neattiecināmās izmaksas</t>
  </si>
  <si>
    <t>Pašvaldības aizņēmumi, attiecināmās izmaksas</t>
  </si>
  <si>
    <t>Pašvaldības aizņēmumi, Neattiecināmās izmaksas</t>
  </si>
  <si>
    <t>Pašvaldības komercsabiedrības pašu līdzekļi, attiecināmās izmaksas</t>
  </si>
  <si>
    <t>Pašvaldības komercsabiedrības pašu līdzekļi, NEattiecināmās izmaksas</t>
  </si>
  <si>
    <t>Pašvaldības komercsabiedrības aizņēmumi, attiecināmās izmaksas</t>
  </si>
  <si>
    <t>Pašvaldības komercsabiedrības aizņēmumi, NEattiecināmās izmaksas</t>
  </si>
  <si>
    <t>Citi finanšu avoti, attiecināmās izmaksas</t>
  </si>
  <si>
    <t>Citi finanšu avoti, NEattiecināmās izmaksas</t>
  </si>
  <si>
    <t>11 Iedzīvotāju maksātspēja</t>
  </si>
  <si>
    <t>11.1.Vidējie mājsaimn. mēneša ienākumi (LVL)</t>
  </si>
  <si>
    <t>11.2. Ūdens patēriņš (m3/uz mājsaimn. mēnesī)</t>
  </si>
  <si>
    <t>11.3. Mājsaimniecības izdevumi ūdensapg. pakalpojumiem (LVL), ieskaitot PVN</t>
  </si>
  <si>
    <t>11.4. Notekūd. apjoms (m3/uz mājsaimn. mēnesī)</t>
  </si>
  <si>
    <t>11.5. Mājsaimniecības izdevumi kanaliz. pakalpojumiem (LVL), ieskaitot PVN</t>
  </si>
  <si>
    <t>11.6. Kopējie mājsaimniecības izdevumi</t>
  </si>
  <si>
    <t>11.7. Izdevumi % no vidējiem mājsaimn. mēneša ienākumiem</t>
  </si>
  <si>
    <t>Ūdensapgādes izdevumu īpatsvars kopējos izdevumos</t>
  </si>
  <si>
    <t>Kanalizācijas izdevumu īpatsvars kopējos izdevumos</t>
  </si>
  <si>
    <t>Pieļaujamie izdevumi ūdensapgādes pakalpojumiem:</t>
  </si>
  <si>
    <t>Pieļaujamie izdevumi kanalizācijas pakalpojumiem:</t>
  </si>
  <si>
    <t>Pieļaujamais tarifs ūdensapgādes pakalpojumiem</t>
  </si>
  <si>
    <t>Pieļaujamais tarifs kanalizācijas pakalpojumiem</t>
  </si>
  <si>
    <t>2 Tarifi (LVL/m3 bez PVN)</t>
  </si>
  <si>
    <t xml:space="preserve">     Plānotais tarifs pēc projekta realizācijas</t>
  </si>
  <si>
    <t xml:space="preserve">Kombinētais tarifs </t>
  </si>
  <si>
    <t>Ūdenssaimniecības attīstība A ciemā</t>
  </si>
  <si>
    <t>PVN investīcijām</t>
  </si>
  <si>
    <t>Ieguldījumu attiecināmo izmaksu kopsumma, LVL</t>
  </si>
  <si>
    <t>Lēmuma summa, LVL</t>
  </si>
  <si>
    <t>Finanšu avoti Ieguldījuma attiecināmo izmaksu summai</t>
  </si>
  <si>
    <t xml:space="preserve">Pakalpojumu apjoma un ieņēmumu prognoze </t>
  </si>
  <si>
    <t>papildus pieslēgtais iedzīvotāju skaits</t>
  </si>
  <si>
    <t xml:space="preserve">    Citi ieņēmumi, bez PVN, LVL</t>
  </si>
  <si>
    <t xml:space="preserve">    litri uz cilvēku diennaktī</t>
  </si>
  <si>
    <t xml:space="preserve">    kanalizācijas sistēmai pieslēgto  iedzīvotāju skaits</t>
  </si>
  <si>
    <t xml:space="preserve">    mājsaimniecību skaits</t>
  </si>
  <si>
    <t xml:space="preserve">     Aprēķinātais tarifs</t>
  </si>
  <si>
    <t xml:space="preserve">     Finanšu modeļa aprēķinātās izmaiņas</t>
  </si>
  <si>
    <t xml:space="preserve">  Starpība starp pieļaujamām un aprēķinātām izmaiņām</t>
  </si>
  <si>
    <t>2.  Investīciju izmaksas (bez PVN)  - LVL, faktiskajās cenās</t>
  </si>
  <si>
    <t xml:space="preserve">3. Finanšu avoti - LVL, faktiskajās cenās </t>
  </si>
  <si>
    <t>4. Finanšu ilgtspēja - LVL, faktiskajās cenās</t>
  </si>
  <si>
    <t>5a. Projekta investīciju finanšu atdeve - LVL, faktiskajās cenās</t>
  </si>
  <si>
    <t>5b. Projekta pašu (valsts) kapitāla finanšu atdeve - LVL, faktiskajās cenās</t>
  </si>
  <si>
    <t>6. Aizņēmumu atmaksas grafiks - LVL, faktiskajās cenās</t>
  </si>
  <si>
    <t xml:space="preserve">7. Peļņas vai zaudējumu aprēķins - LVL, faktiskajās cenās </t>
  </si>
  <si>
    <t>8. Bilance - LVL, faktiskajās cenās</t>
  </si>
  <si>
    <t>ūdensapgādes sistēmai pieslēgto iedzīvotāju skaits</t>
  </si>
  <si>
    <t xml:space="preserve"> ūdensapgādes sistēmai pieslēgto iedzīvotāju skaits</t>
  </si>
  <si>
    <t xml:space="preserve">Situācijā AR projektu </t>
  </si>
  <si>
    <t>Situācijā BEZ projekta</t>
  </si>
  <si>
    <t xml:space="preserve">Situācijā BEZ projekta </t>
  </si>
  <si>
    <t xml:space="preserve">    Ūdens patēriņš mājsaimniecībās gadā, m3 </t>
  </si>
  <si>
    <t>Stuācijā AR projektu</t>
  </si>
  <si>
    <t xml:space="preserve">    Ūdens patēriņš iestādēs gadā, m3 </t>
  </si>
  <si>
    <t xml:space="preserve">    Ūdens patēriņš uzņēmumos gadā, m3 </t>
  </si>
  <si>
    <t xml:space="preserve">Situācijā AR projektu kopā patērētais ūdens patēriņš gadā, m3 </t>
  </si>
  <si>
    <t>Situācijā BEZ projekta kopā patērētais ūdens patēriņš gadā, m3</t>
  </si>
  <si>
    <t xml:space="preserve">Stituācijā AR projektu kopējais iedzīvotāju skaits aglomerācijā </t>
  </si>
  <si>
    <r>
      <t>Stituācijā BEZ projekta</t>
    </r>
    <r>
      <rPr>
        <sz val="10"/>
        <color indexed="20"/>
        <rFont val="Times New Roman"/>
        <family val="1"/>
      </rPr>
      <t xml:space="preserve"> kopējais iedzīvotāju skaits aglomerācijā </t>
    </r>
  </si>
  <si>
    <r>
      <t>Situācijā BEZ projekta</t>
    </r>
    <r>
      <rPr>
        <sz val="10"/>
        <color indexed="20"/>
        <rFont val="Times New Roman"/>
        <family val="1"/>
      </rPr>
      <t xml:space="preserve"> </t>
    </r>
  </si>
  <si>
    <t>Situācijā AR projektu</t>
  </si>
  <si>
    <t xml:space="preserve">    Notekūdeņu apjoms mājsaimniecībās gadā, m3 </t>
  </si>
  <si>
    <t xml:space="preserve">    Notekūdeņu apjoms iestādēs gadā, m3 </t>
  </si>
  <si>
    <t>Situācijā BEZ projekta kopā patērētais notekūdens patēriņš gadā, m3</t>
  </si>
  <si>
    <t>Atšifrēt aizņēmumu, norādot kam tas plānots</t>
  </si>
  <si>
    <t xml:space="preserve">Situācijā AR projektu kopā patērētais notekūdens patēriņš gadā, m3 </t>
  </si>
  <si>
    <t>Reālais tarifs nepārsniedz noteiktos griestus</t>
  </si>
  <si>
    <t>Ieguldījuma attiecināmo izmaksu summai</t>
  </si>
  <si>
    <t>Finanšu avoti lēmuma summai</t>
  </si>
  <si>
    <t>Lēmuma summa kopā</t>
  </si>
  <si>
    <t xml:space="preserve">Maksimālais apjoms ERAF </t>
  </si>
  <si>
    <t xml:space="preserve">Maksimālais apjoms valsts </t>
  </si>
  <si>
    <t xml:space="preserve">Maksimālais apjoms pašvaldības </t>
  </si>
  <si>
    <t>Saimnieciskās pamatdarbības rezultāts situācijai AR projektu</t>
  </si>
  <si>
    <t>Saimnieciskās pamatdarbības rezultāts situācijā BEZ projekta</t>
  </si>
  <si>
    <t xml:space="preserve">Projekta radītie saimnieciskās pamatdarbības ieņēmumi un izdevumi </t>
  </si>
  <si>
    <t>Pašvaldības ilgtermiņa kredītsaistības - LVL, faktiskajās cenās</t>
  </si>
  <si>
    <t xml:space="preserve">Iedzīvotāju maksātspēja </t>
  </si>
  <si>
    <t>Naudas plūsma  - LVL, faktiskajās cenās</t>
  </si>
  <si>
    <t>Neattiecināmās izmaksas PVN</t>
  </si>
  <si>
    <t xml:space="preserve">Pašvaldības pašu līdzekļi </t>
  </si>
  <si>
    <t>Pašvaldības aizņēmums attiecināmo izmaksu segšanai</t>
  </si>
  <si>
    <t>neattiecināmās izmaksas lēmuma summai</t>
  </si>
  <si>
    <t xml:space="preserve">kopā neattiecināmās izmaksas </t>
  </si>
  <si>
    <t xml:space="preserve">Ieguldījums pamatkapitālā </t>
  </si>
  <si>
    <t xml:space="preserve">    ūdens patēriņš mājsaimniecībās m3/dnn</t>
  </si>
  <si>
    <t xml:space="preserve">    ūdens patēriņš iestādēs m3/dnn</t>
  </si>
  <si>
    <t xml:space="preserve">   ūdens patēriņš  mājsaimniecībās gadā, m3</t>
  </si>
  <si>
    <t xml:space="preserve">   ūdens patēriņš mājsaimniecībās m3/dnn</t>
  </si>
  <si>
    <t xml:space="preserve">   litri uz cilvēku diennaktī </t>
  </si>
  <si>
    <t xml:space="preserve">    ūdens patēriņš uzņēmumos m3/dnn</t>
  </si>
  <si>
    <t xml:space="preserve">    notekūdeņu apjoms mājsaimniecībās m3/dnn</t>
  </si>
  <si>
    <t xml:space="preserve">    notekūdeņu apjoms iestādēs m3/dnn</t>
  </si>
  <si>
    <t xml:space="preserve">    Notekūdeņu apjoms uzņēmumos gadā, m3 </t>
  </si>
  <si>
    <t xml:space="preserve">    notekūdeņu apjoms uzņēmumos m3/dnn</t>
  </si>
  <si>
    <t xml:space="preserve">No 2008.g. līdz 2011.g. izmantoti aktuālie makroekonomiskie rādītāji, kas noteikti„Grozījumos likumā „Par valsts budžetu 2009. gadam” saskaņā ar LR Finanšu ministrijas vēstuli LR Vides ministrijai Nr. 4-2-01/198 no 13.05.2009., attiecībā uz makroekonomisko rādītāju prognozi 2012.gadam un turpmākiem gadiem izmantoti dati, kas norādīti Ministru kabineta 2007.gada 26.jūnija noteikumu Nr. 419 5. pielikumā. </t>
  </si>
  <si>
    <t>TEP, tehniskā projekta izmaksas</t>
  </si>
  <si>
    <t xml:space="preserve">Pašvaldības komercsabiedrības pašu līdzekļi </t>
  </si>
  <si>
    <t>Pašvaldības komercsabiedrības aizņēmums</t>
  </si>
  <si>
    <t>pašvaldības aģentūras attiecināmās izmaksas</t>
  </si>
  <si>
    <t>7.3.2. Galvenie finanšu analīzes rezultāti</t>
  </si>
  <si>
    <t>Bez Kopienas palīdzības
(FRR/C)
A</t>
  </si>
  <si>
    <t>Ar Kopienas palīdzību
(FRR/K)
B</t>
  </si>
  <si>
    <t>Finansiālā ienesīguma norma (%)</t>
  </si>
  <si>
    <t>Tīrā pašreizējā vērtība (LVL)</t>
  </si>
  <si>
    <t>Finansējuma deficīta likme, %</t>
  </si>
  <si>
    <t>Maksimālā priorit. virziena līdzfinansējuma likme</t>
  </si>
  <si>
    <t>4=1*2</t>
  </si>
  <si>
    <t>5=6/1</t>
  </si>
  <si>
    <t>6=4*3</t>
  </si>
  <si>
    <t>7.3.1. tabula Attiecināmo izmaksu modelēšana</t>
  </si>
  <si>
    <t>Galvenie parametri</t>
  </si>
  <si>
    <t>Nediskontētā vērtība</t>
  </si>
  <si>
    <t>Diskontētā vērtība</t>
  </si>
  <si>
    <t>Ieguldījumu izmaksu kopsumma atbalstāmajās darbībās (LVL, nediskontēta, bez PVN):</t>
  </si>
  <si>
    <t>Ieguldījumu izmaksu kopsumma atbalstāmajās darbībās (LVL, diskontēta, bez PVN):</t>
  </si>
  <si>
    <t>Ieguldījumu attiecināmo izmaksu kopsumma (LVL, nediskontēta)</t>
  </si>
  <si>
    <t>Ieguldījumu attiecināmo izmaksu kopsumma (LVL, diskontēta)</t>
  </si>
  <si>
    <t>Atlikusī vērtība (LVL, nediskontēta)</t>
  </si>
  <si>
    <t>Atlikusī vērtība (LVL, diskontēta)</t>
  </si>
  <si>
    <t>Ieņēmumi (LVL, diskontētie)</t>
  </si>
  <si>
    <t>Darbības izmaksas (LVL, diskontētas)</t>
  </si>
  <si>
    <t>Tīrie ieņēmumi (LVL)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</si>
  <si>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(LVL) =
(6)-(11)</t>
  </si>
  <si>
    <t>Finansējuma deficīta likme (%) = 
(12)/(6)</t>
  </si>
  <si>
    <t>Finansēšanas plāns (lēmuma summai)</t>
  </si>
  <si>
    <t>Finašu avotu sadalījums lēmuma summai</t>
  </si>
  <si>
    <t xml:space="preserve">Lēmuma summa saskaņā ar 28.07.2008. MK not. Nr. 606 prasībām, maksimālās attiecināmās izmaksas nedrīkst pārsniegt 351 tūkst. LVL. </t>
  </si>
  <si>
    <t>ERAF ieguldījums, LVL</t>
  </si>
  <si>
    <t>7.3.3. ERAF ieguldījuma aprēķins</t>
  </si>
  <si>
    <t>ERAF ieguldījums (% no kopējām attiecināmām izmaksām)</t>
  </si>
  <si>
    <t>Maksimālā ERAF līdzfinansējuma likme</t>
  </si>
  <si>
    <t>Kopējā ERAF un valsts budžeta atbalsta likme</t>
  </si>
  <si>
    <t xml:space="preserve">Finanšu avotu sadalījums pie ierobežotā ERAF līdzfinansējuma </t>
  </si>
  <si>
    <t>Finansēšanas plāns (ieguldījuma attiecināmo izmaksu summai)</t>
  </si>
  <si>
    <t>Projekta naudas plūsmas prognoze X projektam</t>
  </si>
  <si>
    <t>Apstipri-nātais budžets, LVL</t>
  </si>
  <si>
    <t>Apstipri- nātā budžeta  struktūra, %</t>
  </si>
  <si>
    <t>Budžets pēc līgumu noslēgšanas, tūkst. LVL</t>
  </si>
  <si>
    <t>Budžeta struktūra pēc līgumu noslēgšanas  , %</t>
  </si>
  <si>
    <t>Grozītais budžets, tūkst. LVL</t>
  </si>
  <si>
    <t>Grozītā budžeta struktūra, %</t>
  </si>
  <si>
    <t>KOPĀ</t>
  </si>
  <si>
    <t>Budžeta  struktūra</t>
  </si>
  <si>
    <t>Jan</t>
  </si>
  <si>
    <t>Feb</t>
  </si>
  <si>
    <t>Mar</t>
  </si>
  <si>
    <t>Apr</t>
  </si>
  <si>
    <t>Mai</t>
  </si>
  <si>
    <t>Jūn</t>
  </si>
  <si>
    <t>Jūl</t>
  </si>
  <si>
    <t>Aug</t>
  </si>
  <si>
    <t>Sep</t>
  </si>
  <si>
    <t>Okt</t>
  </si>
  <si>
    <t>Nov</t>
  </si>
  <si>
    <t>Dec</t>
  </si>
  <si>
    <t>Maksājumu pieprasījumi</t>
  </si>
  <si>
    <t>x</t>
  </si>
  <si>
    <t xml:space="preserve">Pieejamais finansejums attiecināmajiem izdevumiem </t>
  </si>
  <si>
    <t>ERAF</t>
  </si>
  <si>
    <t>Valsts budžets</t>
  </si>
  <si>
    <t>Pieejamais finansejums attiecināmajiem izdevumiem kopā</t>
  </si>
  <si>
    <t>Attiecināmie izdevumi (ar neatgūstāmo PVN)</t>
  </si>
  <si>
    <t>Līgums 1. Būvdarbi</t>
  </si>
  <si>
    <t>Līgums 2. Būvuzraudzība (Pakalpojumi)</t>
  </si>
  <si>
    <t>Attiecināmie izdevumi kopā</t>
  </si>
  <si>
    <t>Attiecināmo izdevumu bilance</t>
  </si>
  <si>
    <t>Neattiecināmie izdevumi (PVN) - ja ir</t>
  </si>
  <si>
    <t>Pārējie neattiecināmie izdevumi</t>
  </si>
  <si>
    <t>Kopējā BILANCE</t>
  </si>
  <si>
    <t>Papildus finansējums</t>
  </si>
  <si>
    <t>attiec. izdevumu segšanai</t>
  </si>
  <si>
    <t>neattiecināmo izdevumu segšanai</t>
  </si>
  <si>
    <t>Papildus finansējums kopā</t>
  </si>
  <si>
    <t>Papildus finansējuma avoti:</t>
  </si>
  <si>
    <t>Svarīgākie pieņēmumi</t>
  </si>
  <si>
    <t>ERAF līdzekļi</t>
  </si>
  <si>
    <t>Noslēguma maksājums ir minimāli 10%</t>
  </si>
  <si>
    <t>Atmaksu biežums - reizi mēnesī</t>
  </si>
  <si>
    <t>Līgumu idevumu plānošana</t>
  </si>
  <si>
    <t>Plāno provizoriski, ņemot vērā līguma izpildes specifiku. Ievēro, ka ziemā būvdarbu līgumu izpilde būs mazāka</t>
  </si>
  <si>
    <t>Apgrozāmo līdzekļu plānošana</t>
  </si>
  <si>
    <t xml:space="preserve">reālā finansiālā diskonta likme </t>
  </si>
  <si>
    <t>Finansiālā nominālā diskonta likme: 6,83%</t>
  </si>
  <si>
    <t>8.9. pašvaldības dotācija</t>
  </si>
  <si>
    <t>A novada pašvaldība</t>
  </si>
  <si>
    <t>11.3. Ūdensapgādes tarifs (LVL/m3), iesk. PVN 22%</t>
  </si>
  <si>
    <t>11.6. Kanalizācijas tarifs (LVL/m3), iesk. PVN 22%</t>
  </si>
  <si>
    <t>Piezīme: finanšu modelī nav iekļauti pašvaldības vai pašvaldības komercsabiedrības īstermiņa aizņēmumi PVN samaksai (pie nosacījuma, ja aizņēmums ir nepieciešams)</t>
  </si>
  <si>
    <t>Jauno PL nolietojuma apjoms, kas tiks iekļauts tarifā</t>
  </si>
  <si>
    <t>Esošie pamatlīdzekļi ūdensapgādes pakalpojumiem (perioda sākumā)</t>
  </si>
  <si>
    <t>Esošie pamatlīdzekļi kanalizācijas pakalpojumi (perioda sākumā)</t>
  </si>
  <si>
    <t>Esošie pamatlīdzekļi ūdensapgādes pakalpojumiem (perioda beigās)</t>
  </si>
  <si>
    <t>Esošie pamatlīdzekļi kanalizācijas pakalpojumi (perioda beigās)</t>
  </si>
  <si>
    <t>ūdensapgādei pieslēgto iedzīvotāju skaits/kopējo iedz. skaitu (%)</t>
  </si>
  <si>
    <t>kanalizācijai pieslēgto iedzīvotāju skaits/kopējo iedz. skaitu (%)</t>
  </si>
  <si>
    <t>* Avots: Valsts Kase</t>
  </si>
  <si>
    <t>Avansa maksājums ir paredzēts 20%</t>
  </si>
  <si>
    <t>ņemot vērā to, ka atmaksas no VK tiek saņemtas optimistiski pēc 2 mēnešiem, jāplāno finansējums apgrozāmiem līdzekļiem</t>
  </si>
  <si>
    <t>Atmaksa jāplāno minimāli 2 mēnešu laikā</t>
  </si>
  <si>
    <t>Līgums 3 Autoruzraudzība (Pakalpojumi)</t>
  </si>
  <si>
    <t>Līgums 4. TEP/TP sagatavošana</t>
  </si>
  <si>
    <t>2.33. Pamatlīdzekļu atlikusī vērtība</t>
  </si>
  <si>
    <t>Darba algas izmaiņas</t>
  </si>
  <si>
    <t>Finanšu analīzes bāzes gads</t>
  </si>
  <si>
    <t>* avots: makroekonomiskie rādītāji</t>
  </si>
</sst>
</file>

<file path=xl/styles.xml><?xml version="1.0" encoding="utf-8"?>
<styleSheet xmlns="http://schemas.openxmlformats.org/spreadsheetml/2006/main">
  <numFmts count="4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
    <numFmt numFmtId="166" formatCode="#,##0.0"/>
    <numFmt numFmtId="167" formatCode="#,##0\ ;[Red]\-#,##0\ "/>
    <numFmt numFmtId="168" formatCode="0.000%"/>
    <numFmt numFmtId="169" formatCode="0.0"/>
    <numFmt numFmtId="170" formatCode="#,##0.000"/>
    <numFmt numFmtId="171" formatCode="_-[$Ls-426]\ * #,##0.00_-;\-[$Ls-426]\ * #,##0.00_-;_-[$Ls-426]\ * &quot;-&quot;??_-;_-@_-"/>
    <numFmt numFmtId="172" formatCode="0.0000"/>
    <numFmt numFmtId="173" formatCode="0.00000"/>
    <numFmt numFmtId="174" formatCode="0.000000"/>
    <numFmt numFmtId="175" formatCode="0.00000000"/>
    <numFmt numFmtId="176" formatCode="0.000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_ ;\-#,##0\ "/>
    <numFmt numFmtId="185" formatCode="#,##0.00_ ;\-#,##0.00\ "/>
    <numFmt numFmtId="186" formatCode="#,##0_ ;[Red]\-#,##0\ "/>
    <numFmt numFmtId="187" formatCode="#,##0.0_ ;[Red]\-#,##0.0\ "/>
    <numFmt numFmtId="188" formatCode="0.0000000%"/>
    <numFmt numFmtId="189" formatCode="mmm"/>
    <numFmt numFmtId="190" formatCode="#,##0.0000000000000000"/>
    <numFmt numFmtId="191" formatCode="#,##0.00\ &quot;Ls&quot;"/>
    <numFmt numFmtId="192" formatCode="_-* #,##0.000_-;\-* #,##0.000_-;_-* &quot;-&quot;??_-;_-@_-"/>
    <numFmt numFmtId="193" formatCode="#,##0.0000"/>
    <numFmt numFmtId="194" formatCode="#,##0.00000"/>
    <numFmt numFmtId="195" formatCode="_-* #,##0.0000_-;\-* #,##0.0000_-;_-* &quot;-&quot;??_-;_-@_-"/>
  </numFmts>
  <fonts count="72">
    <font>
      <sz val="10"/>
      <name val="Arial"/>
      <family val="2"/>
    </font>
    <font>
      <sz val="11"/>
      <color indexed="8"/>
      <name val="Calibri"/>
      <family val="2"/>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6"/>
      <name val="Times New Roman"/>
      <family val="1"/>
    </font>
    <font>
      <sz val="12"/>
      <color indexed="10"/>
      <name val="Arial"/>
      <family val="2"/>
    </font>
    <font>
      <b/>
      <sz val="10"/>
      <name val="Times New Roman"/>
      <family val="1"/>
    </font>
    <font>
      <b/>
      <sz val="14"/>
      <name val="Times New Roman"/>
      <family val="1"/>
    </font>
    <font>
      <i/>
      <sz val="10"/>
      <name val="Times New Roman"/>
      <family val="1"/>
    </font>
    <font>
      <b/>
      <sz val="8"/>
      <name val="Arial"/>
      <family val="2"/>
    </font>
    <font>
      <b/>
      <sz val="8"/>
      <color indexed="8"/>
      <name val="Times New Roman"/>
      <family val="1"/>
    </font>
    <font>
      <sz val="8"/>
      <color indexed="8"/>
      <name val="Times New Roman"/>
      <family val="1"/>
    </font>
    <font>
      <b/>
      <i/>
      <sz val="10"/>
      <name val="Times New Roman"/>
      <family val="1"/>
    </font>
    <font>
      <b/>
      <sz val="10"/>
      <color indexed="10"/>
      <name val="Times New Roman"/>
      <family val="1"/>
    </font>
    <font>
      <b/>
      <sz val="12"/>
      <name val="Times New Roman"/>
      <family val="1"/>
    </font>
    <font>
      <b/>
      <i/>
      <sz val="10"/>
      <color indexed="12"/>
      <name val="Times New Roman"/>
      <family val="1"/>
    </font>
    <font>
      <sz val="10"/>
      <color indexed="8"/>
      <name val="Times New Roman"/>
      <family val="1"/>
    </font>
    <font>
      <b/>
      <sz val="10"/>
      <color indexed="8"/>
      <name val="Times New Roman"/>
      <family val="1"/>
    </font>
    <font>
      <sz val="8"/>
      <color indexed="8"/>
      <name val="Arial"/>
      <family val="2"/>
    </font>
    <font>
      <sz val="8"/>
      <color indexed="10"/>
      <name val="Arial"/>
      <family val="2"/>
    </font>
    <font>
      <sz val="9"/>
      <name val="Arial"/>
      <family val="2"/>
    </font>
    <font>
      <sz val="9"/>
      <name val="Times New Roman"/>
      <family val="1"/>
    </font>
    <font>
      <sz val="10"/>
      <color indexed="12"/>
      <name val="Times New Roman"/>
      <family val="1"/>
    </font>
    <font>
      <b/>
      <sz val="8"/>
      <name val="Times New Roman"/>
      <family val="1"/>
    </font>
    <font>
      <sz val="8"/>
      <name val="Times New Roman"/>
      <family val="1"/>
    </font>
    <font>
      <b/>
      <sz val="10"/>
      <color indexed="20"/>
      <name val="Times New Roman"/>
      <family val="1"/>
    </font>
    <font>
      <b/>
      <sz val="10"/>
      <color indexed="12"/>
      <name val="Times New Roman"/>
      <family val="1"/>
    </font>
    <font>
      <sz val="10"/>
      <color indexed="20"/>
      <name val="Times New Roman"/>
      <family val="1"/>
    </font>
    <font>
      <b/>
      <sz val="12"/>
      <color indexed="12"/>
      <name val="Times New Roman"/>
      <family val="1"/>
    </font>
    <font>
      <b/>
      <sz val="12"/>
      <color indexed="20"/>
      <name val="Times New Roman"/>
      <family val="1"/>
    </font>
    <font>
      <sz val="11"/>
      <name val="Garamond"/>
      <family val="1"/>
    </font>
    <font>
      <b/>
      <sz val="11"/>
      <name val="Garamond"/>
      <family val="1"/>
    </font>
    <font>
      <b/>
      <sz val="8"/>
      <name val="Tahoma"/>
      <family val="2"/>
    </font>
    <font>
      <sz val="8"/>
      <name val="Tahoma"/>
      <family val="2"/>
    </font>
    <font>
      <sz val="12"/>
      <name val="Times New Roman"/>
      <family val="1"/>
    </font>
    <font>
      <b/>
      <sz val="12"/>
      <color indexed="8"/>
      <name val="Times New Roman"/>
      <family val="1"/>
    </font>
    <font>
      <sz val="20"/>
      <name val="Times New Roman"/>
      <family val="1"/>
    </font>
    <font>
      <sz val="14"/>
      <name val="Times New Roman"/>
      <family val="1"/>
    </font>
    <font>
      <sz val="10"/>
      <color indexed="16"/>
      <name val="Times New Roman"/>
      <family val="1"/>
    </font>
    <font>
      <sz val="10"/>
      <color indexed="48"/>
      <name val="Times New Roman"/>
      <family val="1"/>
    </font>
    <font>
      <i/>
      <sz val="10"/>
      <color indexed="20"/>
      <name val="Times New Roman"/>
      <family val="1"/>
    </font>
    <font>
      <b/>
      <i/>
      <sz val="10"/>
      <color indexed="20"/>
      <name val="Times New Roman"/>
      <family val="1"/>
    </font>
    <font>
      <sz val="10"/>
      <name val="Helv"/>
      <family val="0"/>
    </font>
    <font>
      <i/>
      <sz val="12"/>
      <name val="Times New Roman"/>
      <family val="1"/>
    </font>
    <font>
      <sz val="11"/>
      <color indexed="9"/>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u val="single"/>
      <sz val="12"/>
      <color indexed="12"/>
      <name val="Arial"/>
      <family val="2"/>
    </font>
    <font>
      <sz val="11"/>
      <color indexed="62"/>
      <name val="Calibri"/>
      <family val="2"/>
    </font>
    <font>
      <sz val="11"/>
      <color indexed="10"/>
      <name val="Calibri"/>
      <family val="2"/>
    </font>
    <font>
      <b/>
      <sz val="11"/>
      <color indexed="8"/>
      <name val="Garamond"/>
      <family val="1"/>
    </font>
    <font>
      <sz val="11"/>
      <color indexed="8"/>
      <name val="Garamond"/>
      <family val="1"/>
    </font>
    <font>
      <b/>
      <sz val="8"/>
      <color indexed="10"/>
      <name val="Arial"/>
      <family val="2"/>
    </font>
    <font>
      <sz val="10"/>
      <color indexed="10"/>
      <name val="Times New Roman"/>
      <family val="1"/>
    </font>
    <font>
      <i/>
      <sz val="10"/>
      <color indexed="10"/>
      <name val="Times New Roman"/>
      <family val="1"/>
    </font>
    <font>
      <b/>
      <sz val="12"/>
      <name val="Arial"/>
      <family val="0"/>
    </font>
    <font>
      <sz val="10.5"/>
      <name val="Arial"/>
      <family val="0"/>
    </font>
    <font>
      <b/>
      <sz val="10.5"/>
      <name val="Arial"/>
      <family val="0"/>
    </font>
    <font>
      <sz val="8.75"/>
      <name val="Arial"/>
      <family val="0"/>
    </font>
  </fonts>
  <fills count="3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60"/>
        <bgColor indexed="64"/>
      </patternFill>
    </fill>
    <fill>
      <patternFill patternType="solid">
        <fgColor indexed="49"/>
        <bgColor indexed="64"/>
      </patternFill>
    </fill>
    <fill>
      <patternFill patternType="solid">
        <fgColor indexed="40"/>
        <bgColor indexed="64"/>
      </patternFill>
    </fill>
    <fill>
      <patternFill patternType="solid">
        <fgColor indexed="60"/>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color indexed="17"/>
      </left>
      <right style="thin">
        <color indexed="17"/>
      </right>
      <top style="thin">
        <color indexed="17"/>
      </top>
      <bottom style="thin">
        <color indexed="17"/>
      </bottom>
    </border>
    <border>
      <left/>
      <right/>
      <top style="thin">
        <color indexed="62"/>
      </top>
      <bottom style="double">
        <color indexed="62"/>
      </bottom>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top/>
      <bottom style="thin">
        <color indexed="59"/>
      </bottom>
    </border>
    <border>
      <left style="thin">
        <color indexed="59"/>
      </left>
      <right style="thin">
        <color indexed="59"/>
      </right>
      <top style="thin">
        <color indexed="59"/>
      </top>
      <bottom style="thin">
        <color indexed="59"/>
      </bottom>
    </border>
    <border>
      <left style="thin">
        <color indexed="59"/>
      </left>
      <right/>
      <top style="thin">
        <color indexed="59"/>
      </top>
      <bottom/>
    </border>
    <border>
      <left/>
      <right/>
      <top/>
      <bottom style="thin">
        <color indexed="59"/>
      </bottom>
    </border>
    <border>
      <left style="thin">
        <color indexed="59"/>
      </left>
      <right style="thin">
        <color indexed="59"/>
      </right>
      <top/>
      <bottom style="thin">
        <color indexed="59"/>
      </bottom>
    </border>
    <border>
      <left style="thin">
        <color indexed="59"/>
      </left>
      <right style="thin">
        <color indexed="59"/>
      </right>
      <top/>
      <bottom/>
    </border>
    <border>
      <left style="medium">
        <color indexed="59"/>
      </left>
      <right/>
      <top style="medium">
        <color indexed="59"/>
      </top>
      <bottom style="medium">
        <color indexed="59"/>
      </bottom>
    </border>
    <border>
      <left/>
      <right style="thin">
        <color indexed="59"/>
      </right>
      <top style="thin">
        <color indexed="59"/>
      </top>
      <bottom/>
    </border>
    <border>
      <left style="medium">
        <color indexed="59"/>
      </left>
      <right style="medium">
        <color indexed="59"/>
      </right>
      <top style="medium">
        <color indexed="59"/>
      </top>
      <bottom style="medium">
        <color indexed="59"/>
      </bottom>
    </border>
    <border>
      <left style="medium">
        <color indexed="59"/>
      </left>
      <right style="thin">
        <color indexed="59"/>
      </right>
      <top style="medium">
        <color indexed="59"/>
      </top>
      <bottom style="medium">
        <color indexed="59"/>
      </bottom>
    </border>
    <border>
      <left style="thin"/>
      <right style="thin"/>
      <top style="thin"/>
      <bottom style="thin"/>
    </border>
    <border>
      <left style="thin"/>
      <right>
        <color indexed="63"/>
      </right>
      <top style="thin"/>
      <bottom style="thin"/>
    </border>
    <border>
      <left/>
      <right/>
      <top style="thin">
        <color indexed="59"/>
      </top>
      <bottom/>
    </border>
    <border>
      <left style="thin">
        <color indexed="59"/>
      </left>
      <right style="thin">
        <color indexed="59"/>
      </right>
      <top style="thin">
        <color indexed="59"/>
      </top>
      <bottom/>
    </border>
    <border>
      <left/>
      <right style="thin">
        <color indexed="59"/>
      </right>
      <top/>
      <bottom/>
    </border>
    <border>
      <left style="thin">
        <color indexed="59"/>
      </left>
      <right style="medium">
        <color indexed="59"/>
      </right>
      <top style="medium">
        <color indexed="59"/>
      </top>
      <bottom style="medium">
        <color indexed="59"/>
      </bottom>
    </border>
    <border>
      <left style="thin">
        <color indexed="59"/>
      </left>
      <right/>
      <top/>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right style="thin">
        <color indexed="23"/>
      </right>
      <top style="thin">
        <color indexed="23"/>
      </top>
      <bottom style="thin">
        <color indexed="23"/>
      </bottom>
    </border>
    <border>
      <left style="thin"/>
      <right style="thin"/>
      <top style="thin"/>
      <bottom>
        <color indexed="63"/>
      </bottom>
    </border>
    <border>
      <left/>
      <right style="thin">
        <color indexed="59"/>
      </right>
      <top/>
      <bottom style="thin">
        <color indexed="59"/>
      </bottom>
    </border>
    <border>
      <left>
        <color indexed="63"/>
      </left>
      <right style="thin"/>
      <top style="thin"/>
      <bottom style="thin"/>
    </border>
    <border>
      <left>
        <color indexed="63"/>
      </left>
      <right>
        <color indexed="63"/>
      </right>
      <top style="thin">
        <color indexed="23"/>
      </top>
      <bottom style="thin">
        <color indexed="23"/>
      </bottom>
    </border>
    <border>
      <left style="hair">
        <color indexed="8"/>
      </left>
      <right style="hair">
        <color indexed="8"/>
      </right>
      <top>
        <color indexed="63"/>
      </top>
      <bottom style="hair">
        <color indexed="8"/>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double"/>
      <top style="thin"/>
      <bottom style="thin"/>
    </border>
    <border>
      <left style="double"/>
      <right style="thin"/>
      <top style="thin"/>
      <bottom style="thin"/>
    </border>
    <border>
      <left style="thin"/>
      <right style="double"/>
      <top style="thin"/>
      <bottom style="thin"/>
    </border>
    <border>
      <left style="medium"/>
      <right style="medium"/>
      <top style="thin"/>
      <bottom style="thin"/>
    </border>
    <border>
      <left>
        <color indexed="63"/>
      </left>
      <right style="double"/>
      <top style="thin"/>
      <bottom style="hair"/>
    </border>
    <border>
      <left style="double"/>
      <right style="thin"/>
      <top style="thin"/>
      <bottom style="hair"/>
    </border>
    <border>
      <left style="thin"/>
      <right style="double"/>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color indexed="63"/>
      </left>
      <right style="thin"/>
      <top style="thin"/>
      <bottom style="hair"/>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double"/>
      <right style="thin"/>
      <top style="hair"/>
      <bottom style="thin"/>
    </border>
    <border>
      <left style="double"/>
      <right style="thin"/>
      <top>
        <color indexed="63"/>
      </top>
      <bottom style="medium"/>
    </border>
    <border>
      <left style="thin"/>
      <right style="double"/>
      <top>
        <color indexed="63"/>
      </top>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style="medium"/>
      <bottom style="thin"/>
    </border>
    <border>
      <left style="double"/>
      <right style="thin"/>
      <top style="medium"/>
      <bottom style="medium"/>
    </border>
    <border>
      <left style="thin"/>
      <right style="double"/>
      <top style="medium"/>
      <bottom style="medium"/>
    </border>
    <border>
      <left>
        <color indexed="63"/>
      </left>
      <right style="double"/>
      <top style="medium"/>
      <bottom style="medium"/>
    </border>
    <border>
      <left style="medium"/>
      <right style="thin"/>
      <top style="medium"/>
      <bottom style="thin"/>
    </border>
    <border>
      <left>
        <color indexed="63"/>
      </left>
      <right>
        <color indexed="63"/>
      </right>
      <top style="thin"/>
      <bottom style="thin"/>
    </border>
    <border>
      <left style="double"/>
      <right style="thin"/>
      <top style="medium"/>
      <bottom>
        <color indexed="63"/>
      </bottom>
    </border>
    <border>
      <left style="thin"/>
      <right style="double"/>
      <top style="medium"/>
      <bottom style="thin"/>
    </border>
    <border>
      <left>
        <color indexed="63"/>
      </left>
      <right style="double"/>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double"/>
      <top style="thin"/>
      <bottom style="medium"/>
    </border>
    <border>
      <left>
        <color indexed="63"/>
      </left>
      <right>
        <color indexed="63"/>
      </right>
      <top style="medium"/>
      <bottom style="thin"/>
    </border>
    <border>
      <left>
        <color indexed="63"/>
      </left>
      <right style="double"/>
      <top style="thin"/>
      <bottom style="medium"/>
    </border>
    <border>
      <left style="double"/>
      <right>
        <color indexed="63"/>
      </right>
      <top style="medium"/>
      <bottom style="medium"/>
    </border>
    <border>
      <left>
        <color indexed="63"/>
      </left>
      <right>
        <color indexed="63"/>
      </right>
      <top style="double"/>
      <bottom style="double"/>
    </border>
    <border>
      <left style="thin"/>
      <right style="double"/>
      <top style="double"/>
      <bottom style="thin"/>
    </border>
    <border>
      <left style="thin">
        <color indexed="59"/>
      </left>
      <right>
        <color indexed="63"/>
      </right>
      <top style="thin">
        <color indexed="59"/>
      </top>
      <bottom style="thin">
        <color indexed="59"/>
      </bottom>
    </border>
    <border>
      <left style="thin">
        <color indexed="59"/>
      </left>
      <right>
        <color indexed="63"/>
      </right>
      <top style="thin">
        <color indexed="59"/>
      </top>
      <bottom/>
    </border>
    <border>
      <left style="thin">
        <color indexed="59"/>
      </left>
      <right style="thin">
        <color indexed="59"/>
      </right>
      <top>
        <color indexed="63"/>
      </top>
      <bottom style="thin">
        <color indexed="59"/>
      </bottom>
    </border>
    <border>
      <left style="double"/>
      <right style="thin"/>
      <top style="double"/>
      <bottom>
        <color indexed="63"/>
      </bottom>
    </border>
    <border>
      <left>
        <color indexed="63"/>
      </left>
      <right style="double"/>
      <top style="double"/>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thin"/>
      <right style="double"/>
      <top style="double"/>
      <bottom>
        <color indexed="63"/>
      </bottom>
    </border>
    <border>
      <left style="double"/>
      <right>
        <color indexed="63"/>
      </right>
      <top style="thin"/>
      <bottom style="thin"/>
    </border>
  </borders>
  <cellStyleXfs count="9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5" fillId="10"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0" borderId="0" applyNumberFormat="0" applyBorder="0" applyAlignment="0" applyProtection="0"/>
    <xf numFmtId="0" fontId="55" fillId="14" borderId="0" applyNumberFormat="0" applyBorder="0" applyAlignment="0" applyProtection="0"/>
    <xf numFmtId="0" fontId="3" fillId="15" borderId="0" applyNumberFormat="0" applyBorder="0" applyProtection="0">
      <alignment vertical="top" wrapText="1"/>
    </xf>
    <xf numFmtId="0" fontId="4" fillId="16" borderId="1" applyNumberFormat="0" applyProtection="0">
      <alignment vertical="top" wrapText="1"/>
    </xf>
    <xf numFmtId="0" fontId="5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18" borderId="0" applyNumberFormat="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0" fillId="0" borderId="0" applyNumberFormat="0" applyBorder="0" applyProtection="0">
      <alignment horizontal="left" vertical="top"/>
    </xf>
    <xf numFmtId="0" fontId="0" fillId="0" borderId="0" applyNumberFormat="0" applyBorder="0" applyProtection="0">
      <alignment horizontal="right" vertical="top"/>
    </xf>
    <xf numFmtId="0" fontId="0" fillId="0" borderId="0" applyNumberFormat="0" applyBorder="0" applyProtection="0">
      <alignment horizontal="left" vertical="top"/>
    </xf>
    <xf numFmtId="0" fontId="0" fillId="0" borderId="0" applyNumberFormat="0" applyBorder="0" applyProtection="0">
      <alignment horizontal="left" vertical="top"/>
    </xf>
    <xf numFmtId="0" fontId="0" fillId="0" borderId="0" applyNumberFormat="0" applyBorder="0" applyProtection="0">
      <alignment horizontal="left" vertical="top"/>
    </xf>
    <xf numFmtId="0" fontId="60" fillId="0" borderId="0" applyNumberFormat="0" applyFill="0" applyBorder="0" applyAlignment="0" applyProtection="0"/>
    <xf numFmtId="0" fontId="61" fillId="3" borderId="1" applyNumberFormat="0" applyAlignment="0" applyProtection="0"/>
    <xf numFmtId="0" fontId="4" fillId="0" borderId="3" applyNumberFormat="0" applyFill="0" applyAlignment="0" applyProtection="0"/>
    <xf numFmtId="0" fontId="9" fillId="19" borderId="0" applyNumberFormat="0" applyBorder="0" applyProtection="0">
      <alignment vertical="top" wrapText="1"/>
    </xf>
    <xf numFmtId="0" fontId="1" fillId="0" borderId="0">
      <alignment/>
      <protection/>
    </xf>
    <xf numFmtId="0" fontId="10" fillId="0" borderId="0">
      <alignment/>
      <protection/>
    </xf>
    <xf numFmtId="0" fontId="0" fillId="0" borderId="0">
      <alignment/>
      <protection/>
    </xf>
    <xf numFmtId="0" fontId="53" fillId="0" borderId="0">
      <alignment/>
      <protection/>
    </xf>
    <xf numFmtId="0" fontId="0" fillId="0" borderId="0" applyNumberFormat="0" applyProtection="0">
      <alignment vertical="top"/>
    </xf>
    <xf numFmtId="0" fontId="11" fillId="16" borderId="4" applyNumberFormat="0" applyProtection="0">
      <alignment vertical="top" wrapText="1"/>
    </xf>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0" fillId="16" borderId="5" applyNumberFormat="0" applyProtection="0">
      <alignment horizontal="left" vertical="top" wrapText="1"/>
    </xf>
    <xf numFmtId="0" fontId="0" fillId="16"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left" vertical="top" wrapText="1"/>
    </xf>
    <xf numFmtId="0" fontId="0" fillId="20" borderId="5" applyNumberFormat="0" applyProtection="0">
      <alignment horizontal="center" vertical="top" wrapText="1"/>
    </xf>
    <xf numFmtId="0" fontId="0" fillId="19" borderId="5" applyNumberFormat="0" applyProtection="0">
      <alignment horizontal="center" vertical="top" wrapText="1"/>
    </xf>
    <xf numFmtId="0" fontId="0" fillId="21" borderId="5" applyNumberFormat="0" applyProtection="0">
      <alignment horizontal="center" vertical="top" wrapText="1"/>
    </xf>
    <xf numFmtId="0" fontId="0" fillId="0" borderId="5" applyNumberFormat="0" applyProtection="0">
      <alignment horizontal="left" vertical="top" wrapText="1"/>
    </xf>
    <xf numFmtId="0" fontId="0" fillId="0" borderId="5" applyNumberFormat="0" applyProtection="0">
      <alignment horizontal="left" vertical="top" wrapText="1"/>
    </xf>
    <xf numFmtId="0" fontId="0" fillId="21" borderId="5" applyNumberFormat="0" applyProtection="0">
      <alignment horizontal="left" vertical="top" wrapText="1"/>
    </xf>
    <xf numFmtId="0" fontId="0" fillId="22" borderId="6" applyNumberFormat="0" applyProtection="0">
      <alignment horizontal="left" vertical="top" wrapText="1"/>
    </xf>
    <xf numFmtId="0" fontId="0" fillId="22" borderId="6" applyNumberFormat="0" applyProtection="0">
      <alignment horizontal="left" vertical="top" wrapText="1"/>
    </xf>
    <xf numFmtId="0" fontId="0" fillId="21" borderId="6" applyNumberFormat="0" applyProtection="0">
      <alignment horizontal="center" vertical="top" wrapText="1"/>
    </xf>
    <xf numFmtId="0" fontId="12" fillId="0" borderId="0" applyNumberFormat="0" applyBorder="0" applyProtection="0">
      <alignment vertical="top" wrapText="1"/>
    </xf>
    <xf numFmtId="0" fontId="13" fillId="0" borderId="7" applyNumberFormat="0" applyProtection="0">
      <alignment vertical="top" wrapText="1"/>
    </xf>
    <xf numFmtId="0" fontId="0" fillId="21" borderId="6" applyNumberFormat="0" applyProtection="0">
      <alignment horizontal="left" vertical="top" wrapText="1"/>
    </xf>
    <xf numFmtId="0" fontId="62" fillId="0" borderId="0" applyNumberFormat="0" applyFill="0" applyBorder="0" applyAlignment="0" applyProtection="0"/>
  </cellStyleXfs>
  <cellXfs count="1037">
    <xf numFmtId="0" fontId="2"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66" applyFont="1">
      <alignment vertical="top"/>
    </xf>
    <xf numFmtId="0" fontId="17" fillId="0" borderId="0" xfId="0" applyFont="1" applyFill="1" applyBorder="1" applyAlignment="1" applyProtection="1">
      <alignment vertical="top" wrapText="1"/>
      <protection locked="0"/>
    </xf>
    <xf numFmtId="3" fontId="14" fillId="0" borderId="0" xfId="0" applyNumberFormat="1" applyFont="1" applyFill="1" applyBorder="1" applyAlignment="1" applyProtection="1">
      <alignment/>
      <protection locked="0"/>
    </xf>
    <xf numFmtId="0" fontId="14" fillId="0" borderId="0" xfId="0" applyFont="1" applyFill="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0" xfId="0" applyFont="1" applyAlignment="1" applyProtection="1">
      <alignment vertical="top" wrapText="1"/>
      <protection locked="0"/>
    </xf>
    <xf numFmtId="3" fontId="14" fillId="0" borderId="0" xfId="0" applyNumberFormat="1" applyFont="1" applyFill="1" applyBorder="1" applyAlignment="1" applyProtection="1">
      <alignment horizontal="center"/>
      <protection locked="0"/>
    </xf>
    <xf numFmtId="0" fontId="17" fillId="0" borderId="0" xfId="0" applyFont="1" applyAlignment="1" applyProtection="1">
      <alignment vertical="top" wrapText="1"/>
      <protection locked="0"/>
    </xf>
    <xf numFmtId="0" fontId="14" fillId="16" borderId="0" xfId="0" applyFont="1" applyFill="1" applyAlignment="1" applyProtection="1">
      <alignment vertical="top" wrapText="1"/>
      <protection/>
    </xf>
    <xf numFmtId="0" fontId="18" fillId="22" borderId="8" xfId="0" applyFont="1" applyFill="1" applyBorder="1" applyAlignment="1" applyProtection="1">
      <alignment vertical="top" wrapText="1"/>
      <protection locked="0"/>
    </xf>
    <xf numFmtId="0" fontId="18" fillId="22" borderId="9" xfId="0" applyFont="1" applyFill="1" applyBorder="1" applyAlignment="1" applyProtection="1">
      <alignment vertical="top" wrapText="1"/>
      <protection locked="0"/>
    </xf>
    <xf numFmtId="0" fontId="18" fillId="22" borderId="10"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14" fillId="0" borderId="10" xfId="0" applyFont="1" applyBorder="1" applyAlignment="1" applyProtection="1">
      <alignment vertical="top" wrapText="1"/>
      <protection locked="0"/>
    </xf>
    <xf numFmtId="0" fontId="19" fillId="0" borderId="11" xfId="0" applyFont="1" applyBorder="1" applyAlignment="1" applyProtection="1">
      <alignment/>
      <protection locked="0"/>
    </xf>
    <xf numFmtId="0" fontId="14" fillId="0" borderId="12" xfId="0" applyFont="1" applyBorder="1" applyAlignment="1" applyProtection="1">
      <alignment vertical="top" wrapText="1"/>
      <protection locked="0"/>
    </xf>
    <xf numFmtId="14" fontId="14" fillId="0" borderId="0" xfId="0" applyNumberFormat="1" applyFont="1" applyAlignment="1" applyProtection="1">
      <alignment vertical="top" wrapText="1"/>
      <protection locked="0"/>
    </xf>
    <xf numFmtId="0" fontId="14" fillId="0" borderId="13" xfId="0" applyFont="1" applyBorder="1" applyAlignment="1" applyProtection="1">
      <alignment vertical="top" wrapText="1"/>
      <protection locked="0"/>
    </xf>
    <xf numFmtId="0" fontId="7" fillId="0" borderId="8" xfId="0" applyFont="1" applyFill="1" applyBorder="1" applyAlignment="1" applyProtection="1">
      <alignment/>
      <protection locked="0"/>
    </xf>
    <xf numFmtId="0" fontId="2" fillId="0" borderId="0" xfId="66" applyFont="1" applyProtection="1">
      <alignment vertical="top"/>
      <protection locked="0"/>
    </xf>
    <xf numFmtId="10" fontId="14"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0" fontId="14" fillId="0" borderId="8" xfId="0" applyFont="1" applyBorder="1" applyAlignment="1" applyProtection="1">
      <alignment vertical="top" wrapText="1"/>
      <protection locked="0"/>
    </xf>
    <xf numFmtId="0" fontId="7" fillId="0" borderId="8" xfId="0" applyFont="1" applyFill="1" applyBorder="1" applyAlignment="1" applyProtection="1">
      <alignment vertical="center" wrapText="1"/>
      <protection locked="0"/>
    </xf>
    <xf numFmtId="0" fontId="14" fillId="0" borderId="12"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14" fillId="22" borderId="0" xfId="0" applyFont="1" applyFill="1" applyBorder="1" applyAlignment="1" applyProtection="1">
      <alignment/>
      <protection locked="0"/>
    </xf>
    <xf numFmtId="0" fontId="23" fillId="0" borderId="12" xfId="0" applyFont="1" applyBorder="1" applyAlignment="1" applyProtection="1">
      <alignment wrapText="1"/>
      <protection/>
    </xf>
    <xf numFmtId="3" fontId="24" fillId="0" borderId="0" xfId="0" applyNumberFormat="1" applyFont="1" applyFill="1" applyBorder="1" applyAlignment="1" applyProtection="1">
      <alignment wrapText="1"/>
      <protection/>
    </xf>
    <xf numFmtId="3" fontId="24" fillId="0" borderId="0" xfId="0" applyNumberFormat="1" applyFont="1" applyBorder="1" applyAlignment="1" applyProtection="1">
      <alignment wrapText="1"/>
      <protection/>
    </xf>
    <xf numFmtId="3" fontId="14" fillId="0" borderId="0" xfId="0" applyNumberFormat="1" applyFont="1" applyBorder="1" applyAlignment="1" applyProtection="1">
      <alignment horizontal="center"/>
      <protection locked="0"/>
    </xf>
    <xf numFmtId="3" fontId="14" fillId="0" borderId="0" xfId="66" applyNumberFormat="1" applyFont="1" applyAlignment="1" applyProtection="1">
      <alignment horizontal="right"/>
      <protection locked="0"/>
    </xf>
    <xf numFmtId="0" fontId="25" fillId="0" borderId="11" xfId="0" applyFont="1" applyFill="1" applyBorder="1" applyAlignment="1" applyProtection="1">
      <alignment vertical="top" wrapText="1"/>
      <protection locked="0"/>
    </xf>
    <xf numFmtId="0" fontId="17" fillId="0" borderId="14" xfId="0" applyFont="1" applyFill="1" applyBorder="1" applyAlignment="1" applyProtection="1">
      <alignment vertical="top" wrapText="1"/>
      <protection locked="0"/>
    </xf>
    <xf numFmtId="0" fontId="17" fillId="16" borderId="12" xfId="40" applyNumberFormat="1" applyFont="1" applyBorder="1" applyAlignment="1" applyProtection="1">
      <alignment horizontal="center"/>
      <protection/>
    </xf>
    <xf numFmtId="0" fontId="7" fillId="0" borderId="15" xfId="0" applyFont="1" applyBorder="1" applyAlignment="1" applyProtection="1">
      <alignment vertical="top" wrapText="1"/>
      <protection locked="0"/>
    </xf>
    <xf numFmtId="0" fontId="17" fillId="0" borderId="15" xfId="0" applyFont="1" applyFill="1" applyBorder="1" applyAlignment="1" applyProtection="1">
      <alignment horizontal="center"/>
      <protection locked="0"/>
    </xf>
    <xf numFmtId="0" fontId="26" fillId="0" borderId="15" xfId="0" applyFont="1" applyBorder="1" applyAlignment="1" applyProtection="1">
      <alignment wrapText="1"/>
      <protection locked="0"/>
    </xf>
    <xf numFmtId="0" fontId="17" fillId="0" borderId="15" xfId="0" applyFont="1" applyFill="1" applyBorder="1" applyAlignment="1" applyProtection="1">
      <alignment horizontal="center" wrapText="1"/>
      <protection locked="0"/>
    </xf>
    <xf numFmtId="0" fontId="14" fillId="0" borderId="0" xfId="0" applyFont="1" applyAlignment="1" applyProtection="1">
      <alignment wrapText="1"/>
      <protection locked="0"/>
    </xf>
    <xf numFmtId="3" fontId="14" fillId="0" borderId="15" xfId="0" applyNumberFormat="1" applyFont="1" applyFill="1" applyBorder="1" applyAlignment="1" applyProtection="1">
      <alignment horizontal="right" wrapText="1"/>
      <protection locked="0"/>
    </xf>
    <xf numFmtId="0" fontId="7" fillId="0" borderId="10" xfId="0" applyFont="1" applyBorder="1" applyAlignment="1" applyProtection="1">
      <alignment vertical="top" wrapText="1"/>
      <protection locked="0"/>
    </xf>
    <xf numFmtId="0" fontId="23" fillId="0" borderId="12" xfId="0" applyFont="1" applyFill="1" applyBorder="1" applyAlignment="1" applyProtection="1">
      <alignment vertical="top" wrapText="1"/>
      <protection locked="0"/>
    </xf>
    <xf numFmtId="3" fontId="14" fillId="19" borderId="12" xfId="0" applyNumberFormat="1" applyFont="1" applyFill="1" applyBorder="1" applyAlignment="1" applyProtection="1">
      <alignment horizontal="right"/>
      <protection locked="0"/>
    </xf>
    <xf numFmtId="0" fontId="14" fillId="0" borderId="12" xfId="0" applyFont="1" applyBorder="1" applyAlignment="1" applyProtection="1">
      <alignment horizontal="right"/>
      <protection locked="0"/>
    </xf>
    <xf numFmtId="3" fontId="14" fillId="16" borderId="1" xfId="40" applyNumberFormat="1" applyFont="1" applyAlignment="1" applyProtection="1">
      <alignment horizontal="right"/>
      <protection/>
    </xf>
    <xf numFmtId="0" fontId="23" fillId="0" borderId="12" xfId="0" applyFont="1" applyBorder="1" applyAlignment="1" applyProtection="1">
      <alignment vertical="top" wrapText="1"/>
      <protection locked="0"/>
    </xf>
    <xf numFmtId="0" fontId="19" fillId="0" borderId="12" xfId="0" applyFont="1" applyBorder="1" applyAlignment="1" applyProtection="1">
      <alignment horizontal="right"/>
      <protection locked="0"/>
    </xf>
    <xf numFmtId="0" fontId="25" fillId="0" borderId="14" xfId="0" applyFont="1" applyBorder="1" applyAlignment="1" applyProtection="1">
      <alignment vertical="top" wrapText="1"/>
      <protection locked="0"/>
    </xf>
    <xf numFmtId="0" fontId="2" fillId="0" borderId="14" xfId="0" applyFont="1" applyBorder="1" applyAlignment="1">
      <alignment vertical="top" wrapText="1"/>
    </xf>
    <xf numFmtId="0" fontId="7" fillId="0" borderId="12" xfId="0" applyFont="1" applyBorder="1" applyAlignment="1" applyProtection="1">
      <alignment vertical="top" wrapText="1"/>
      <protection locked="0"/>
    </xf>
    <xf numFmtId="0" fontId="14" fillId="0" borderId="12" xfId="0" applyFont="1" applyBorder="1" applyAlignment="1">
      <alignment vertical="top" wrapText="1"/>
    </xf>
    <xf numFmtId="0" fontId="17" fillId="16" borderId="1" xfId="40" applyNumberFormat="1" applyFont="1" applyAlignment="1" applyProtection="1">
      <alignment horizontal="center"/>
      <protection/>
    </xf>
    <xf numFmtId="0" fontId="25" fillId="0" borderId="8" xfId="0" applyFont="1" applyFill="1" applyBorder="1" applyAlignment="1" applyProtection="1">
      <alignment vertical="top" wrapText="1"/>
      <protection locked="0"/>
    </xf>
    <xf numFmtId="0" fontId="14" fillId="0" borderId="9" xfId="0" applyFont="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3" fontId="14" fillId="19" borderId="12" xfId="0" applyNumberFormat="1" applyFont="1" applyFill="1" applyBorder="1" applyAlignment="1" applyProtection="1">
      <alignment vertical="top" wrapText="1"/>
      <protection locked="0"/>
    </xf>
    <xf numFmtId="3" fontId="14" fillId="0" borderId="0" xfId="0" applyNumberFormat="1" applyFont="1" applyAlignment="1" applyProtection="1">
      <alignment vertical="top" wrapText="1"/>
      <protection locked="0"/>
    </xf>
    <xf numFmtId="4" fontId="14" fillId="0" borderId="12" xfId="0" applyNumberFormat="1" applyFont="1" applyBorder="1" applyAlignment="1" applyProtection="1">
      <alignment horizontal="right"/>
      <protection/>
    </xf>
    <xf numFmtId="4" fontId="14" fillId="16" borderId="1" xfId="40" applyNumberFormat="1" applyFont="1" applyAlignment="1" applyProtection="1">
      <alignment horizontal="right"/>
      <protection/>
    </xf>
    <xf numFmtId="0" fontId="17" fillId="0" borderId="12" xfId="0" applyFont="1" applyBorder="1" applyAlignment="1" applyProtection="1">
      <alignment vertical="top" wrapText="1"/>
      <protection locked="0"/>
    </xf>
    <xf numFmtId="4" fontId="14" fillId="0" borderId="12" xfId="0" applyNumberFormat="1" applyFont="1" applyBorder="1" applyAlignment="1" applyProtection="1">
      <alignment horizontal="right"/>
      <protection locked="0"/>
    </xf>
    <xf numFmtId="0" fontId="14" fillId="19" borderId="12" xfId="0" applyFont="1" applyFill="1" applyBorder="1" applyAlignment="1" applyProtection="1">
      <alignment vertical="top" wrapText="1"/>
      <protection locked="0"/>
    </xf>
    <xf numFmtId="0" fontId="17" fillId="0" borderId="16" xfId="0" applyFont="1" applyFill="1" applyBorder="1" applyAlignment="1" applyProtection="1">
      <alignment vertical="top" wrapText="1"/>
      <protection locked="0"/>
    </xf>
    <xf numFmtId="4" fontId="14" fillId="19" borderId="12" xfId="0" applyNumberFormat="1" applyFont="1" applyFill="1" applyBorder="1" applyAlignment="1" applyProtection="1">
      <alignment horizontal="right"/>
      <protection locked="0"/>
    </xf>
    <xf numFmtId="4" fontId="14" fillId="19" borderId="12" xfId="0" applyNumberFormat="1" applyFont="1" applyFill="1" applyBorder="1" applyAlignment="1" applyProtection="1">
      <alignment horizontal="left"/>
      <protection locked="0"/>
    </xf>
    <xf numFmtId="0" fontId="14" fillId="22" borderId="17" xfId="0" applyFont="1" applyFill="1" applyBorder="1" applyAlignment="1" applyProtection="1">
      <alignment/>
      <protection locked="0"/>
    </xf>
    <xf numFmtId="0" fontId="14" fillId="22" borderId="0" xfId="0" applyFont="1" applyFill="1" applyBorder="1" applyAlignment="1" applyProtection="1">
      <alignment vertical="top" wrapText="1"/>
      <protection/>
    </xf>
    <xf numFmtId="0" fontId="14" fillId="22" borderId="18" xfId="0" applyFont="1" applyFill="1" applyBorder="1" applyAlignment="1" applyProtection="1">
      <alignment/>
      <protection locked="0"/>
    </xf>
    <xf numFmtId="0" fontId="20" fillId="0" borderId="0" xfId="66" applyFont="1">
      <alignment vertical="top"/>
    </xf>
    <xf numFmtId="0" fontId="14" fillId="0" borderId="19" xfId="0" applyFont="1" applyFill="1" applyBorder="1" applyAlignment="1" applyProtection="1">
      <alignment vertical="top" wrapText="1"/>
      <protection locked="0"/>
    </xf>
    <xf numFmtId="0" fontId="24" fillId="16" borderId="0" xfId="0" applyFont="1" applyFill="1" applyAlignment="1">
      <alignment horizontal="center" vertical="top" wrapText="1"/>
    </xf>
    <xf numFmtId="164" fontId="14" fillId="22" borderId="0" xfId="0" applyNumberFormat="1" applyFont="1" applyFill="1" applyAlignment="1" applyProtection="1">
      <alignment vertical="top" wrapText="1"/>
      <protection locked="0"/>
    </xf>
    <xf numFmtId="0" fontId="14" fillId="22" borderId="10" xfId="0" applyFont="1" applyFill="1" applyBorder="1" applyAlignment="1" applyProtection="1">
      <alignment/>
      <protection locked="0"/>
    </xf>
    <xf numFmtId="0" fontId="14" fillId="0" borderId="20" xfId="0" applyFont="1" applyFill="1" applyBorder="1" applyAlignment="1" applyProtection="1">
      <alignment vertical="top" wrapText="1"/>
      <protection locked="0"/>
    </xf>
    <xf numFmtId="0" fontId="27" fillId="0" borderId="0" xfId="0" applyFont="1" applyAlignment="1" applyProtection="1">
      <alignment vertical="top" wrapText="1"/>
      <protection locked="0"/>
    </xf>
    <xf numFmtId="0" fontId="27" fillId="0" borderId="12" xfId="0" applyFont="1" applyBorder="1" applyAlignment="1" applyProtection="1">
      <alignment vertical="top" wrapText="1"/>
      <protection/>
    </xf>
    <xf numFmtId="0" fontId="28" fillId="0" borderId="12" xfId="0" applyFont="1" applyBorder="1" applyAlignment="1" applyProtection="1">
      <alignment vertical="top" wrapText="1"/>
      <protection/>
    </xf>
    <xf numFmtId="0" fontId="28" fillId="0" borderId="0" xfId="0" applyFont="1" applyAlignment="1" applyProtection="1">
      <alignment vertical="top" wrapText="1"/>
      <protection/>
    </xf>
    <xf numFmtId="0" fontId="27" fillId="0" borderId="8" xfId="0" applyFont="1" applyBorder="1" applyAlignment="1" applyProtection="1">
      <alignment vertical="top" wrapText="1"/>
      <protection/>
    </xf>
    <xf numFmtId="0" fontId="30" fillId="0" borderId="0" xfId="66" applyFont="1">
      <alignment vertical="top"/>
    </xf>
    <xf numFmtId="0" fontId="7" fillId="0" borderId="8" xfId="0" applyFont="1" applyBorder="1" applyAlignment="1" applyProtection="1">
      <alignment horizontal="left"/>
      <protection locked="0"/>
    </xf>
    <xf numFmtId="0" fontId="14" fillId="0" borderId="8" xfId="0" applyFont="1" applyBorder="1" applyAlignment="1" applyProtection="1">
      <alignment vertical="top" wrapText="1"/>
      <protection/>
    </xf>
    <xf numFmtId="0" fontId="14" fillId="0" borderId="9" xfId="0" applyFont="1" applyBorder="1" applyAlignment="1" applyProtection="1">
      <alignment vertical="top" wrapText="1"/>
      <protection/>
    </xf>
    <xf numFmtId="3" fontId="6" fillId="0" borderId="0" xfId="50" applyNumberFormat="1" applyProtection="1">
      <alignment vertical="top"/>
      <protection/>
    </xf>
    <xf numFmtId="3" fontId="7" fillId="0" borderId="0" xfId="51" applyNumberFormat="1" applyProtection="1">
      <alignment vertical="top"/>
      <protection/>
    </xf>
    <xf numFmtId="3" fontId="19" fillId="0" borderId="0" xfId="0" applyNumberFormat="1" applyFont="1" applyFill="1" applyBorder="1" applyAlignment="1" applyProtection="1">
      <alignment vertical="top" wrapText="1"/>
      <protection/>
    </xf>
    <xf numFmtId="0" fontId="17" fillId="16" borderId="9" xfId="0" applyFont="1" applyFill="1" applyBorder="1" applyAlignment="1">
      <alignment vertical="top" wrapText="1"/>
    </xf>
    <xf numFmtId="0" fontId="14" fillId="16" borderId="9" xfId="0" applyFont="1" applyFill="1" applyBorder="1" applyAlignment="1">
      <alignment vertical="top" wrapText="1"/>
    </xf>
    <xf numFmtId="0" fontId="17" fillId="0" borderId="9" xfId="0" applyFont="1" applyBorder="1" applyAlignment="1">
      <alignment horizontal="center"/>
    </xf>
    <xf numFmtId="0" fontId="17" fillId="0" borderId="10" xfId="0" applyFont="1" applyBorder="1" applyAlignment="1">
      <alignment horizontal="center"/>
    </xf>
    <xf numFmtId="3" fontId="17" fillId="0" borderId="12" xfId="0" applyNumberFormat="1" applyFont="1" applyBorder="1" applyAlignment="1">
      <alignment horizontal="center"/>
    </xf>
    <xf numFmtId="0" fontId="14" fillId="0" borderId="14" xfId="0" applyFont="1" applyFill="1" applyBorder="1" applyAlignment="1">
      <alignment vertical="top" wrapText="1"/>
    </xf>
    <xf numFmtId="0" fontId="2" fillId="0" borderId="8" xfId="0" applyFont="1" applyBorder="1" applyAlignment="1">
      <alignment vertical="top" wrapText="1"/>
    </xf>
    <xf numFmtId="0" fontId="14" fillId="0" borderId="9" xfId="0" applyFont="1" applyBorder="1" applyAlignment="1">
      <alignment vertical="top" wrapText="1"/>
    </xf>
    <xf numFmtId="0" fontId="2" fillId="0" borderId="9" xfId="0" applyFont="1" applyBorder="1" applyAlignment="1">
      <alignment vertical="top" wrapText="1"/>
    </xf>
    <xf numFmtId="0" fontId="17" fillId="0" borderId="8" xfId="0" applyFont="1" applyBorder="1" applyAlignment="1">
      <alignment wrapText="1"/>
    </xf>
    <xf numFmtId="4" fontId="14" fillId="0" borderId="12" xfId="0" applyNumberFormat="1" applyFont="1" applyBorder="1" applyAlignment="1">
      <alignment horizontal="center"/>
    </xf>
    <xf numFmtId="0" fontId="14" fillId="0" borderId="12" xfId="0" applyFont="1" applyFill="1" applyBorder="1" applyAlignment="1">
      <alignment vertical="top" wrapText="1"/>
    </xf>
    <xf numFmtId="165" fontId="14" fillId="0" borderId="12" xfId="0" applyNumberFormat="1" applyFont="1" applyBorder="1" applyAlignment="1">
      <alignment horizontal="center"/>
    </xf>
    <xf numFmtId="4" fontId="2" fillId="0" borderId="0" xfId="0" applyNumberFormat="1" applyFont="1" applyAlignment="1">
      <alignment vertical="top" wrapText="1"/>
    </xf>
    <xf numFmtId="166" fontId="14" fillId="0" borderId="12" xfId="0" applyNumberFormat="1" applyFont="1" applyFill="1" applyBorder="1" applyAlignment="1">
      <alignment horizontal="center"/>
    </xf>
    <xf numFmtId="0" fontId="14" fillId="0" borderId="0" xfId="0" applyFont="1" applyAlignment="1">
      <alignment vertical="top" wrapText="1"/>
    </xf>
    <xf numFmtId="3" fontId="7" fillId="0" borderId="0" xfId="51" applyNumberFormat="1" applyAlignment="1" applyProtection="1">
      <alignment vertical="top" wrapText="1"/>
      <protection/>
    </xf>
    <xf numFmtId="3" fontId="6" fillId="0" borderId="0" xfId="50" applyNumberFormat="1" applyAlignment="1" applyProtection="1">
      <alignment vertical="top"/>
      <protection/>
    </xf>
    <xf numFmtId="0" fontId="14" fillId="0" borderId="0" xfId="0" applyFont="1" applyBorder="1" applyAlignment="1">
      <alignment/>
    </xf>
    <xf numFmtId="0" fontId="14" fillId="0" borderId="0" xfId="0" applyFont="1" applyAlignment="1">
      <alignment horizontal="left"/>
    </xf>
    <xf numFmtId="3" fontId="19" fillId="0" borderId="0" xfId="0" applyNumberFormat="1" applyFont="1" applyBorder="1" applyAlignment="1">
      <alignment vertical="top" wrapText="1"/>
    </xf>
    <xf numFmtId="3" fontId="19" fillId="0" borderId="0" xfId="0" applyNumberFormat="1" applyFont="1" applyBorder="1" applyAlignment="1">
      <alignment vertical="top" wrapText="1"/>
    </xf>
    <xf numFmtId="0" fontId="17" fillId="0" borderId="8" xfId="0" applyFont="1" applyFill="1" applyBorder="1" applyAlignment="1">
      <alignment vertical="top" wrapText="1"/>
    </xf>
    <xf numFmtId="0" fontId="17" fillId="0" borderId="14" xfId="0" applyFont="1" applyFill="1" applyBorder="1" applyAlignment="1">
      <alignment vertical="top" wrapText="1"/>
    </xf>
    <xf numFmtId="0" fontId="14" fillId="0" borderId="12" xfId="0" applyFont="1" applyBorder="1" applyAlignment="1">
      <alignment vertical="top" wrapText="1"/>
    </xf>
    <xf numFmtId="3" fontId="14" fillId="0" borderId="0" xfId="0" applyNumberFormat="1" applyFont="1" applyAlignment="1">
      <alignment vertical="top" wrapText="1"/>
    </xf>
    <xf numFmtId="3" fontId="14" fillId="0" borderId="12" xfId="0" applyNumberFormat="1" applyFont="1" applyBorder="1" applyAlignment="1">
      <alignment horizontal="center"/>
    </xf>
    <xf numFmtId="0" fontId="17" fillId="0" borderId="12" xfId="0" applyFont="1" applyBorder="1" applyAlignment="1">
      <alignment vertical="top" wrapText="1"/>
    </xf>
    <xf numFmtId="3" fontId="17" fillId="0" borderId="12" xfId="0" applyNumberFormat="1" applyFont="1" applyFill="1" applyBorder="1" applyAlignment="1">
      <alignment horizontal="center"/>
    </xf>
    <xf numFmtId="0" fontId="14" fillId="0" borderId="14" xfId="0" applyFont="1" applyBorder="1" applyAlignment="1" applyProtection="1">
      <alignment vertical="top" wrapText="1"/>
      <protection locked="0"/>
    </xf>
    <xf numFmtId="0" fontId="14" fillId="0" borderId="8"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0" xfId="0" applyFont="1" applyFill="1" applyBorder="1" applyAlignment="1" applyProtection="1">
      <alignment horizontal="center"/>
      <protection locked="0"/>
    </xf>
    <xf numFmtId="0" fontId="17" fillId="0" borderId="0" xfId="0" applyFont="1" applyBorder="1" applyAlignment="1" applyProtection="1">
      <alignment horizontal="center"/>
      <protection locked="0"/>
    </xf>
    <xf numFmtId="0" fontId="26" fillId="0" borderId="0" xfId="0" applyFont="1" applyBorder="1" applyAlignment="1" applyProtection="1">
      <alignment wrapText="1"/>
      <protection locked="0"/>
    </xf>
    <xf numFmtId="0" fontId="17" fillId="0" borderId="0" xfId="0" applyFont="1" applyFill="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4" fillId="0" borderId="12" xfId="0" applyFont="1" applyBorder="1" applyAlignment="1" applyProtection="1">
      <alignment vertical="top" wrapText="1"/>
      <protection locked="0"/>
    </xf>
    <xf numFmtId="3" fontId="14" fillId="16" borderId="15" xfId="0" applyNumberFormat="1" applyFont="1" applyFill="1" applyBorder="1" applyAlignment="1" applyProtection="1">
      <alignment horizontal="right"/>
      <protection/>
    </xf>
    <xf numFmtId="3" fontId="14" fillId="0" borderId="0" xfId="0" applyNumberFormat="1" applyFont="1" applyBorder="1" applyAlignment="1" applyProtection="1">
      <alignment horizontal="right" wrapText="1"/>
      <protection/>
    </xf>
    <xf numFmtId="0" fontId="17" fillId="0" borderId="10" xfId="0" applyFont="1" applyBorder="1" applyAlignment="1" applyProtection="1">
      <alignment vertical="top" wrapText="1"/>
      <protection locked="0"/>
    </xf>
    <xf numFmtId="3" fontId="17" fillId="0" borderId="15" xfId="0" applyNumberFormat="1" applyFont="1" applyBorder="1" applyAlignment="1" applyProtection="1">
      <alignment horizontal="right"/>
      <protection/>
    </xf>
    <xf numFmtId="0" fontId="26" fillId="0" borderId="5" xfId="0" applyFont="1" applyBorder="1" applyAlignment="1" applyProtection="1">
      <alignment wrapText="1"/>
      <protection locked="0"/>
    </xf>
    <xf numFmtId="3" fontId="14" fillId="0" borderId="5" xfId="0" applyNumberFormat="1" applyFont="1" applyBorder="1" applyAlignment="1" applyProtection="1">
      <alignment horizontal="right" wrapText="1"/>
      <protection/>
    </xf>
    <xf numFmtId="3" fontId="14" fillId="0" borderId="0" xfId="0" applyNumberFormat="1" applyFont="1" applyFill="1" applyBorder="1" applyAlignment="1" applyProtection="1">
      <alignment horizontal="right"/>
      <protection/>
    </xf>
    <xf numFmtId="0" fontId="14" fillId="0" borderId="0" xfId="0" applyFont="1" applyBorder="1" applyAlignment="1" applyProtection="1">
      <alignment vertical="top" wrapText="1"/>
      <protection locked="0"/>
    </xf>
    <xf numFmtId="0" fontId="14" fillId="0"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19" fillId="0" borderId="0" xfId="0" applyFont="1" applyBorder="1" applyAlignment="1" applyProtection="1">
      <alignment vertical="top" wrapText="1"/>
      <protection locked="0"/>
    </xf>
    <xf numFmtId="0" fontId="14" fillId="0" borderId="12" xfId="0" applyFont="1" applyFill="1" applyBorder="1" applyAlignment="1" applyProtection="1">
      <alignment wrapText="1"/>
      <protection/>
    </xf>
    <xf numFmtId="0" fontId="14" fillId="0" borderId="0" xfId="0" applyFont="1" applyFill="1" applyBorder="1" applyAlignment="1" applyProtection="1">
      <alignment horizontal="right"/>
      <protection locked="0"/>
    </xf>
    <xf numFmtId="0" fontId="14" fillId="0" borderId="12" xfId="0" applyFont="1" applyFill="1" applyBorder="1" applyAlignment="1" applyProtection="1">
      <alignment vertical="top" wrapText="1"/>
      <protection locked="0"/>
    </xf>
    <xf numFmtId="0" fontId="14" fillId="0" borderId="12" xfId="0" applyFont="1" applyBorder="1" applyAlignment="1" applyProtection="1">
      <alignment vertical="top" wrapText="1"/>
      <protection/>
    </xf>
    <xf numFmtId="0" fontId="17" fillId="0" borderId="12" xfId="0" applyFont="1" applyFill="1" applyBorder="1" applyAlignment="1" applyProtection="1">
      <alignment vertical="top" wrapText="1"/>
      <protection locked="0"/>
    </xf>
    <xf numFmtId="2" fontId="14" fillId="16" borderId="1" xfId="40" applyNumberFormat="1" applyFont="1" applyAlignment="1" applyProtection="1">
      <alignment horizontal="right"/>
      <protection/>
    </xf>
    <xf numFmtId="169" fontId="14" fillId="16" borderId="12" xfId="0" applyNumberFormat="1" applyFont="1" applyFill="1" applyBorder="1" applyAlignment="1" applyProtection="1">
      <alignment horizontal="right"/>
      <protection/>
    </xf>
    <xf numFmtId="0" fontId="14" fillId="0" borderId="13" xfId="0" applyFont="1" applyFill="1" applyBorder="1" applyAlignment="1" applyProtection="1">
      <alignment wrapText="1"/>
      <protection/>
    </xf>
    <xf numFmtId="164" fontId="14" fillId="16" borderId="1" xfId="40" applyNumberFormat="1" applyFont="1" applyAlignment="1" applyProtection="1">
      <alignment horizontal="right"/>
      <protection/>
    </xf>
    <xf numFmtId="165" fontId="2" fillId="0" borderId="0" xfId="0" applyNumberFormat="1" applyFont="1" applyBorder="1" applyAlignment="1" applyProtection="1">
      <alignment horizontal="right" vertical="top" wrapText="1"/>
      <protection locked="0"/>
    </xf>
    <xf numFmtId="0" fontId="14" fillId="0" borderId="0" xfId="0" applyFont="1" applyBorder="1" applyAlignment="1" applyProtection="1">
      <alignment horizontal="right"/>
      <protection locked="0"/>
    </xf>
    <xf numFmtId="2" fontId="14" fillId="0" borderId="0" xfId="0" applyNumberFormat="1" applyFont="1" applyBorder="1" applyAlignment="1" applyProtection="1">
      <alignment horizontal="right"/>
      <protection locked="0"/>
    </xf>
    <xf numFmtId="0" fontId="19" fillId="0" borderId="12" xfId="0" applyFont="1" applyBorder="1" applyAlignment="1" applyProtection="1">
      <alignment vertical="top" wrapText="1"/>
      <protection/>
    </xf>
    <xf numFmtId="0" fontId="14" fillId="0" borderId="18" xfId="0" applyFont="1" applyBorder="1" applyAlignment="1" applyProtection="1">
      <alignment vertical="top" wrapText="1"/>
      <protection locked="0"/>
    </xf>
    <xf numFmtId="0" fontId="14" fillId="0" borderId="21" xfId="66" applyNumberFormat="1" applyFont="1" applyBorder="1" applyAlignment="1" applyProtection="1">
      <alignment horizontal="center"/>
      <protection locked="0"/>
    </xf>
    <xf numFmtId="3" fontId="14" fillId="0" borderId="12" xfId="0" applyNumberFormat="1" applyFont="1" applyFill="1" applyBorder="1" applyAlignment="1">
      <alignment horizontal="center"/>
    </xf>
    <xf numFmtId="0" fontId="2" fillId="0" borderId="0" xfId="0" applyFont="1" applyFill="1" applyAlignment="1">
      <alignment vertical="top" wrapText="1"/>
    </xf>
    <xf numFmtId="0" fontId="2" fillId="0" borderId="0" xfId="0" applyFont="1" applyFill="1" applyBorder="1" applyAlignment="1">
      <alignment vertical="top" wrapText="1"/>
    </xf>
    <xf numFmtId="0" fontId="14" fillId="0" borderId="0" xfId="0" applyFont="1" applyFill="1" applyAlignment="1">
      <alignment vertical="top" wrapText="1"/>
    </xf>
    <xf numFmtId="0" fontId="14" fillId="0" borderId="8" xfId="0" applyNumberFormat="1" applyFont="1" applyFill="1" applyBorder="1" applyAlignment="1" applyProtection="1">
      <alignment/>
      <protection locked="0"/>
    </xf>
    <xf numFmtId="0" fontId="14" fillId="0" borderId="8" xfId="0" applyNumberFormat="1" applyFont="1" applyFill="1" applyBorder="1" applyAlignment="1" applyProtection="1">
      <alignment wrapText="1"/>
      <protection locked="0"/>
    </xf>
    <xf numFmtId="0" fontId="14" fillId="0" borderId="13" xfId="0" applyFont="1" applyFill="1" applyBorder="1" applyAlignment="1" applyProtection="1">
      <alignment/>
      <protection locked="0"/>
    </xf>
    <xf numFmtId="0" fontId="14" fillId="0" borderId="22" xfId="0" applyFont="1" applyBorder="1" applyAlignment="1">
      <alignment vertical="top" wrapText="1"/>
    </xf>
    <xf numFmtId="0" fontId="14" fillId="0" borderId="23" xfId="0" applyFont="1" applyBorder="1" applyAlignment="1" applyProtection="1">
      <alignment/>
      <protection locked="0"/>
    </xf>
    <xf numFmtId="0" fontId="17" fillId="0" borderId="21" xfId="40" applyNumberFormat="1" applyFont="1" applyFill="1" applyBorder="1" applyAlignment="1" applyProtection="1">
      <alignment horizontal="center"/>
      <protection/>
    </xf>
    <xf numFmtId="0" fontId="14" fillId="0" borderId="21" xfId="0" applyFont="1" applyFill="1" applyBorder="1" applyAlignment="1" applyProtection="1">
      <alignment vertical="top" wrapText="1"/>
      <protection locked="0"/>
    </xf>
    <xf numFmtId="10" fontId="14" fillId="0" borderId="21" xfId="66" applyNumberFormat="1" applyFont="1" applyFill="1" applyBorder="1" applyAlignment="1" applyProtection="1">
      <alignment/>
      <protection locked="0"/>
    </xf>
    <xf numFmtId="2" fontId="14" fillId="0" borderId="21" xfId="66" applyNumberFormat="1" applyFont="1" applyFill="1" applyBorder="1" applyAlignment="1" applyProtection="1">
      <alignment/>
      <protection locked="0"/>
    </xf>
    <xf numFmtId="2" fontId="14" fillId="0" borderId="21" xfId="40" applyNumberFormat="1" applyFont="1" applyFill="1" applyBorder="1" applyAlignment="1" applyProtection="1">
      <alignment/>
      <protection/>
    </xf>
    <xf numFmtId="165" fontId="14" fillId="0" borderId="21" xfId="66" applyNumberFormat="1" applyFont="1" applyFill="1" applyBorder="1" applyAlignment="1" applyProtection="1">
      <alignment/>
      <protection/>
    </xf>
    <xf numFmtId="10" fontId="14" fillId="0" borderId="21" xfId="66" applyNumberFormat="1" applyFont="1" applyFill="1" applyBorder="1" applyAlignment="1" applyProtection="1">
      <alignment/>
      <protection/>
    </xf>
    <xf numFmtId="9" fontId="14" fillId="0" borderId="21" xfId="0" applyNumberFormat="1" applyFont="1" applyBorder="1" applyAlignment="1">
      <alignment vertical="top" wrapText="1"/>
    </xf>
    <xf numFmtId="0" fontId="14" fillId="0" borderId="11" xfId="0" applyFont="1" applyBorder="1" applyAlignment="1" applyProtection="1">
      <alignment vertical="top" wrapText="1"/>
      <protection/>
    </xf>
    <xf numFmtId="0" fontId="23" fillId="0" borderId="11" xfId="0" applyFont="1" applyBorder="1" applyAlignment="1" applyProtection="1">
      <alignment wrapText="1"/>
      <protection/>
    </xf>
    <xf numFmtId="0" fontId="17" fillId="0" borderId="24"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4" fillId="0" borderId="25" xfId="0" applyFont="1" applyBorder="1" applyAlignment="1" applyProtection="1">
      <alignment vertical="top" wrapText="1"/>
      <protection locked="0"/>
    </xf>
    <xf numFmtId="3" fontId="14" fillId="23" borderId="21" xfId="66" applyNumberFormat="1" applyFont="1" applyFill="1" applyBorder="1" applyAlignment="1" applyProtection="1">
      <alignment horizontal="right"/>
      <protection locked="0"/>
    </xf>
    <xf numFmtId="3" fontId="27" fillId="23" borderId="21" xfId="0" applyNumberFormat="1" applyFont="1" applyFill="1" applyBorder="1" applyAlignment="1" applyProtection="1">
      <alignment/>
      <protection locked="0"/>
    </xf>
    <xf numFmtId="0" fontId="28" fillId="0" borderId="8" xfId="0" applyFont="1" applyBorder="1" applyAlignment="1" applyProtection="1">
      <alignment vertical="top" wrapText="1"/>
      <protection/>
    </xf>
    <xf numFmtId="0" fontId="2" fillId="0" borderId="21" xfId="0" applyFont="1" applyBorder="1" applyAlignment="1">
      <alignment vertical="top" wrapText="1"/>
    </xf>
    <xf numFmtId="3" fontId="27" fillId="6" borderId="21" xfId="0" applyNumberFormat="1" applyFont="1" applyFill="1" applyBorder="1" applyAlignment="1" applyProtection="1">
      <alignment/>
      <protection locked="0"/>
    </xf>
    <xf numFmtId="3" fontId="27" fillId="23" borderId="22" xfId="0" applyNumberFormat="1" applyFont="1" applyFill="1" applyBorder="1" applyAlignment="1" applyProtection="1">
      <alignment/>
      <protection locked="0"/>
    </xf>
    <xf numFmtId="0" fontId="17" fillId="6" borderId="21" xfId="0" applyFont="1" applyFill="1" applyBorder="1" applyAlignment="1">
      <alignment vertical="top" wrapText="1"/>
    </xf>
    <xf numFmtId="3" fontId="27" fillId="6" borderId="22" xfId="0" applyNumberFormat="1" applyFont="1" applyFill="1" applyBorder="1" applyAlignment="1" applyProtection="1">
      <alignment/>
      <protection locked="0"/>
    </xf>
    <xf numFmtId="165" fontId="2" fillId="23" borderId="12" xfId="0" applyNumberFormat="1" applyFont="1" applyFill="1" applyBorder="1" applyAlignment="1" applyProtection="1">
      <alignment horizontal="right" vertical="top" wrapText="1"/>
      <protection locked="0"/>
    </xf>
    <xf numFmtId="3" fontId="17" fillId="24" borderId="19" xfId="40" applyNumberFormat="1" applyFont="1" applyFill="1" applyBorder="1" applyAlignment="1" applyProtection="1">
      <alignment horizontal="right"/>
      <protection locked="0"/>
    </xf>
    <xf numFmtId="165" fontId="17" fillId="23" borderId="26" xfId="66" applyNumberFormat="1" applyFont="1" applyFill="1" applyBorder="1" applyAlignment="1" applyProtection="1">
      <alignment/>
      <protection locked="0"/>
    </xf>
    <xf numFmtId="0" fontId="14" fillId="0" borderId="8" xfId="0" applyFont="1" applyFill="1" applyBorder="1" applyAlignment="1" applyProtection="1">
      <alignment vertical="top" wrapText="1"/>
      <protection locked="0"/>
    </xf>
    <xf numFmtId="165" fontId="14" fillId="23" borderId="21" xfId="66" applyNumberFormat="1" applyFont="1" applyFill="1" applyBorder="1" applyAlignment="1" applyProtection="1">
      <alignment/>
      <protection locked="0"/>
    </xf>
    <xf numFmtId="3" fontId="17" fillId="24" borderId="12" xfId="0" applyNumberFormat="1" applyFont="1" applyFill="1" applyBorder="1" applyAlignment="1" applyProtection="1">
      <alignment/>
      <protection locked="0"/>
    </xf>
    <xf numFmtId="0" fontId="14" fillId="23" borderId="21" xfId="66" applyNumberFormat="1" applyFont="1" applyFill="1" applyBorder="1" applyAlignment="1" applyProtection="1">
      <alignment horizontal="right"/>
      <protection locked="0"/>
    </xf>
    <xf numFmtId="3" fontId="17" fillId="24" borderId="8" xfId="0" applyNumberFormat="1" applyFont="1" applyFill="1" applyBorder="1" applyAlignment="1" applyProtection="1">
      <alignment/>
      <protection locked="0"/>
    </xf>
    <xf numFmtId="3" fontId="14" fillId="24" borderId="9" xfId="0" applyNumberFormat="1" applyFont="1" applyFill="1" applyBorder="1" applyAlignment="1" applyProtection="1">
      <alignment/>
      <protection locked="0"/>
    </xf>
    <xf numFmtId="0" fontId="14" fillId="24" borderId="9" xfId="0" applyFont="1" applyFill="1" applyBorder="1" applyAlignment="1" applyProtection="1">
      <alignment vertical="top" wrapText="1"/>
      <protection locked="0"/>
    </xf>
    <xf numFmtId="0" fontId="14" fillId="24" borderId="10" xfId="0" applyFont="1" applyFill="1" applyBorder="1" applyAlignment="1" applyProtection="1">
      <alignment vertical="top" wrapText="1"/>
      <protection locked="0"/>
    </xf>
    <xf numFmtId="3" fontId="14" fillId="24" borderId="10" xfId="0" applyNumberFormat="1" applyFont="1" applyFill="1" applyBorder="1" applyAlignment="1" applyProtection="1">
      <alignment/>
      <protection locked="0"/>
    </xf>
    <xf numFmtId="0" fontId="14" fillId="23" borderId="21" xfId="66" applyNumberFormat="1" applyFont="1" applyFill="1" applyBorder="1" applyAlignment="1" applyProtection="1">
      <alignment horizontal="center"/>
      <protection locked="0"/>
    </xf>
    <xf numFmtId="3" fontId="14" fillId="23" borderId="21" xfId="66" applyNumberFormat="1" applyFont="1" applyFill="1" applyBorder="1" applyAlignment="1" applyProtection="1">
      <alignment horizontal="center"/>
      <protection locked="0"/>
    </xf>
    <xf numFmtId="165" fontId="20" fillId="23" borderId="15" xfId="0" applyNumberFormat="1" applyFont="1" applyFill="1" applyBorder="1" applyAlignment="1" applyProtection="1">
      <alignment horizontal="center" vertical="top" wrapText="1"/>
      <protection locked="0"/>
    </xf>
    <xf numFmtId="0" fontId="14" fillId="0" borderId="22" xfId="66" applyNumberFormat="1" applyFont="1" applyFill="1" applyBorder="1" applyAlignment="1" applyProtection="1">
      <alignment horizontal="center"/>
      <protection locked="0"/>
    </xf>
    <xf numFmtId="3" fontId="14" fillId="16" borderId="11" xfId="40" applyNumberFormat="1" applyFont="1" applyBorder="1" applyAlignment="1" applyProtection="1">
      <alignment horizontal="center"/>
      <protection/>
    </xf>
    <xf numFmtId="164" fontId="14" fillId="0" borderId="21" xfId="66" applyNumberFormat="1" applyFont="1" applyFill="1" applyBorder="1" applyAlignment="1" applyProtection="1">
      <alignment horizontal="center"/>
      <protection locked="0"/>
    </xf>
    <xf numFmtId="3" fontId="14" fillId="16" borderId="21" xfId="40" applyNumberFormat="1" applyFont="1" applyBorder="1" applyAlignment="1" applyProtection="1">
      <alignment horizontal="center"/>
      <protection/>
    </xf>
    <xf numFmtId="3" fontId="14" fillId="24" borderId="15" xfId="0" applyNumberFormat="1" applyFont="1" applyFill="1" applyBorder="1" applyAlignment="1" applyProtection="1">
      <alignment horizontal="right"/>
      <protection locked="0"/>
    </xf>
    <xf numFmtId="3" fontId="17" fillId="6" borderId="15" xfId="0" applyNumberFormat="1" applyFont="1" applyFill="1" applyBorder="1" applyAlignment="1" applyProtection="1">
      <alignment horizontal="right"/>
      <protection locked="0"/>
    </xf>
    <xf numFmtId="3" fontId="14" fillId="24" borderId="12" xfId="0" applyNumberFormat="1" applyFont="1" applyFill="1" applyBorder="1" applyAlignment="1" applyProtection="1">
      <alignment horizontal="right"/>
      <protection locked="0"/>
    </xf>
    <xf numFmtId="0" fontId="14" fillId="2" borderId="12" xfId="0" applyFont="1" applyFill="1" applyBorder="1" applyAlignment="1">
      <alignment vertical="top" wrapText="1"/>
    </xf>
    <xf numFmtId="3" fontId="14" fillId="2" borderId="12" xfId="0" applyNumberFormat="1" applyFont="1" applyFill="1" applyBorder="1" applyAlignment="1">
      <alignment horizontal="center"/>
    </xf>
    <xf numFmtId="0" fontId="2" fillId="2" borderId="0" xfId="0" applyFont="1" applyFill="1" applyAlignment="1">
      <alignment vertical="top" wrapText="1"/>
    </xf>
    <xf numFmtId="0" fontId="14" fillId="2" borderId="0" xfId="0" applyFont="1" applyFill="1" applyAlignment="1">
      <alignment vertical="top" wrapText="1"/>
    </xf>
    <xf numFmtId="0" fontId="17" fillId="0" borderId="8" xfId="0" applyFont="1" applyBorder="1" applyAlignment="1" applyProtection="1">
      <alignment horizontal="center" vertical="center" wrapText="1"/>
      <protection locked="0"/>
    </xf>
    <xf numFmtId="165" fontId="14" fillId="23" borderId="27" xfId="66" applyNumberFormat="1" applyFont="1" applyFill="1" applyBorder="1" applyAlignment="1" applyProtection="1">
      <alignment/>
      <protection locked="0"/>
    </xf>
    <xf numFmtId="165" fontId="14" fillId="23" borderId="22" xfId="66" applyNumberFormat="1" applyFont="1" applyFill="1" applyBorder="1" applyAlignment="1" applyProtection="1">
      <alignment/>
      <protection locked="0"/>
    </xf>
    <xf numFmtId="0" fontId="17" fillId="0" borderId="21"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4" fillId="6" borderId="21" xfId="0" applyFont="1" applyFill="1" applyBorder="1" applyAlignment="1" applyProtection="1">
      <alignment vertical="top" wrapText="1"/>
      <protection locked="0"/>
    </xf>
    <xf numFmtId="0" fontId="27" fillId="23" borderId="21" xfId="0" applyFont="1" applyFill="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4" fillId="23" borderId="22" xfId="66" applyNumberFormat="1" applyFont="1" applyFill="1" applyBorder="1" applyAlignment="1" applyProtection="1">
      <alignment horizontal="center"/>
      <protection locked="0"/>
    </xf>
    <xf numFmtId="0" fontId="14" fillId="6" borderId="0" xfId="0" applyFont="1" applyFill="1" applyAlignment="1" applyProtection="1">
      <alignment vertical="top" wrapText="1"/>
      <protection locked="0"/>
    </xf>
    <xf numFmtId="0" fontId="17" fillId="0" borderId="0" xfId="0" applyFont="1" applyFill="1" applyBorder="1" applyAlignment="1" applyProtection="1">
      <alignment horizontal="right" wrapText="1"/>
      <protection/>
    </xf>
    <xf numFmtId="3" fontId="17" fillId="0" borderId="1" xfId="40" applyNumberFormat="1" applyFont="1" applyFill="1" applyAlignment="1" applyProtection="1">
      <alignment horizontal="right"/>
      <protection/>
    </xf>
    <xf numFmtId="0" fontId="14" fillId="0" borderId="15" xfId="0" applyFont="1" applyBorder="1" applyAlignment="1" applyProtection="1">
      <alignment vertical="top" wrapText="1"/>
      <protection locked="0"/>
    </xf>
    <xf numFmtId="3" fontId="14" fillId="16" borderId="28" xfId="40" applyNumberFormat="1" applyFont="1" applyBorder="1" applyAlignment="1" applyProtection="1">
      <alignment horizontal="right"/>
      <protection/>
    </xf>
    <xf numFmtId="0" fontId="17" fillId="0" borderId="21" xfId="0" applyFont="1" applyBorder="1" applyAlignment="1" applyProtection="1">
      <alignment horizontal="right" wrapText="1"/>
      <protection/>
    </xf>
    <xf numFmtId="0" fontId="17" fillId="0" borderId="14" xfId="0" applyFont="1" applyFill="1" applyBorder="1" applyAlignment="1" applyProtection="1">
      <alignment vertical="top" wrapText="1"/>
      <protection/>
    </xf>
    <xf numFmtId="0" fontId="19" fillId="0" borderId="8" xfId="0" applyFont="1" applyFill="1" applyBorder="1" applyAlignment="1" applyProtection="1">
      <alignment vertical="top" wrapText="1"/>
      <protection/>
    </xf>
    <xf numFmtId="3" fontId="14" fillId="24" borderId="8" xfId="0" applyNumberFormat="1" applyFont="1" applyFill="1" applyBorder="1" applyAlignment="1" applyProtection="1">
      <alignment horizontal="right"/>
      <protection locked="0"/>
    </xf>
    <xf numFmtId="0" fontId="14" fillId="0" borderId="8" xfId="0" applyFont="1" applyBorder="1" applyAlignment="1" applyProtection="1">
      <alignment horizontal="right"/>
      <protection locked="0"/>
    </xf>
    <xf numFmtId="3" fontId="14" fillId="16" borderId="29" xfId="40" applyNumberFormat="1" applyFont="1" applyBorder="1" applyAlignment="1" applyProtection="1">
      <alignment horizontal="right"/>
      <protection/>
    </xf>
    <xf numFmtId="0" fontId="19" fillId="0" borderId="8" xfId="0" applyFont="1" applyBorder="1" applyAlignment="1" applyProtection="1">
      <alignment horizontal="right"/>
      <protection locked="0"/>
    </xf>
    <xf numFmtId="0" fontId="17" fillId="0" borderId="9"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3" fontId="14" fillId="16" borderId="21" xfId="40" applyNumberFormat="1" applyFont="1" applyBorder="1" applyAlignment="1" applyProtection="1">
      <alignment horizontal="right"/>
      <protection/>
    </xf>
    <xf numFmtId="0" fontId="14" fillId="0" borderId="8" xfId="0" applyFont="1" applyBorder="1" applyAlignment="1" applyProtection="1">
      <alignment vertical="top" wrapText="1"/>
      <protection locked="0"/>
    </xf>
    <xf numFmtId="0" fontId="17" fillId="16" borderId="21" xfId="40" applyNumberFormat="1" applyFont="1" applyFill="1" applyBorder="1" applyAlignment="1" applyProtection="1">
      <alignment horizontal="center"/>
      <protection/>
    </xf>
    <xf numFmtId="0" fontId="35" fillId="0" borderId="0" xfId="0" applyFont="1" applyAlignment="1">
      <alignment vertical="top" wrapText="1"/>
    </xf>
    <xf numFmtId="0" fontId="14" fillId="0" borderId="0" xfId="0" applyFont="1" applyAlignment="1" applyProtection="1">
      <alignment vertical="top" wrapText="1"/>
      <protection locked="0"/>
    </xf>
    <xf numFmtId="3" fontId="14" fillId="0" borderId="0" xfId="40" applyNumberFormat="1" applyFont="1" applyFill="1" applyBorder="1" applyAlignment="1" applyProtection="1">
      <alignment horizontal="right"/>
      <protection/>
    </xf>
    <xf numFmtId="3" fontId="14" fillId="19" borderId="8" xfId="0" applyNumberFormat="1" applyFont="1" applyFill="1" applyBorder="1" applyAlignment="1" applyProtection="1">
      <alignment horizontal="right"/>
      <protection locked="0"/>
    </xf>
    <xf numFmtId="4" fontId="14" fillId="16" borderId="29" xfId="40" applyNumberFormat="1" applyFont="1" applyBorder="1" applyAlignment="1" applyProtection="1">
      <alignment horizontal="right"/>
      <protection/>
    </xf>
    <xf numFmtId="4" fontId="14" fillId="0" borderId="8" xfId="0" applyNumberFormat="1" applyFont="1" applyBorder="1" applyAlignment="1" applyProtection="1">
      <alignment horizontal="right"/>
      <protection locked="0"/>
    </xf>
    <xf numFmtId="4" fontId="14" fillId="19" borderId="8" xfId="0" applyNumberFormat="1" applyFont="1" applyFill="1" applyBorder="1" applyAlignment="1" applyProtection="1">
      <alignment horizontal="right"/>
      <protection locked="0"/>
    </xf>
    <xf numFmtId="2" fontId="14" fillId="0" borderId="0" xfId="0" applyNumberFormat="1" applyFont="1" applyFill="1" applyBorder="1" applyAlignment="1" applyProtection="1">
      <alignment horizontal="right"/>
      <protection locked="0"/>
    </xf>
    <xf numFmtId="0" fontId="17" fillId="0" borderId="0" xfId="40" applyNumberFormat="1" applyFont="1" applyFill="1" applyBorder="1" applyAlignment="1" applyProtection="1">
      <alignment horizontal="center"/>
      <protection/>
    </xf>
    <xf numFmtId="0" fontId="14" fillId="0" borderId="0" xfId="0" applyFont="1" applyFill="1" applyBorder="1" applyAlignment="1">
      <alignment vertical="top" wrapText="1"/>
    </xf>
    <xf numFmtId="3" fontId="14" fillId="0" borderId="0" xfId="0" applyNumberFormat="1" applyFont="1" applyFill="1" applyBorder="1" applyAlignment="1" applyProtection="1">
      <alignment horizontal="right"/>
      <protection locked="0"/>
    </xf>
    <xf numFmtId="4" fontId="14" fillId="0" borderId="0" xfId="40" applyNumberFormat="1" applyFont="1" applyFill="1" applyBorder="1" applyAlignment="1" applyProtection="1">
      <alignment horizontal="right"/>
      <protection/>
    </xf>
    <xf numFmtId="4" fontId="14" fillId="0" borderId="0" xfId="0" applyNumberFormat="1" applyFont="1" applyFill="1" applyBorder="1" applyAlignment="1" applyProtection="1">
      <alignment horizontal="right"/>
      <protection locked="0"/>
    </xf>
    <xf numFmtId="1" fontId="14" fillId="23" borderId="21" xfId="0" applyNumberFormat="1" applyFont="1" applyFill="1" applyBorder="1" applyAlignment="1">
      <alignment vertical="top" wrapText="1"/>
    </xf>
    <xf numFmtId="1" fontId="14" fillId="23" borderId="21" xfId="0" applyNumberFormat="1" applyFont="1" applyFill="1" applyBorder="1" applyAlignment="1">
      <alignment vertical="top" wrapText="1"/>
    </xf>
    <xf numFmtId="0" fontId="27" fillId="0" borderId="0" xfId="0" applyFont="1" applyBorder="1" applyAlignment="1" applyProtection="1">
      <alignment vertical="top" wrapText="1"/>
      <protection/>
    </xf>
    <xf numFmtId="2" fontId="14" fillId="16" borderId="29" xfId="40" applyNumberFormat="1" applyFont="1" applyBorder="1" applyAlignment="1" applyProtection="1">
      <alignment horizontal="right"/>
      <protection/>
    </xf>
    <xf numFmtId="1" fontId="14" fillId="0" borderId="0" xfId="0" applyNumberFormat="1" applyFont="1" applyFill="1" applyBorder="1" applyAlignment="1" applyProtection="1">
      <alignment horizontal="right"/>
      <protection locked="0"/>
    </xf>
    <xf numFmtId="164" fontId="14" fillId="0" borderId="0" xfId="40" applyNumberFormat="1" applyFont="1" applyFill="1" applyBorder="1" applyAlignment="1" applyProtection="1">
      <alignment horizontal="right"/>
      <protection/>
    </xf>
    <xf numFmtId="2" fontId="14" fillId="0" borderId="0" xfId="40" applyNumberFormat="1" applyFont="1" applyFill="1" applyBorder="1" applyAlignment="1" applyProtection="1">
      <alignment horizontal="right"/>
      <protection/>
    </xf>
    <xf numFmtId="164" fontId="14" fillId="11" borderId="0" xfId="40" applyNumberFormat="1" applyFont="1" applyFill="1" applyBorder="1" applyAlignment="1" applyProtection="1">
      <alignment horizontal="right"/>
      <protection/>
    </xf>
    <xf numFmtId="0" fontId="14" fillId="11" borderId="0" xfId="0" applyFont="1" applyFill="1" applyAlignment="1" applyProtection="1">
      <alignment vertical="top" wrapText="1"/>
      <protection locked="0"/>
    </xf>
    <xf numFmtId="0" fontId="27" fillId="0" borderId="0" xfId="0" applyFont="1" applyFill="1" applyAlignment="1" applyProtection="1">
      <alignment vertical="top" wrapText="1"/>
      <protection locked="0"/>
    </xf>
    <xf numFmtId="9" fontId="14" fillId="6" borderId="1" xfId="68" applyFont="1" applyFill="1" applyBorder="1" applyAlignment="1" applyProtection="1">
      <alignment horizontal="right" vertical="top" wrapText="1"/>
      <protection/>
    </xf>
    <xf numFmtId="1" fontId="17" fillId="0" borderId="30" xfId="40" applyNumberFormat="1" applyFont="1" applyFill="1" applyBorder="1" applyAlignment="1" applyProtection="1">
      <alignment horizontal="center"/>
      <protection/>
    </xf>
    <xf numFmtId="0" fontId="14" fillId="0" borderId="12" xfId="0" applyFont="1" applyFill="1" applyBorder="1" applyAlignment="1" applyProtection="1">
      <alignment horizontal="left" wrapText="1" indent="1"/>
      <protection/>
    </xf>
    <xf numFmtId="2" fontId="14" fillId="6" borderId="1" xfId="40" applyNumberFormat="1" applyFont="1" applyFill="1" applyAlignment="1" applyProtection="1">
      <alignment horizontal="right"/>
      <protection/>
    </xf>
    <xf numFmtId="0" fontId="19" fillId="0" borderId="21" xfId="0" applyFont="1" applyBorder="1" applyAlignment="1" applyProtection="1">
      <alignment vertical="top" wrapText="1"/>
      <protection locked="0"/>
    </xf>
    <xf numFmtId="0" fontId="17" fillId="0" borderId="21" xfId="0" applyFont="1" applyFill="1" applyBorder="1" applyAlignment="1" applyProtection="1">
      <alignment vertical="top" wrapText="1"/>
      <protection locked="0"/>
    </xf>
    <xf numFmtId="0" fontId="27" fillId="0" borderId="21" xfId="66" applyNumberFormat="1" applyFont="1" applyFill="1" applyBorder="1" applyAlignment="1" applyProtection="1">
      <alignment/>
      <protection locked="0"/>
    </xf>
    <xf numFmtId="0" fontId="27" fillId="0" borderId="21" xfId="0" applyNumberFormat="1" applyFont="1" applyFill="1" applyBorder="1" applyAlignment="1" applyProtection="1">
      <alignment/>
      <protection locked="0"/>
    </xf>
    <xf numFmtId="0" fontId="23" fillId="0" borderId="21" xfId="0" applyFont="1" applyBorder="1" applyAlignment="1" applyProtection="1">
      <alignment wrapText="1"/>
      <protection locked="0"/>
    </xf>
    <xf numFmtId="0" fontId="23" fillId="0" borderId="0" xfId="0" applyFont="1" applyBorder="1" applyAlignment="1" applyProtection="1">
      <alignment wrapText="1"/>
      <protection locked="0"/>
    </xf>
    <xf numFmtId="169" fontId="14" fillId="6" borderId="12" xfId="0" applyNumberFormat="1" applyFont="1" applyFill="1" applyBorder="1" applyAlignment="1" applyProtection="1">
      <alignment horizontal="right"/>
      <protection/>
    </xf>
    <xf numFmtId="10" fontId="14" fillId="6" borderId="1" xfId="0" applyNumberFormat="1" applyFont="1" applyFill="1" applyBorder="1" applyAlignment="1" applyProtection="1">
      <alignment horizontal="right" vertical="top" wrapText="1"/>
      <protection/>
    </xf>
    <xf numFmtId="164" fontId="14" fillId="16" borderId="1" xfId="40" applyNumberFormat="1" applyFont="1" applyFill="1" applyAlignment="1" applyProtection="1">
      <alignment horizontal="right"/>
      <protection/>
    </xf>
    <xf numFmtId="3" fontId="14" fillId="25" borderId="12" xfId="0" applyNumberFormat="1" applyFont="1" applyFill="1" applyBorder="1" applyAlignment="1" applyProtection="1">
      <alignment horizontal="right"/>
      <protection locked="0"/>
    </xf>
    <xf numFmtId="0" fontId="17" fillId="0" borderId="12" xfId="0" applyFont="1" applyBorder="1" applyAlignment="1" applyProtection="1">
      <alignment vertical="top" wrapText="1"/>
      <protection locked="0"/>
    </xf>
    <xf numFmtId="3" fontId="17" fillId="25" borderId="12" xfId="0" applyNumberFormat="1" applyFont="1" applyFill="1" applyBorder="1" applyAlignment="1" applyProtection="1">
      <alignment horizontal="right"/>
      <protection locked="0"/>
    </xf>
    <xf numFmtId="0" fontId="14" fillId="6" borderId="21" xfId="0" applyFont="1" applyFill="1" applyBorder="1" applyAlignment="1">
      <alignment vertical="top" wrapText="1"/>
    </xf>
    <xf numFmtId="3" fontId="17" fillId="25" borderId="21" xfId="0" applyNumberFormat="1" applyFont="1" applyFill="1" applyBorder="1" applyAlignment="1" applyProtection="1">
      <alignment horizontal="right"/>
      <protection locked="0"/>
    </xf>
    <xf numFmtId="0" fontId="17" fillId="16" borderId="24" xfId="40" applyNumberFormat="1" applyFont="1" applyBorder="1" applyAlignment="1" applyProtection="1">
      <alignment horizontal="center"/>
      <protection/>
    </xf>
    <xf numFmtId="0" fontId="17" fillId="16" borderId="13" xfId="40" applyNumberFormat="1" applyFont="1" applyBorder="1" applyAlignment="1" applyProtection="1">
      <alignment horizontal="center"/>
      <protection/>
    </xf>
    <xf numFmtId="0" fontId="17" fillId="6" borderId="31" xfId="0" applyFont="1" applyFill="1" applyBorder="1" applyAlignment="1">
      <alignment vertical="top" wrapText="1"/>
    </xf>
    <xf numFmtId="0" fontId="17" fillId="16" borderId="21" xfId="40" applyNumberFormat="1" applyFont="1" applyBorder="1" applyAlignment="1" applyProtection="1">
      <alignment horizontal="center"/>
      <protection/>
    </xf>
    <xf numFmtId="164" fontId="14" fillId="16" borderId="30" xfId="40" applyNumberFormat="1" applyFont="1" applyBorder="1" applyAlignment="1" applyProtection="1">
      <alignment horizontal="right"/>
      <protection/>
    </xf>
    <xf numFmtId="0" fontId="14" fillId="0" borderId="21" xfId="0" applyFont="1" applyFill="1" applyBorder="1" applyAlignment="1" applyProtection="1">
      <alignment wrapText="1"/>
      <protection/>
    </xf>
    <xf numFmtId="4" fontId="14" fillId="0" borderId="12" xfId="0" applyNumberFormat="1" applyFont="1" applyFill="1" applyBorder="1" applyAlignment="1">
      <alignment horizontal="center"/>
    </xf>
    <xf numFmtId="0" fontId="28" fillId="0" borderId="12" xfId="0" applyFont="1" applyFill="1" applyBorder="1" applyAlignment="1" applyProtection="1">
      <alignment horizontal="center"/>
      <protection/>
    </xf>
    <xf numFmtId="3" fontId="19" fillId="19" borderId="12" xfId="0" applyNumberFormat="1" applyFont="1" applyFill="1" applyBorder="1" applyAlignment="1" applyProtection="1">
      <alignment vertical="top" wrapText="1"/>
      <protection locked="0"/>
    </xf>
    <xf numFmtId="0" fontId="17" fillId="2" borderId="8" xfId="0" applyFont="1" applyFill="1" applyBorder="1" applyAlignment="1">
      <alignment vertical="top" wrapText="1"/>
    </xf>
    <xf numFmtId="0" fontId="14" fillId="2" borderId="14" xfId="0" applyFont="1" applyFill="1" applyBorder="1" applyAlignment="1">
      <alignment vertical="top" wrapText="1"/>
    </xf>
    <xf numFmtId="0" fontId="14" fillId="2" borderId="13" xfId="0" applyFont="1" applyFill="1" applyBorder="1" applyAlignment="1">
      <alignment vertical="top" wrapText="1"/>
    </xf>
    <xf numFmtId="0" fontId="14" fillId="26" borderId="1" xfId="40" applyNumberFormat="1" applyFont="1" applyFill="1" applyAlignment="1" applyProtection="1">
      <alignment horizontal="center"/>
      <protection/>
    </xf>
    <xf numFmtId="0" fontId="17" fillId="2" borderId="0" xfId="0" applyFont="1" applyFill="1" applyBorder="1" applyAlignment="1">
      <alignment wrapText="1"/>
    </xf>
    <xf numFmtId="0" fontId="17" fillId="2" borderId="0" xfId="0" applyFont="1" applyFill="1" applyBorder="1" applyAlignment="1">
      <alignment/>
    </xf>
    <xf numFmtId="3" fontId="14" fillId="2" borderId="0" xfId="0" applyNumberFormat="1" applyFont="1" applyFill="1" applyBorder="1" applyAlignment="1">
      <alignment horizontal="center"/>
    </xf>
    <xf numFmtId="0" fontId="23" fillId="2" borderId="0" xfId="0" applyFont="1" applyFill="1" applyBorder="1" applyAlignment="1">
      <alignment vertical="top" wrapText="1"/>
    </xf>
    <xf numFmtId="0" fontId="17" fillId="2" borderId="0" xfId="0" applyFont="1" applyFill="1" applyBorder="1" applyAlignment="1">
      <alignment horizontal="center"/>
    </xf>
    <xf numFmtId="0" fontId="19" fillId="2" borderId="0" xfId="0" applyFont="1" applyFill="1" applyBorder="1" applyAlignment="1">
      <alignment vertical="top" wrapText="1"/>
    </xf>
    <xf numFmtId="3" fontId="14" fillId="26" borderId="1" xfId="40" applyNumberFormat="1" applyFont="1" applyFill="1" applyAlignment="1" applyProtection="1">
      <alignment horizontal="center"/>
      <protection/>
    </xf>
    <xf numFmtId="9" fontId="14" fillId="26" borderId="1" xfId="40" applyNumberFormat="1" applyFont="1" applyFill="1" applyAlignment="1" applyProtection="1">
      <alignment horizontal="center"/>
      <protection/>
    </xf>
    <xf numFmtId="3" fontId="14" fillId="26" borderId="12" xfId="0" applyNumberFormat="1" applyFont="1" applyFill="1" applyBorder="1" applyAlignment="1">
      <alignment horizontal="center"/>
    </xf>
    <xf numFmtId="3" fontId="14" fillId="2" borderId="1" xfId="40" applyNumberFormat="1" applyFont="1" applyFill="1" applyAlignment="1" applyProtection="1">
      <alignment horizontal="center"/>
      <protection/>
    </xf>
    <xf numFmtId="0" fontId="14" fillId="2" borderId="0" xfId="0" applyFont="1" applyFill="1" applyBorder="1" applyAlignment="1">
      <alignment vertical="top" wrapText="1"/>
    </xf>
    <xf numFmtId="0" fontId="23" fillId="2" borderId="0" xfId="0" applyFont="1" applyFill="1" applyBorder="1" applyAlignment="1">
      <alignment wrapText="1"/>
    </xf>
    <xf numFmtId="0" fontId="23" fillId="2" borderId="0" xfId="0" applyFont="1" applyFill="1" applyBorder="1" applyAlignment="1">
      <alignment/>
    </xf>
    <xf numFmtId="0" fontId="19" fillId="2" borderId="8" xfId="0" applyFont="1" applyFill="1" applyBorder="1" applyAlignment="1">
      <alignment vertical="top" wrapText="1"/>
    </xf>
    <xf numFmtId="3" fontId="14" fillId="2" borderId="9" xfId="0" applyNumberFormat="1" applyFont="1" applyFill="1" applyBorder="1" applyAlignment="1">
      <alignment horizontal="center"/>
    </xf>
    <xf numFmtId="3" fontId="14" fillId="2" borderId="10" xfId="0" applyNumberFormat="1" applyFont="1" applyFill="1" applyBorder="1" applyAlignment="1">
      <alignment horizontal="center"/>
    </xf>
    <xf numFmtId="0" fontId="17" fillId="2" borderId="8" xfId="0" applyFont="1" applyFill="1" applyBorder="1" applyAlignment="1">
      <alignment wrapText="1"/>
    </xf>
    <xf numFmtId="0" fontId="14" fillId="26" borderId="1" xfId="40" applyNumberFormat="1" applyFont="1" applyFill="1" applyAlignment="1" applyProtection="1">
      <alignment/>
      <protection/>
    </xf>
    <xf numFmtId="0" fontId="14" fillId="2" borderId="9" xfId="0" applyFont="1" applyFill="1" applyBorder="1" applyAlignment="1">
      <alignment vertical="top" wrapText="1"/>
    </xf>
    <xf numFmtId="0" fontId="14" fillId="2" borderId="10" xfId="0" applyFont="1" applyFill="1" applyBorder="1" applyAlignment="1">
      <alignment vertical="top" wrapText="1"/>
    </xf>
    <xf numFmtId="3" fontId="14" fillId="2" borderId="0" xfId="0" applyNumberFormat="1" applyFont="1" applyFill="1" applyAlignment="1">
      <alignment vertical="top" wrapText="1"/>
    </xf>
    <xf numFmtId="0" fontId="14" fillId="2" borderId="0" xfId="0" applyFont="1" applyFill="1" applyAlignment="1">
      <alignment vertical="top" wrapText="1"/>
    </xf>
    <xf numFmtId="0" fontId="17" fillId="2" borderId="0" xfId="0" applyFont="1" applyFill="1" applyBorder="1" applyAlignment="1">
      <alignment vertical="top" wrapText="1"/>
    </xf>
    <xf numFmtId="3" fontId="14" fillId="2" borderId="0" xfId="0" applyNumberFormat="1" applyFont="1" applyFill="1" applyBorder="1" applyAlignment="1">
      <alignment vertical="top" wrapText="1"/>
    </xf>
    <xf numFmtId="165" fontId="14" fillId="26" borderId="1" xfId="40" applyNumberFormat="1" applyFont="1" applyFill="1" applyAlignment="1" applyProtection="1">
      <alignment/>
      <protection/>
    </xf>
    <xf numFmtId="0" fontId="17" fillId="26" borderId="9" xfId="0" applyFont="1" applyFill="1" applyBorder="1" applyAlignment="1">
      <alignment vertical="top" wrapText="1"/>
    </xf>
    <xf numFmtId="0" fontId="14" fillId="26" borderId="9" xfId="0" applyFont="1" applyFill="1" applyBorder="1" applyAlignment="1">
      <alignment vertical="top" wrapText="1"/>
    </xf>
    <xf numFmtId="0" fontId="2" fillId="26" borderId="9" xfId="0" applyFont="1" applyFill="1" applyBorder="1" applyAlignment="1">
      <alignment vertical="top" wrapText="1"/>
    </xf>
    <xf numFmtId="0" fontId="14" fillId="2" borderId="11" xfId="0" applyFont="1" applyFill="1" applyBorder="1" applyAlignment="1">
      <alignment vertical="top" wrapText="1"/>
    </xf>
    <xf numFmtId="0" fontId="14" fillId="2" borderId="14" xfId="0" applyFont="1" applyFill="1" applyBorder="1" applyAlignment="1">
      <alignment horizontal="center"/>
    </xf>
    <xf numFmtId="0" fontId="23" fillId="2" borderId="8" xfId="0" applyFont="1" applyFill="1" applyBorder="1" applyAlignment="1">
      <alignment vertical="top" wrapText="1"/>
    </xf>
    <xf numFmtId="0" fontId="17" fillId="2" borderId="12" xfId="0" applyFont="1" applyFill="1" applyBorder="1" applyAlignment="1">
      <alignment horizontal="center"/>
    </xf>
    <xf numFmtId="0" fontId="17" fillId="2" borderId="10" xfId="0" applyFont="1" applyFill="1" applyBorder="1" applyAlignment="1">
      <alignment horizontal="center"/>
    </xf>
    <xf numFmtId="0" fontId="33" fillId="2" borderId="0" xfId="0" applyFont="1" applyFill="1" applyAlignment="1">
      <alignment vertical="top" wrapText="1"/>
    </xf>
    <xf numFmtId="0" fontId="17" fillId="2" borderId="12" xfId="0" applyFont="1" applyFill="1" applyBorder="1" applyAlignment="1">
      <alignment vertical="top" wrapText="1"/>
    </xf>
    <xf numFmtId="3" fontId="17" fillId="2" borderId="12" xfId="0" applyNumberFormat="1" applyFont="1" applyFill="1" applyBorder="1" applyAlignment="1">
      <alignment horizontal="center"/>
    </xf>
    <xf numFmtId="0" fontId="14" fillId="2" borderId="32" xfId="0" applyFont="1" applyFill="1" applyBorder="1" applyAlignment="1">
      <alignment vertical="top" wrapText="1"/>
    </xf>
    <xf numFmtId="0" fontId="17" fillId="2" borderId="9" xfId="0" applyFont="1" applyFill="1" applyBorder="1" applyAlignment="1">
      <alignment horizontal="center"/>
    </xf>
    <xf numFmtId="0" fontId="0" fillId="2" borderId="0" xfId="0" applyFont="1" applyFill="1" applyAlignment="1">
      <alignment vertical="top" wrapText="1"/>
    </xf>
    <xf numFmtId="0" fontId="2" fillId="2" borderId="27" xfId="0" applyFont="1" applyFill="1" applyBorder="1" applyAlignment="1">
      <alignment vertical="top" wrapText="1"/>
    </xf>
    <xf numFmtId="0" fontId="2" fillId="2" borderId="0" xfId="0" applyFont="1" applyFill="1" applyBorder="1" applyAlignment="1">
      <alignment vertical="top" wrapText="1"/>
    </xf>
    <xf numFmtId="0" fontId="14" fillId="2" borderId="0" xfId="0" applyFont="1" applyFill="1" applyBorder="1" applyAlignment="1">
      <alignment vertical="top" wrapText="1"/>
    </xf>
    <xf numFmtId="0" fontId="14" fillId="2" borderId="8" xfId="0" applyFont="1" applyFill="1" applyBorder="1" applyAlignment="1">
      <alignment vertical="top" wrapText="1"/>
    </xf>
    <xf numFmtId="0" fontId="17" fillId="2" borderId="11" xfId="0" applyFont="1" applyFill="1" applyBorder="1" applyAlignment="1">
      <alignment vertical="top" wrapText="1"/>
    </xf>
    <xf numFmtId="0" fontId="17" fillId="2" borderId="14" xfId="0" applyFont="1" applyFill="1" applyBorder="1" applyAlignment="1">
      <alignment horizontal="center"/>
    </xf>
    <xf numFmtId="0" fontId="14" fillId="22" borderId="15" xfId="0" applyFont="1" applyFill="1" applyBorder="1" applyAlignment="1">
      <alignment vertical="top" wrapText="1"/>
    </xf>
    <xf numFmtId="3" fontId="14" fillId="2" borderId="15" xfId="0" applyNumberFormat="1" applyFont="1" applyFill="1" applyBorder="1" applyAlignment="1">
      <alignment horizontal="center"/>
    </xf>
    <xf numFmtId="0" fontId="14" fillId="22" borderId="12" xfId="0" applyFont="1" applyFill="1" applyBorder="1" applyAlignment="1">
      <alignment vertical="top" wrapText="1"/>
    </xf>
    <xf numFmtId="0" fontId="17" fillId="22" borderId="12" xfId="0" applyFont="1" applyFill="1" applyBorder="1" applyAlignment="1">
      <alignment vertical="top" wrapText="1"/>
    </xf>
    <xf numFmtId="0" fontId="17" fillId="22" borderId="11" xfId="0" applyFont="1" applyFill="1" applyBorder="1" applyAlignment="1">
      <alignment vertical="top" wrapText="1"/>
    </xf>
    <xf numFmtId="3" fontId="17" fillId="2" borderId="15" xfId="0" applyNumberFormat="1" applyFont="1" applyFill="1" applyBorder="1" applyAlignment="1">
      <alignment horizontal="center"/>
    </xf>
    <xf numFmtId="0" fontId="17" fillId="2" borderId="16" xfId="0" applyFont="1" applyFill="1" applyBorder="1" applyAlignment="1">
      <alignment vertical="top" wrapText="1"/>
    </xf>
    <xf numFmtId="0" fontId="14" fillId="2" borderId="27" xfId="0" applyFont="1" applyFill="1" applyBorder="1" applyAlignment="1">
      <alignment vertical="top" wrapText="1"/>
    </xf>
    <xf numFmtId="165" fontId="2" fillId="2" borderId="0" xfId="0" applyNumberFormat="1" applyFont="1" applyFill="1" applyBorder="1" applyAlignment="1" applyProtection="1">
      <alignment vertical="top" wrapText="1"/>
      <protection/>
    </xf>
    <xf numFmtId="10" fontId="14" fillId="2" borderId="0" xfId="0" applyNumberFormat="1" applyFont="1" applyFill="1" applyAlignment="1">
      <alignment vertical="top" wrapText="1"/>
    </xf>
    <xf numFmtId="165" fontId="14" fillId="2" borderId="0" xfId="0" applyNumberFormat="1" applyFont="1" applyFill="1" applyAlignment="1">
      <alignment vertical="top" wrapText="1"/>
    </xf>
    <xf numFmtId="0" fontId="14" fillId="2" borderId="15" xfId="0" applyFont="1" applyFill="1" applyBorder="1" applyAlignment="1">
      <alignment vertical="top" wrapText="1"/>
    </xf>
    <xf numFmtId="0" fontId="2" fillId="2" borderId="8" xfId="0" applyFont="1" applyFill="1" applyBorder="1" applyAlignment="1">
      <alignment vertical="top" wrapText="1"/>
    </xf>
    <xf numFmtId="0" fontId="14" fillId="2" borderId="9" xfId="0" applyFont="1" applyFill="1" applyBorder="1" applyAlignment="1">
      <alignment horizontal="center"/>
    </xf>
    <xf numFmtId="0" fontId="2" fillId="2" borderId="9" xfId="0" applyFont="1" applyFill="1" applyBorder="1" applyAlignment="1">
      <alignment vertical="top" wrapText="1"/>
    </xf>
    <xf numFmtId="166" fontId="17" fillId="2" borderId="12" xfId="0" applyNumberFormat="1" applyFont="1" applyFill="1" applyBorder="1" applyAlignment="1">
      <alignment horizontal="center"/>
    </xf>
    <xf numFmtId="0" fontId="17" fillId="2" borderId="24" xfId="0" applyFont="1" applyFill="1" applyBorder="1" applyAlignment="1">
      <alignment vertical="top" wrapText="1"/>
    </xf>
    <xf numFmtId="3" fontId="17" fillId="2" borderId="24" xfId="0" applyNumberFormat="1" applyFont="1" applyFill="1" applyBorder="1" applyAlignment="1">
      <alignment horizontal="center"/>
    </xf>
    <xf numFmtId="166" fontId="17" fillId="2" borderId="9" xfId="0" applyNumberFormat="1" applyFont="1" applyFill="1" applyBorder="1" applyAlignment="1">
      <alignment horizontal="center"/>
    </xf>
    <xf numFmtId="0" fontId="0" fillId="2" borderId="9" xfId="0" applyFont="1" applyFill="1" applyBorder="1" applyAlignment="1">
      <alignment vertical="top" wrapText="1"/>
    </xf>
    <xf numFmtId="9" fontId="17" fillId="2" borderId="9" xfId="0" applyNumberFormat="1" applyFont="1" applyFill="1" applyBorder="1" applyAlignment="1">
      <alignment horizontal="center"/>
    </xf>
    <xf numFmtId="166" fontId="17" fillId="2" borderId="10" xfId="0" applyNumberFormat="1" applyFont="1" applyFill="1" applyBorder="1" applyAlignment="1">
      <alignment horizontal="center"/>
    </xf>
    <xf numFmtId="167" fontId="17" fillId="2" borderId="9" xfId="0" applyNumberFormat="1" applyFont="1" applyFill="1" applyBorder="1" applyAlignment="1">
      <alignment horizontal="center"/>
    </xf>
    <xf numFmtId="0" fontId="0" fillId="2" borderId="10" xfId="0" applyFont="1" applyFill="1" applyBorder="1" applyAlignment="1">
      <alignment vertical="top" wrapText="1"/>
    </xf>
    <xf numFmtId="0" fontId="0" fillId="2" borderId="0" xfId="0" applyFont="1" applyFill="1" applyBorder="1" applyAlignment="1">
      <alignment vertical="top" wrapText="1"/>
    </xf>
    <xf numFmtId="167" fontId="17" fillId="2" borderId="0" xfId="0" applyNumberFormat="1" applyFont="1" applyFill="1" applyBorder="1" applyAlignment="1">
      <alignment horizontal="center"/>
    </xf>
    <xf numFmtId="0" fontId="0" fillId="2" borderId="0" xfId="0" applyFont="1" applyFill="1" applyAlignment="1">
      <alignment vertical="top" wrapText="1"/>
    </xf>
    <xf numFmtId="0" fontId="17" fillId="2" borderId="0" xfId="0" applyFont="1" applyFill="1" applyAlignment="1">
      <alignment vertical="top" wrapText="1"/>
    </xf>
    <xf numFmtId="0" fontId="23" fillId="2" borderId="0" xfId="0" applyFont="1" applyFill="1" applyAlignment="1">
      <alignment vertical="top" wrapText="1"/>
    </xf>
    <xf numFmtId="0" fontId="14" fillId="2" borderId="12" xfId="0" applyFont="1" applyFill="1" applyBorder="1" applyAlignment="1">
      <alignment horizontal="left" vertical="center" wrapText="1"/>
    </xf>
    <xf numFmtId="4" fontId="14" fillId="2" borderId="12" xfId="0" applyNumberFormat="1" applyFont="1" applyFill="1" applyBorder="1" applyAlignment="1">
      <alignment horizontal="center" vertical="center"/>
    </xf>
    <xf numFmtId="0" fontId="0" fillId="2" borderId="0" xfId="0" applyFont="1" applyFill="1" applyAlignment="1">
      <alignment horizontal="center" vertical="center"/>
    </xf>
    <xf numFmtId="0" fontId="14" fillId="2" borderId="12" xfId="0" applyFont="1" applyFill="1" applyBorder="1" applyAlignment="1">
      <alignment horizontal="center" vertical="center" wrapText="1"/>
    </xf>
    <xf numFmtId="3" fontId="14" fillId="2" borderId="12" xfId="0" applyNumberFormat="1" applyFont="1" applyFill="1" applyBorder="1" applyAlignment="1">
      <alignment horizontal="center" vertical="center"/>
    </xf>
    <xf numFmtId="0" fontId="14" fillId="2" borderId="9" xfId="0" applyFont="1" applyFill="1" applyBorder="1" applyAlignment="1">
      <alignment horizontal="center" vertical="center" wrapText="1"/>
    </xf>
    <xf numFmtId="3" fontId="14" fillId="2" borderId="9" xfId="0" applyNumberFormat="1" applyFont="1" applyFill="1" applyBorder="1" applyAlignment="1">
      <alignment horizontal="center" vertical="center"/>
    </xf>
    <xf numFmtId="0" fontId="0" fillId="26" borderId="9" xfId="0" applyFont="1" applyFill="1" applyBorder="1" applyAlignment="1">
      <alignment/>
    </xf>
    <xf numFmtId="0" fontId="2" fillId="2" borderId="11" xfId="0" applyFont="1" applyFill="1" applyBorder="1" applyAlignment="1">
      <alignment vertical="top" wrapText="1"/>
    </xf>
    <xf numFmtId="0" fontId="2" fillId="2" borderId="14" xfId="0" applyFont="1" applyFill="1" applyBorder="1" applyAlignment="1">
      <alignment vertical="top" wrapText="1"/>
    </xf>
    <xf numFmtId="0" fontId="17" fillId="2" borderId="25" xfId="0" applyFont="1" applyFill="1" applyBorder="1" applyAlignment="1">
      <alignment horizontal="center"/>
    </xf>
    <xf numFmtId="0" fontId="17" fillId="2" borderId="15" xfId="0" applyFont="1" applyFill="1" applyBorder="1" applyAlignment="1">
      <alignment horizontal="center"/>
    </xf>
    <xf numFmtId="166" fontId="14" fillId="2" borderId="9" xfId="0" applyNumberFormat="1" applyFont="1" applyFill="1" applyBorder="1" applyAlignment="1">
      <alignment horizontal="center"/>
    </xf>
    <xf numFmtId="166" fontId="14" fillId="2" borderId="10" xfId="0" applyNumberFormat="1" applyFont="1" applyFill="1" applyBorder="1" applyAlignment="1">
      <alignment horizontal="center"/>
    </xf>
    <xf numFmtId="10" fontId="14" fillId="2" borderId="15" xfId="0" applyNumberFormat="1" applyFont="1" applyFill="1" applyBorder="1" applyAlignment="1">
      <alignment horizontal="center"/>
    </xf>
    <xf numFmtId="0" fontId="34" fillId="2" borderId="0" xfId="0" applyFont="1" applyFill="1" applyBorder="1" applyAlignment="1">
      <alignment vertical="top" wrapText="1"/>
    </xf>
    <xf numFmtId="0" fontId="17" fillId="2" borderId="15" xfId="0" applyFont="1" applyFill="1" applyBorder="1" applyAlignment="1">
      <alignment vertical="top" wrapText="1"/>
    </xf>
    <xf numFmtId="0" fontId="19" fillId="2" borderId="12" xfId="0" applyFont="1" applyFill="1" applyBorder="1" applyAlignment="1">
      <alignment vertical="top" wrapText="1"/>
    </xf>
    <xf numFmtId="3" fontId="19" fillId="2" borderId="12" xfId="0" applyNumberFormat="1" applyFont="1" applyFill="1" applyBorder="1" applyAlignment="1">
      <alignment horizontal="center"/>
    </xf>
    <xf numFmtId="0" fontId="6" fillId="2" borderId="0" xfId="50" applyFill="1">
      <alignment vertical="top"/>
    </xf>
    <xf numFmtId="0" fontId="7" fillId="2" borderId="0" xfId="51" applyFill="1">
      <alignment vertical="top"/>
    </xf>
    <xf numFmtId="0" fontId="31" fillId="2" borderId="0" xfId="0" applyFont="1" applyFill="1" applyAlignment="1" applyProtection="1">
      <alignment vertical="top" wrapText="1"/>
      <protection/>
    </xf>
    <xf numFmtId="0" fontId="18" fillId="26" borderId="8" xfId="0" applyFont="1" applyFill="1" applyBorder="1" applyAlignment="1" applyProtection="1">
      <alignment vertical="top" wrapText="1"/>
      <protection/>
    </xf>
    <xf numFmtId="0" fontId="32" fillId="26" borderId="9" xfId="0" applyFont="1" applyFill="1" applyBorder="1" applyAlignment="1" applyProtection="1">
      <alignment vertical="top" wrapText="1"/>
      <protection/>
    </xf>
    <xf numFmtId="0" fontId="31" fillId="26" borderId="9" xfId="0" applyFont="1" applyFill="1" applyBorder="1" applyAlignment="1" applyProtection="1">
      <alignment vertical="top" wrapText="1"/>
      <protection/>
    </xf>
    <xf numFmtId="0" fontId="14" fillId="2" borderId="8" xfId="0" applyFont="1" applyFill="1" applyBorder="1" applyAlignment="1" applyProtection="1">
      <alignment vertical="top" wrapText="1"/>
      <protection/>
    </xf>
    <xf numFmtId="0" fontId="14" fillId="2" borderId="9" xfId="0" applyFont="1" applyFill="1" applyBorder="1" applyAlignment="1" applyProtection="1">
      <alignment vertical="top" wrapText="1"/>
      <protection/>
    </xf>
    <xf numFmtId="0" fontId="14" fillId="2" borderId="9" xfId="0" applyFont="1" applyFill="1" applyBorder="1" applyAlignment="1" applyProtection="1">
      <alignment horizontal="center"/>
      <protection/>
    </xf>
    <xf numFmtId="0" fontId="14" fillId="2" borderId="0" xfId="0" applyFont="1" applyFill="1" applyAlignment="1" applyProtection="1">
      <alignment vertical="top" wrapText="1"/>
      <protection/>
    </xf>
    <xf numFmtId="0" fontId="17" fillId="2" borderId="9" xfId="0" applyFont="1" applyFill="1" applyBorder="1" applyAlignment="1" applyProtection="1">
      <alignment horizontal="center"/>
      <protection/>
    </xf>
    <xf numFmtId="0" fontId="17" fillId="2" borderId="11" xfId="0" applyFont="1" applyFill="1" applyBorder="1" applyAlignment="1" applyProtection="1">
      <alignment vertical="top" wrapText="1"/>
      <protection/>
    </xf>
    <xf numFmtId="0" fontId="17" fillId="2" borderId="14" xfId="0" applyFont="1" applyFill="1" applyBorder="1" applyAlignment="1" applyProtection="1">
      <alignment horizontal="center"/>
      <protection/>
    </xf>
    <xf numFmtId="0" fontId="14" fillId="2" borderId="12" xfId="0" applyFont="1" applyFill="1" applyBorder="1" applyAlignment="1" applyProtection="1">
      <alignment vertical="top" wrapText="1"/>
      <protection/>
    </xf>
    <xf numFmtId="3" fontId="14" fillId="2" borderId="12" xfId="0" applyNumberFormat="1" applyFont="1" applyFill="1" applyBorder="1" applyAlignment="1" applyProtection="1">
      <alignment horizontal="center"/>
      <protection/>
    </xf>
    <xf numFmtId="0" fontId="14" fillId="2" borderId="12" xfId="0" applyFont="1" applyFill="1" applyBorder="1" applyAlignment="1" applyProtection="1">
      <alignment wrapText="1"/>
      <protection/>
    </xf>
    <xf numFmtId="0" fontId="17" fillId="2" borderId="12" xfId="0" applyFont="1" applyFill="1" applyBorder="1" applyAlignment="1" applyProtection="1">
      <alignment vertical="top" wrapText="1"/>
      <protection/>
    </xf>
    <xf numFmtId="3" fontId="17" fillId="2" borderId="12" xfId="0" applyNumberFormat="1" applyFont="1" applyFill="1" applyBorder="1" applyAlignment="1" applyProtection="1">
      <alignment horizontal="center"/>
      <protection/>
    </xf>
    <xf numFmtId="166" fontId="14" fillId="2" borderId="12" xfId="0" applyNumberFormat="1" applyFont="1" applyFill="1" applyBorder="1" applyAlignment="1" applyProtection="1">
      <alignment horizontal="center"/>
      <protection/>
    </xf>
    <xf numFmtId="166" fontId="17" fillId="2" borderId="12" xfId="0" applyNumberFormat="1" applyFont="1" applyFill="1" applyBorder="1" applyAlignment="1" applyProtection="1">
      <alignment horizontal="center"/>
      <protection/>
    </xf>
    <xf numFmtId="0" fontId="14" fillId="2" borderId="12" xfId="0" applyFont="1" applyFill="1" applyBorder="1" applyAlignment="1" applyProtection="1">
      <alignment horizontal="left" indent="1"/>
      <protection/>
    </xf>
    <xf numFmtId="0" fontId="17" fillId="2" borderId="12" xfId="0" applyFont="1" applyFill="1" applyBorder="1" applyAlignment="1" applyProtection="1">
      <alignment wrapText="1"/>
      <protection/>
    </xf>
    <xf numFmtId="3" fontId="14" fillId="2" borderId="0" xfId="0" applyNumberFormat="1" applyFont="1" applyFill="1" applyAlignment="1" applyProtection="1">
      <alignment vertical="top" wrapText="1"/>
      <protection/>
    </xf>
    <xf numFmtId="0" fontId="32" fillId="2" borderId="0" xfId="0" applyFont="1" applyFill="1" applyAlignment="1" applyProtection="1">
      <alignment vertical="top" wrapText="1"/>
      <protection/>
    </xf>
    <xf numFmtId="3" fontId="31" fillId="2" borderId="0" xfId="0" applyNumberFormat="1" applyFont="1" applyFill="1" applyAlignment="1" applyProtection="1">
      <alignment vertical="top" wrapText="1"/>
      <protection/>
    </xf>
    <xf numFmtId="3" fontId="7" fillId="2" borderId="0" xfId="51" applyNumberFormat="1" applyFill="1" applyProtection="1">
      <alignment vertical="top"/>
      <protection/>
    </xf>
    <xf numFmtId="3" fontId="6" fillId="2" borderId="0" xfId="50" applyNumberFormat="1" applyFill="1" applyProtection="1">
      <alignment vertical="top"/>
      <protection/>
    </xf>
    <xf numFmtId="0" fontId="17" fillId="2" borderId="9" xfId="0" applyFont="1" applyFill="1" applyBorder="1" applyAlignment="1">
      <alignment vertical="top" wrapText="1"/>
    </xf>
    <xf numFmtId="0" fontId="2" fillId="2" borderId="27" xfId="0" applyFont="1" applyFill="1" applyBorder="1" applyAlignment="1">
      <alignment vertical="top" wrapText="1"/>
    </xf>
    <xf numFmtId="0" fontId="14" fillId="2" borderId="8" xfId="0" applyFont="1" applyFill="1" applyBorder="1" applyAlignment="1">
      <alignment vertical="top" wrapText="1"/>
    </xf>
    <xf numFmtId="0" fontId="17" fillId="2" borderId="11" xfId="0" applyFont="1" applyFill="1" applyBorder="1" applyAlignment="1">
      <alignment vertical="top" wrapText="1"/>
    </xf>
    <xf numFmtId="0" fontId="14" fillId="22" borderId="15" xfId="0" applyFont="1" applyFill="1" applyBorder="1" applyAlignment="1">
      <alignment vertical="top" wrapText="1"/>
    </xf>
    <xf numFmtId="0" fontId="14" fillId="22" borderId="12" xfId="0" applyFont="1" applyFill="1" applyBorder="1" applyAlignment="1">
      <alignment vertical="top" wrapText="1"/>
    </xf>
    <xf numFmtId="0" fontId="17" fillId="22" borderId="12" xfId="0" applyFont="1" applyFill="1" applyBorder="1" applyAlignment="1">
      <alignment vertical="top" wrapText="1"/>
    </xf>
    <xf numFmtId="0" fontId="17" fillId="22" borderId="11" xfId="0" applyFont="1" applyFill="1" applyBorder="1" applyAlignment="1">
      <alignment vertical="top" wrapText="1"/>
    </xf>
    <xf numFmtId="0" fontId="17" fillId="2" borderId="12" xfId="0" applyFont="1" applyFill="1" applyBorder="1" applyAlignment="1">
      <alignment vertical="top" wrapText="1"/>
    </xf>
    <xf numFmtId="0" fontId="14" fillId="2" borderId="12" xfId="0" applyFont="1" applyFill="1" applyBorder="1" applyAlignment="1">
      <alignment vertical="top" wrapText="1"/>
    </xf>
    <xf numFmtId="0" fontId="17" fillId="2" borderId="16" xfId="0" applyFont="1" applyFill="1" applyBorder="1" applyAlignment="1">
      <alignment vertical="top" wrapText="1"/>
    </xf>
    <xf numFmtId="0" fontId="18" fillId="26" borderId="8" xfId="0" applyFont="1" applyFill="1" applyBorder="1" applyAlignment="1">
      <alignment/>
    </xf>
    <xf numFmtId="0" fontId="2" fillId="2" borderId="11" xfId="0" applyFont="1" applyFill="1" applyBorder="1" applyAlignment="1">
      <alignment vertical="top" wrapText="1"/>
    </xf>
    <xf numFmtId="0" fontId="14" fillId="2" borderId="27" xfId="0" applyFont="1" applyFill="1" applyBorder="1" applyAlignment="1">
      <alignment vertical="top" wrapText="1"/>
    </xf>
    <xf numFmtId="0" fontId="17" fillId="2" borderId="8" xfId="0" applyFont="1" applyFill="1" applyBorder="1" applyAlignment="1">
      <alignment vertical="top" wrapText="1"/>
    </xf>
    <xf numFmtId="3" fontId="14" fillId="2" borderId="15" xfId="0" applyNumberFormat="1" applyFont="1" applyFill="1" applyBorder="1" applyAlignment="1">
      <alignment vertical="top" wrapText="1"/>
    </xf>
    <xf numFmtId="3" fontId="14" fillId="2" borderId="15" xfId="0" applyNumberFormat="1" applyFont="1" applyFill="1" applyBorder="1" applyAlignment="1">
      <alignment horizontal="right"/>
    </xf>
    <xf numFmtId="0" fontId="14" fillId="2" borderId="15" xfId="0" applyFont="1" applyFill="1" applyBorder="1" applyAlignment="1">
      <alignment vertical="top" wrapText="1"/>
    </xf>
    <xf numFmtId="3" fontId="17" fillId="2" borderId="24" xfId="0" applyNumberFormat="1" applyFont="1" applyFill="1" applyBorder="1" applyAlignment="1">
      <alignment horizontal="right"/>
    </xf>
    <xf numFmtId="166" fontId="17" fillId="2" borderId="9" xfId="0" applyNumberFormat="1" applyFont="1" applyFill="1" applyBorder="1" applyAlignment="1">
      <alignment horizontal="right"/>
    </xf>
    <xf numFmtId="166" fontId="14" fillId="2" borderId="9" xfId="0" applyNumberFormat="1" applyFont="1" applyFill="1" applyBorder="1" applyAlignment="1">
      <alignment horizontal="right"/>
    </xf>
    <xf numFmtId="166" fontId="14" fillId="2" borderId="10" xfId="0" applyNumberFormat="1" applyFont="1" applyFill="1" applyBorder="1" applyAlignment="1">
      <alignment horizontal="right"/>
    </xf>
    <xf numFmtId="3" fontId="14" fillId="2" borderId="12" xfId="0" applyNumberFormat="1" applyFont="1" applyFill="1" applyBorder="1" applyAlignment="1">
      <alignment horizontal="right"/>
    </xf>
    <xf numFmtId="3" fontId="17" fillId="2" borderId="12" xfId="0" applyNumberFormat="1" applyFont="1" applyFill="1" applyBorder="1" applyAlignment="1">
      <alignment horizontal="right"/>
    </xf>
    <xf numFmtId="166" fontId="14" fillId="2" borderId="12" xfId="0" applyNumberFormat="1" applyFont="1" applyFill="1" applyBorder="1" applyAlignment="1">
      <alignment horizontal="right"/>
    </xf>
    <xf numFmtId="0" fontId="17" fillId="2" borderId="12" xfId="0" applyFont="1" applyFill="1" applyBorder="1" applyAlignment="1">
      <alignment wrapText="1"/>
    </xf>
    <xf numFmtId="165" fontId="17" fillId="2" borderId="12" xfId="0" applyNumberFormat="1" applyFont="1" applyFill="1" applyBorder="1" applyAlignment="1">
      <alignment horizontal="center" wrapText="1"/>
    </xf>
    <xf numFmtId="3" fontId="17" fillId="16" borderId="21" xfId="40" applyNumberFormat="1" applyFont="1" applyBorder="1" applyAlignment="1" applyProtection="1">
      <alignment horizontal="center"/>
      <protection/>
    </xf>
    <xf numFmtId="3" fontId="14" fillId="6" borderId="21" xfId="0" applyNumberFormat="1" applyFont="1" applyFill="1" applyBorder="1" applyAlignment="1">
      <alignment vertical="top" wrapText="1"/>
    </xf>
    <xf numFmtId="3" fontId="14" fillId="27" borderId="1" xfId="40" applyNumberFormat="1" applyFont="1" applyFill="1" applyAlignment="1" applyProtection="1">
      <alignment horizontal="right"/>
      <protection/>
    </xf>
    <xf numFmtId="0" fontId="14" fillId="2" borderId="0" xfId="0" applyFont="1" applyFill="1" applyBorder="1" applyAlignment="1" applyProtection="1">
      <alignment horizontal="right"/>
      <protection/>
    </xf>
    <xf numFmtId="4" fontId="14" fillId="2" borderId="12" xfId="0" applyNumberFormat="1" applyFont="1" applyFill="1" applyBorder="1" applyAlignment="1">
      <alignment horizontal="center"/>
    </xf>
    <xf numFmtId="3" fontId="14" fillId="0" borderId="1" xfId="40" applyNumberFormat="1" applyFont="1" applyFill="1" applyAlignment="1" applyProtection="1">
      <alignment horizontal="center"/>
      <protection/>
    </xf>
    <xf numFmtId="0" fontId="14" fillId="0" borderId="0" xfId="0" applyFont="1" applyFill="1" applyAlignment="1" applyProtection="1">
      <alignment vertical="top" wrapText="1"/>
      <protection locked="0"/>
    </xf>
    <xf numFmtId="0" fontId="23" fillId="0" borderId="15" xfId="0" applyFont="1" applyFill="1" applyBorder="1" applyAlignment="1" applyProtection="1">
      <alignment vertical="top" wrapText="1"/>
      <protection locked="0"/>
    </xf>
    <xf numFmtId="0" fontId="18" fillId="0" borderId="8" xfId="0" applyFont="1" applyFill="1" applyBorder="1" applyAlignment="1">
      <alignment vertical="top" wrapText="1"/>
    </xf>
    <xf numFmtId="0" fontId="14" fillId="0" borderId="9" xfId="0" applyFont="1" applyFill="1" applyBorder="1" applyAlignment="1">
      <alignment vertical="top" wrapText="1"/>
    </xf>
    <xf numFmtId="0" fontId="25" fillId="26" borderId="8" xfId="0" applyFont="1" applyFill="1" applyBorder="1" applyAlignment="1">
      <alignment vertical="top" wrapText="1"/>
    </xf>
    <xf numFmtId="0" fontId="17" fillId="11" borderId="0" xfId="0" applyFont="1" applyFill="1" applyAlignment="1" applyProtection="1">
      <alignment vertical="top" wrapText="1"/>
      <protection locked="0"/>
    </xf>
    <xf numFmtId="3" fontId="14" fillId="25" borderId="8" xfId="0" applyNumberFormat="1" applyFont="1" applyFill="1" applyBorder="1" applyAlignment="1" applyProtection="1">
      <alignment horizontal="right"/>
      <protection locked="0"/>
    </xf>
    <xf numFmtId="0" fontId="14" fillId="0" borderId="12" xfId="0" applyFont="1" applyFill="1" applyBorder="1" applyAlignment="1" applyProtection="1">
      <alignment vertical="top" wrapText="1"/>
      <protection locked="0"/>
    </xf>
    <xf numFmtId="0" fontId="17" fillId="2" borderId="0" xfId="0" applyFont="1" applyFill="1" applyBorder="1" applyAlignment="1">
      <alignment vertical="top" wrapText="1"/>
    </xf>
    <xf numFmtId="3" fontId="17" fillId="2" borderId="0" xfId="0" applyNumberFormat="1" applyFont="1" applyFill="1" applyBorder="1" applyAlignment="1">
      <alignment horizontal="center"/>
    </xf>
    <xf numFmtId="1" fontId="14" fillId="23" borderId="0" xfId="0" applyNumberFormat="1" applyFont="1" applyFill="1" applyBorder="1" applyAlignment="1">
      <alignment vertical="top" wrapText="1"/>
    </xf>
    <xf numFmtId="0" fontId="14" fillId="0" borderId="15" xfId="0"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14" fillId="0" borderId="21" xfId="0" applyFont="1" applyBorder="1" applyAlignment="1" applyProtection="1">
      <alignment vertical="top" wrapText="1"/>
      <protection locked="0"/>
    </xf>
    <xf numFmtId="0" fontId="14" fillId="22" borderId="11" xfId="0" applyFont="1" applyFill="1" applyBorder="1" applyAlignment="1">
      <alignment vertical="top" wrapText="1"/>
    </xf>
    <xf numFmtId="0" fontId="14" fillId="22" borderId="8" xfId="0" applyFont="1" applyFill="1" applyBorder="1" applyAlignment="1">
      <alignment vertical="top" wrapText="1"/>
    </xf>
    <xf numFmtId="0" fontId="17" fillId="22" borderId="8" xfId="0" applyFont="1" applyFill="1" applyBorder="1" applyAlignment="1">
      <alignment vertical="top" wrapText="1"/>
    </xf>
    <xf numFmtId="3" fontId="17" fillId="2" borderId="21" xfId="0" applyNumberFormat="1" applyFont="1" applyFill="1" applyBorder="1" applyAlignment="1">
      <alignment horizontal="center"/>
    </xf>
    <xf numFmtId="3" fontId="14" fillId="2" borderId="21" xfId="0" applyNumberFormat="1" applyFont="1" applyFill="1" applyBorder="1" applyAlignment="1">
      <alignment horizontal="center"/>
    </xf>
    <xf numFmtId="3" fontId="17" fillId="2" borderId="21" xfId="0" applyNumberFormat="1" applyFont="1" applyFill="1" applyBorder="1" applyAlignment="1">
      <alignment horizontal="center"/>
    </xf>
    <xf numFmtId="3" fontId="14" fillId="25" borderId="21" xfId="0" applyNumberFormat="1" applyFont="1" applyFill="1" applyBorder="1" applyAlignment="1" applyProtection="1">
      <alignment horizontal="right"/>
      <protection locked="0"/>
    </xf>
    <xf numFmtId="1" fontId="14" fillId="6" borderId="21" xfId="0" applyNumberFormat="1" applyFont="1" applyFill="1" applyBorder="1" applyAlignment="1">
      <alignment vertical="top" wrapText="1"/>
    </xf>
    <xf numFmtId="3" fontId="14" fillId="24" borderId="10" xfId="0" applyNumberFormat="1" applyFont="1" applyFill="1" applyBorder="1" applyAlignment="1" applyProtection="1">
      <alignment horizontal="right"/>
      <protection locked="0"/>
    </xf>
    <xf numFmtId="3" fontId="14" fillId="16" borderId="1" xfId="40" applyNumberFormat="1" applyFont="1" applyFill="1" applyAlignment="1" applyProtection="1">
      <alignment horizontal="right"/>
      <protection/>
    </xf>
    <xf numFmtId="0" fontId="14" fillId="28" borderId="8" xfId="0" applyFont="1" applyFill="1" applyBorder="1" applyAlignment="1" applyProtection="1">
      <alignment horizontal="left"/>
      <protection/>
    </xf>
    <xf numFmtId="0" fontId="14" fillId="29" borderId="8" xfId="0" applyFont="1" applyFill="1" applyBorder="1" applyAlignment="1" applyProtection="1">
      <alignment horizontal="left"/>
      <protection/>
    </xf>
    <xf numFmtId="0" fontId="14" fillId="28" borderId="12" xfId="0" applyFont="1" applyFill="1" applyBorder="1" applyAlignment="1" applyProtection="1">
      <alignment vertical="top" wrapText="1"/>
      <protection locked="0"/>
    </xf>
    <xf numFmtId="0" fontId="14" fillId="28" borderId="21" xfId="0" applyFont="1" applyFill="1" applyBorder="1" applyAlignment="1" applyProtection="1">
      <alignment vertical="top" wrapText="1"/>
      <protection locked="0"/>
    </xf>
    <xf numFmtId="0" fontId="14" fillId="29" borderId="21" xfId="0" applyFont="1" applyFill="1" applyBorder="1" applyAlignment="1" applyProtection="1">
      <alignment vertical="top" wrapText="1"/>
      <protection locked="0"/>
    </xf>
    <xf numFmtId="0" fontId="14" fillId="28" borderId="21" xfId="0" applyFont="1" applyFill="1" applyBorder="1" applyAlignment="1" applyProtection="1">
      <alignment vertical="top" wrapText="1"/>
      <protection locked="0"/>
    </xf>
    <xf numFmtId="0" fontId="14" fillId="29" borderId="21" xfId="0" applyFont="1" applyFill="1" applyBorder="1" applyAlignment="1" applyProtection="1">
      <alignment vertical="top" wrapText="1"/>
      <protection locked="0"/>
    </xf>
    <xf numFmtId="0" fontId="14" fillId="29" borderId="12" xfId="0" applyFont="1" applyFill="1" applyBorder="1" applyAlignment="1" applyProtection="1">
      <alignment vertical="top" wrapText="1"/>
      <protection locked="0"/>
    </xf>
    <xf numFmtId="0" fontId="37" fillId="28" borderId="8" xfId="0" applyFont="1" applyFill="1" applyBorder="1" applyAlignment="1" applyProtection="1">
      <alignment vertical="top" wrapText="1"/>
      <protection/>
    </xf>
    <xf numFmtId="0" fontId="36" fillId="29" borderId="8" xfId="0" applyFont="1" applyFill="1" applyBorder="1" applyAlignment="1" applyProtection="1">
      <alignment vertical="top" wrapText="1"/>
      <protection/>
    </xf>
    <xf numFmtId="0" fontId="37" fillId="28" borderId="15" xfId="0" applyFont="1" applyFill="1" applyBorder="1" applyAlignment="1" applyProtection="1">
      <alignment vertical="top" wrapText="1"/>
      <protection locked="0"/>
    </xf>
    <xf numFmtId="0" fontId="37" fillId="28" borderId="0" xfId="0" applyFont="1" applyFill="1" applyBorder="1" applyAlignment="1" applyProtection="1">
      <alignment vertical="top" wrapText="1"/>
      <protection locked="0"/>
    </xf>
    <xf numFmtId="0" fontId="36" fillId="29" borderId="15" xfId="0" applyFont="1" applyFill="1" applyBorder="1" applyAlignment="1" applyProtection="1">
      <alignment vertical="top" wrapText="1"/>
      <protection locked="0"/>
    </xf>
    <xf numFmtId="0" fontId="36" fillId="29" borderId="12" xfId="0" applyFont="1" applyFill="1" applyBorder="1" applyAlignment="1" applyProtection="1">
      <alignment vertical="top" wrapText="1"/>
      <protection locked="0"/>
    </xf>
    <xf numFmtId="0" fontId="37" fillId="28" borderId="12" xfId="0" applyFont="1" applyFill="1" applyBorder="1" applyAlignment="1" applyProtection="1">
      <alignment vertical="top" wrapText="1"/>
      <protection locked="0"/>
    </xf>
    <xf numFmtId="0" fontId="39" fillId="0" borderId="11" xfId="0" applyFont="1" applyFill="1" applyBorder="1" applyAlignment="1" applyProtection="1">
      <alignment vertical="top" wrapText="1"/>
      <protection locked="0"/>
    </xf>
    <xf numFmtId="0" fontId="40" fillId="0" borderId="11" xfId="0" applyFont="1" applyFill="1" applyBorder="1" applyAlignment="1" applyProtection="1">
      <alignment vertical="top" wrapText="1"/>
      <protection locked="0"/>
    </xf>
    <xf numFmtId="0" fontId="14" fillId="0" borderId="0" xfId="0" applyFont="1" applyBorder="1" applyAlignment="1" applyProtection="1">
      <alignment horizontal="center"/>
      <protection locked="0"/>
    </xf>
    <xf numFmtId="0" fontId="23" fillId="14" borderId="12" xfId="0" applyFont="1" applyFill="1" applyBorder="1" applyAlignment="1" applyProtection="1">
      <alignment vertical="top" wrapText="1"/>
      <protection locked="0"/>
    </xf>
    <xf numFmtId="0" fontId="37" fillId="14" borderId="8" xfId="0" applyFont="1" applyFill="1" applyBorder="1" applyAlignment="1" applyProtection="1">
      <alignment vertical="top" wrapText="1"/>
      <protection locked="0"/>
    </xf>
    <xf numFmtId="0" fontId="14" fillId="14" borderId="8" xfId="0" applyFont="1" applyFill="1" applyBorder="1" applyAlignment="1" applyProtection="1">
      <alignment horizontal="left"/>
      <protection/>
    </xf>
    <xf numFmtId="3" fontId="27" fillId="6" borderId="0" xfId="0" applyNumberFormat="1" applyFont="1" applyFill="1" applyBorder="1" applyAlignment="1" applyProtection="1">
      <alignment/>
      <protection locked="0"/>
    </xf>
    <xf numFmtId="0" fontId="37" fillId="30" borderId="8" xfId="0" applyFont="1" applyFill="1" applyBorder="1" applyAlignment="1" applyProtection="1">
      <alignment horizontal="left"/>
      <protection/>
    </xf>
    <xf numFmtId="0" fontId="14" fillId="30" borderId="8" xfId="0" applyFont="1" applyFill="1" applyBorder="1" applyAlignment="1" applyProtection="1">
      <alignment horizontal="left"/>
      <protection/>
    </xf>
    <xf numFmtId="0" fontId="37" fillId="31" borderId="8" xfId="0" applyFont="1" applyFill="1" applyBorder="1" applyAlignment="1" applyProtection="1">
      <alignment horizontal="left"/>
      <protection/>
    </xf>
    <xf numFmtId="0" fontId="14" fillId="31" borderId="12" xfId="0" applyFont="1" applyFill="1" applyBorder="1" applyAlignment="1" applyProtection="1">
      <alignment vertical="top" wrapText="1"/>
      <protection locked="0"/>
    </xf>
    <xf numFmtId="0" fontId="14" fillId="31" borderId="0" xfId="0" applyFont="1" applyFill="1" applyBorder="1" applyAlignment="1" applyProtection="1">
      <alignment vertical="top" wrapText="1"/>
      <protection locked="0"/>
    </xf>
    <xf numFmtId="0" fontId="37" fillId="30" borderId="21" xfId="0" applyFont="1" applyFill="1" applyBorder="1" applyAlignment="1" applyProtection="1">
      <alignment vertical="top" wrapText="1"/>
      <protection locked="0"/>
    </xf>
    <xf numFmtId="0" fontId="14" fillId="30" borderId="21" xfId="0" applyFont="1" applyFill="1" applyBorder="1" applyAlignment="1" applyProtection="1">
      <alignment vertical="top" wrapText="1"/>
      <protection locked="0"/>
    </xf>
    <xf numFmtId="0" fontId="14" fillId="30" borderId="12" xfId="0" applyFont="1" applyFill="1" applyBorder="1" applyAlignment="1" applyProtection="1">
      <alignment vertical="top" wrapText="1"/>
      <protection locked="0"/>
    </xf>
    <xf numFmtId="1" fontId="14" fillId="6" borderId="21" xfId="0" applyNumberFormat="1" applyFont="1" applyFill="1" applyBorder="1" applyAlignment="1">
      <alignment vertical="top" wrapText="1"/>
    </xf>
    <xf numFmtId="1" fontId="14" fillId="6" borderId="33" xfId="0" applyNumberFormat="1" applyFont="1" applyFill="1" applyBorder="1" applyAlignment="1">
      <alignment vertical="top" wrapText="1"/>
    </xf>
    <xf numFmtId="0" fontId="14" fillId="30" borderId="24" xfId="0" applyFont="1" applyFill="1" applyBorder="1" applyAlignment="1" applyProtection="1">
      <alignment vertical="top" wrapText="1"/>
      <protection locked="0"/>
    </xf>
    <xf numFmtId="0" fontId="37" fillId="31" borderId="21" xfId="0" applyFont="1" applyFill="1" applyBorder="1" applyAlignment="1" applyProtection="1">
      <alignment vertical="top" wrapText="1"/>
      <protection locked="0"/>
    </xf>
    <xf numFmtId="0" fontId="14" fillId="31" borderId="15" xfId="0" applyFont="1" applyFill="1" applyBorder="1" applyAlignment="1" applyProtection="1">
      <alignment vertical="top" wrapText="1"/>
      <protection locked="0"/>
    </xf>
    <xf numFmtId="0" fontId="14" fillId="30" borderId="15" xfId="0" applyFont="1" applyFill="1" applyBorder="1" applyAlignment="1" applyProtection="1">
      <alignment vertical="top" wrapText="1"/>
      <protection locked="0"/>
    </xf>
    <xf numFmtId="0" fontId="37" fillId="14" borderId="16" xfId="0" applyFont="1" applyFill="1" applyBorder="1" applyAlignment="1" applyProtection="1">
      <alignment vertical="top" wrapText="1"/>
      <protection locked="0"/>
    </xf>
    <xf numFmtId="0" fontId="14" fillId="14" borderId="8" xfId="0" applyFont="1" applyFill="1" applyBorder="1" applyAlignment="1" applyProtection="1">
      <alignment vertical="top" wrapText="1"/>
      <protection locked="0"/>
    </xf>
    <xf numFmtId="0" fontId="37" fillId="30" borderId="27" xfId="0" applyFont="1" applyFill="1" applyBorder="1" applyAlignment="1" applyProtection="1">
      <alignment vertical="top" wrapText="1"/>
      <protection locked="0"/>
    </xf>
    <xf numFmtId="0" fontId="14" fillId="30" borderId="8" xfId="0" applyFont="1" applyFill="1" applyBorder="1" applyAlignment="1" applyProtection="1">
      <alignment vertical="top" wrapText="1"/>
      <protection locked="0"/>
    </xf>
    <xf numFmtId="0" fontId="14" fillId="0" borderId="24" xfId="0" applyFont="1" applyBorder="1" applyAlignment="1" applyProtection="1">
      <alignment horizontal="right"/>
      <protection locked="0"/>
    </xf>
    <xf numFmtId="3" fontId="14" fillId="24" borderId="21" xfId="0" applyNumberFormat="1" applyFont="1" applyFill="1" applyBorder="1" applyAlignment="1" applyProtection="1">
      <alignment horizontal="right"/>
      <protection locked="0"/>
    </xf>
    <xf numFmtId="3" fontId="14" fillId="27" borderId="21" xfId="40" applyNumberFormat="1" applyFont="1" applyFill="1" applyBorder="1" applyAlignment="1" applyProtection="1">
      <alignment horizontal="right"/>
      <protection/>
    </xf>
    <xf numFmtId="3" fontId="14" fillId="16" borderId="21" xfId="40" applyNumberFormat="1" applyFont="1" applyFill="1" applyBorder="1" applyAlignment="1" applyProtection="1">
      <alignment horizontal="right"/>
      <protection/>
    </xf>
    <xf numFmtId="0" fontId="37" fillId="30" borderId="8" xfId="0" applyFont="1" applyFill="1" applyBorder="1" applyAlignment="1" applyProtection="1">
      <alignment vertical="top" wrapText="1"/>
      <protection locked="0"/>
    </xf>
    <xf numFmtId="9" fontId="14" fillId="24" borderId="15" xfId="0" applyNumberFormat="1" applyFont="1" applyFill="1" applyBorder="1" applyAlignment="1" applyProtection="1">
      <alignment horizontal="right"/>
      <protection locked="0"/>
    </xf>
    <xf numFmtId="3" fontId="14" fillId="0" borderId="15" xfId="0" applyNumberFormat="1" applyFont="1" applyFill="1" applyBorder="1" applyAlignment="1">
      <alignment horizontal="center"/>
    </xf>
    <xf numFmtId="0" fontId="0" fillId="0" borderId="0" xfId="0" applyFont="1" applyFill="1" applyAlignment="1">
      <alignment vertical="top" wrapText="1"/>
    </xf>
    <xf numFmtId="0" fontId="17" fillId="0" borderId="16" xfId="0" applyFont="1" applyFill="1" applyBorder="1" applyAlignment="1">
      <alignment vertical="top" wrapText="1"/>
    </xf>
    <xf numFmtId="3" fontId="14" fillId="0" borderId="21" xfId="0" applyNumberFormat="1" applyFont="1" applyFill="1" applyBorder="1" applyAlignment="1">
      <alignment horizontal="center"/>
    </xf>
    <xf numFmtId="0" fontId="14" fillId="0" borderId="8" xfId="0" applyFont="1" applyFill="1" applyBorder="1" applyAlignment="1">
      <alignment vertical="top" wrapText="1"/>
    </xf>
    <xf numFmtId="0" fontId="17" fillId="0" borderId="27" xfId="0" applyFont="1" applyFill="1" applyBorder="1" applyAlignment="1">
      <alignment vertical="top" wrapText="1"/>
    </xf>
    <xf numFmtId="3" fontId="17" fillId="0" borderId="21" xfId="0" applyNumberFormat="1" applyFont="1" applyFill="1" applyBorder="1" applyAlignment="1">
      <alignment horizontal="center"/>
    </xf>
    <xf numFmtId="3" fontId="17" fillId="0" borderId="21" xfId="0" applyNumberFormat="1" applyFont="1" applyFill="1" applyBorder="1" applyAlignment="1" applyProtection="1">
      <alignment horizontal="right"/>
      <protection locked="0"/>
    </xf>
    <xf numFmtId="0" fontId="14" fillId="0" borderId="12" xfId="0" applyFont="1" applyFill="1" applyBorder="1" applyAlignment="1" applyProtection="1">
      <alignment vertical="top" wrapText="1"/>
      <protection/>
    </xf>
    <xf numFmtId="164" fontId="14" fillId="6" borderId="1" xfId="40" applyNumberFormat="1" applyFont="1" applyFill="1" applyAlignment="1" applyProtection="1">
      <alignment horizontal="right"/>
      <protection/>
    </xf>
    <xf numFmtId="164" fontId="14" fillId="6" borderId="0" xfId="40" applyNumberFormat="1" applyFont="1" applyFill="1" applyBorder="1" applyAlignment="1" applyProtection="1">
      <alignment horizontal="right"/>
      <protection/>
    </xf>
    <xf numFmtId="0" fontId="23" fillId="0" borderId="12" xfId="0" applyFont="1" applyFill="1" applyBorder="1" applyAlignment="1" applyProtection="1">
      <alignment vertical="top" wrapText="1"/>
      <protection locked="0"/>
    </xf>
    <xf numFmtId="164" fontId="17" fillId="16" borderId="12" xfId="0" applyNumberFormat="1" applyFont="1" applyFill="1" applyBorder="1" applyAlignment="1" applyProtection="1">
      <alignment horizontal="right"/>
      <protection/>
    </xf>
    <xf numFmtId="164" fontId="17" fillId="16" borderId="1" xfId="40" applyNumberFormat="1" applyFont="1" applyFill="1" applyAlignment="1" applyProtection="1">
      <alignment horizontal="right"/>
      <protection/>
    </xf>
    <xf numFmtId="164" fontId="17" fillId="6" borderId="15" xfId="0" applyNumberFormat="1" applyFont="1" applyFill="1" applyBorder="1" applyAlignment="1" applyProtection="1">
      <alignment horizontal="right"/>
      <protection/>
    </xf>
    <xf numFmtId="1" fontId="17" fillId="6" borderId="21" xfId="0" applyNumberFormat="1" applyFont="1" applyFill="1" applyBorder="1" applyAlignment="1" applyProtection="1">
      <alignment horizontal="right" indent="1"/>
      <protection locked="0"/>
    </xf>
    <xf numFmtId="1" fontId="17" fillId="6" borderId="21" xfId="0" applyNumberFormat="1" applyFont="1" applyFill="1" applyBorder="1" applyAlignment="1" applyProtection="1">
      <alignment horizontal="right"/>
      <protection locked="0"/>
    </xf>
    <xf numFmtId="10" fontId="20" fillId="0" borderId="21" xfId="0" applyNumberFormat="1" applyFont="1" applyBorder="1" applyAlignment="1" applyProtection="1">
      <alignment horizontal="center" vertical="top" wrapText="1"/>
      <protection/>
    </xf>
    <xf numFmtId="0" fontId="37" fillId="2" borderId="21" xfId="0" applyFont="1" applyFill="1" applyBorder="1" applyAlignment="1" applyProtection="1">
      <alignment vertical="top" wrapText="1"/>
      <protection locked="0"/>
    </xf>
    <xf numFmtId="0" fontId="19" fillId="2" borderId="21" xfId="0" applyFont="1" applyFill="1" applyBorder="1" applyAlignment="1" applyProtection="1">
      <alignment vertical="top" wrapText="1"/>
      <protection locked="0"/>
    </xf>
    <xf numFmtId="0" fontId="14" fillId="2" borderId="12" xfId="0" applyFont="1" applyFill="1" applyBorder="1" applyAlignment="1" applyProtection="1">
      <alignment vertical="top" wrapText="1"/>
      <protection/>
    </xf>
    <xf numFmtId="0" fontId="14" fillId="2" borderId="12" xfId="0" applyFont="1" applyFill="1" applyBorder="1" applyAlignment="1" applyProtection="1">
      <alignment horizontal="left" wrapText="1" indent="1"/>
      <protection/>
    </xf>
    <xf numFmtId="0" fontId="19" fillId="2" borderId="0" xfId="0" applyFont="1" applyFill="1" applyBorder="1" applyAlignment="1" applyProtection="1">
      <alignment vertical="top" wrapText="1"/>
      <protection locked="0"/>
    </xf>
    <xf numFmtId="0" fontId="19" fillId="2" borderId="12" xfId="0" applyFont="1" applyFill="1" applyBorder="1" applyAlignment="1" applyProtection="1">
      <alignment vertical="top" wrapText="1"/>
      <protection/>
    </xf>
    <xf numFmtId="2" fontId="14" fillId="26" borderId="1" xfId="40" applyNumberFormat="1" applyFont="1" applyFill="1" applyAlignment="1" applyProtection="1">
      <alignment horizontal="right"/>
      <protection/>
    </xf>
    <xf numFmtId="2" fontId="14" fillId="26" borderId="34" xfId="40" applyNumberFormat="1" applyFont="1" applyFill="1" applyBorder="1" applyAlignment="1" applyProtection="1">
      <alignment horizontal="right"/>
      <protection/>
    </xf>
    <xf numFmtId="0" fontId="14" fillId="2" borderId="0" xfId="0" applyFont="1" applyFill="1" applyAlignment="1" applyProtection="1">
      <alignment vertical="top" wrapText="1"/>
      <protection locked="0"/>
    </xf>
    <xf numFmtId="164" fontId="14" fillId="26" borderId="1" xfId="40" applyNumberFormat="1" applyFont="1" applyFill="1" applyAlignment="1" applyProtection="1">
      <alignment horizontal="right"/>
      <protection/>
    </xf>
    <xf numFmtId="164" fontId="14" fillId="26" borderId="34" xfId="40" applyNumberFormat="1" applyFont="1" applyFill="1" applyBorder="1" applyAlignment="1" applyProtection="1">
      <alignment horizontal="right"/>
      <protection/>
    </xf>
    <xf numFmtId="165" fontId="17" fillId="2" borderId="9" xfId="0" applyNumberFormat="1" applyFont="1" applyFill="1" applyBorder="1" applyAlignment="1">
      <alignment horizontal="center"/>
    </xf>
    <xf numFmtId="0" fontId="17" fillId="0" borderId="0" xfId="0" applyFont="1" applyAlignment="1" applyProtection="1">
      <alignment vertical="top" wrapText="1"/>
      <protection locked="0"/>
    </xf>
    <xf numFmtId="0" fontId="18" fillId="22" borderId="14" xfId="0" applyFont="1" applyFill="1" applyBorder="1" applyAlignment="1" applyProtection="1">
      <alignment vertical="top" wrapText="1"/>
      <protection locked="0"/>
    </xf>
    <xf numFmtId="3" fontId="14" fillId="6" borderId="21" xfId="0" applyNumberFormat="1" applyFont="1" applyFill="1" applyBorder="1" applyAlignment="1" applyProtection="1">
      <alignment vertical="top" wrapText="1"/>
      <protection locked="0"/>
    </xf>
    <xf numFmtId="0" fontId="17" fillId="0" borderId="0" xfId="0" applyFont="1" applyFill="1" applyBorder="1" applyAlignment="1" applyProtection="1">
      <alignment wrapText="1"/>
      <protection/>
    </xf>
    <xf numFmtId="0" fontId="17" fillId="0" borderId="8" xfId="0" applyFont="1" applyFill="1" applyBorder="1" applyAlignment="1" applyProtection="1">
      <alignment wrapText="1"/>
      <protection/>
    </xf>
    <xf numFmtId="0" fontId="14" fillId="0" borderId="8" xfId="0" applyFont="1" applyFill="1" applyBorder="1" applyAlignment="1" applyProtection="1">
      <alignment wrapText="1"/>
      <protection/>
    </xf>
    <xf numFmtId="0" fontId="17" fillId="6" borderId="33" xfId="0" applyFont="1" applyFill="1" applyBorder="1" applyAlignment="1" applyProtection="1">
      <alignment horizontal="center" vertical="top" wrapText="1"/>
      <protection locked="0"/>
    </xf>
    <xf numFmtId="0" fontId="17" fillId="16" borderId="21" xfId="0" applyFont="1" applyFill="1" applyBorder="1" applyAlignment="1" applyProtection="1">
      <alignment vertical="top" wrapText="1"/>
      <protection/>
    </xf>
    <xf numFmtId="3" fontId="18" fillId="22" borderId="14" xfId="0" applyNumberFormat="1" applyFont="1" applyFill="1" applyBorder="1" applyAlignment="1" applyProtection="1">
      <alignment vertical="top" wrapText="1"/>
      <protection locked="0"/>
    </xf>
    <xf numFmtId="3" fontId="18" fillId="22" borderId="32" xfId="0" applyNumberFormat="1" applyFont="1" applyFill="1" applyBorder="1" applyAlignment="1" applyProtection="1">
      <alignment vertical="top" wrapText="1"/>
      <protection locked="0"/>
    </xf>
    <xf numFmtId="3" fontId="14" fillId="0" borderId="12" xfId="0" applyNumberFormat="1" applyFont="1" applyFill="1" applyBorder="1" applyAlignment="1" applyProtection="1">
      <alignment horizontal="center" wrapText="1"/>
      <protection/>
    </xf>
    <xf numFmtId="0" fontId="14" fillId="0" borderId="0" xfId="0" applyFont="1" applyFill="1" applyAlignment="1" applyProtection="1">
      <alignment wrapText="1"/>
      <protection/>
    </xf>
    <xf numFmtId="167" fontId="17" fillId="0" borderId="9" xfId="0" applyNumberFormat="1" applyFont="1" applyFill="1" applyBorder="1" applyAlignment="1">
      <alignment horizontal="center"/>
    </xf>
    <xf numFmtId="0" fontId="14" fillId="0" borderId="12" xfId="0" applyFont="1" applyFill="1" applyBorder="1" applyAlignment="1">
      <alignment vertical="top" wrapText="1"/>
    </xf>
    <xf numFmtId="0" fontId="18" fillId="0" borderId="8" xfId="0" applyFont="1" applyFill="1" applyBorder="1" applyAlignment="1">
      <alignment vertical="top" wrapText="1"/>
    </xf>
    <xf numFmtId="0" fontId="2" fillId="0" borderId="9" xfId="0" applyFont="1" applyFill="1" applyBorder="1" applyAlignment="1">
      <alignment vertical="top" wrapText="1"/>
    </xf>
    <xf numFmtId="0" fontId="25" fillId="0" borderId="8" xfId="0" applyFont="1" applyFill="1" applyBorder="1" applyAlignment="1" applyProtection="1">
      <alignment vertical="top" wrapText="1"/>
      <protection locked="0"/>
    </xf>
    <xf numFmtId="0" fontId="25" fillId="16" borderId="8" xfId="0" applyFont="1" applyFill="1" applyBorder="1" applyAlignment="1">
      <alignment vertical="top" wrapText="1"/>
    </xf>
    <xf numFmtId="0" fontId="25" fillId="26" borderId="8" xfId="0" applyFont="1" applyFill="1" applyBorder="1" applyAlignment="1">
      <alignment wrapText="1"/>
    </xf>
    <xf numFmtId="0" fontId="14" fillId="0" borderId="8" xfId="0" applyFont="1" applyFill="1" applyBorder="1" applyAlignment="1">
      <alignment vertical="top" wrapText="1"/>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5" xfId="0" applyFont="1" applyFill="1" applyBorder="1" applyAlignment="1">
      <alignment vertical="top" wrapText="1"/>
    </xf>
    <xf numFmtId="166" fontId="17" fillId="0" borderId="15" xfId="0" applyNumberFormat="1" applyFont="1" applyFill="1" applyBorder="1" applyAlignment="1">
      <alignment horizontal="center"/>
    </xf>
    <xf numFmtId="0" fontId="17" fillId="0" borderId="12" xfId="0" applyFont="1" applyFill="1" applyBorder="1" applyAlignment="1">
      <alignment vertical="top" wrapText="1"/>
    </xf>
    <xf numFmtId="0" fontId="14" fillId="0" borderId="12" xfId="0" applyFont="1" applyFill="1" applyBorder="1" applyAlignment="1">
      <alignment horizontal="left" wrapText="1" indent="1"/>
    </xf>
    <xf numFmtId="0" fontId="14" fillId="0" borderId="0" xfId="0" applyFont="1" applyFill="1" applyAlignment="1">
      <alignment vertical="top" wrapText="1"/>
    </xf>
    <xf numFmtId="165" fontId="2" fillId="0" borderId="0" xfId="0" applyNumberFormat="1" applyFont="1" applyFill="1" applyBorder="1" applyAlignment="1" applyProtection="1">
      <alignment vertical="top" wrapText="1"/>
      <protection/>
    </xf>
    <xf numFmtId="3" fontId="14" fillId="0" borderId="0" xfId="0" applyNumberFormat="1" applyFont="1" applyFill="1" applyAlignment="1">
      <alignment vertical="top" wrapText="1"/>
    </xf>
    <xf numFmtId="0" fontId="14" fillId="0" borderId="12" xfId="0" applyFont="1" applyFill="1" applyBorder="1" applyAlignment="1" applyProtection="1">
      <alignment horizontal="left" indent="1"/>
      <protection/>
    </xf>
    <xf numFmtId="0" fontId="25" fillId="0" borderId="8" xfId="0" applyFont="1" applyFill="1" applyBorder="1" applyAlignment="1">
      <alignment vertical="top" wrapText="1"/>
    </xf>
    <xf numFmtId="0" fontId="17" fillId="0" borderId="9" xfId="0" applyFont="1" applyFill="1" applyBorder="1" applyAlignment="1">
      <alignment vertical="top" wrapText="1"/>
    </xf>
    <xf numFmtId="0" fontId="14" fillId="0" borderId="27" xfId="0" applyFont="1" applyFill="1" applyBorder="1" applyAlignment="1">
      <alignment vertical="top" wrapText="1"/>
    </xf>
    <xf numFmtId="0" fontId="17" fillId="0" borderId="12" xfId="0" applyFont="1" applyFill="1" applyBorder="1" applyAlignment="1">
      <alignment horizontal="center"/>
    </xf>
    <xf numFmtId="3" fontId="14" fillId="0" borderId="1" xfId="40" applyNumberFormat="1" applyFont="1" applyFill="1" applyAlignment="1" applyProtection="1">
      <alignment horizontal="right"/>
      <protection/>
    </xf>
    <xf numFmtId="3" fontId="14" fillId="0" borderId="12" xfId="0" applyNumberFormat="1" applyFont="1" applyFill="1" applyBorder="1" applyAlignment="1" applyProtection="1">
      <alignment horizontal="center"/>
      <protection/>
    </xf>
    <xf numFmtId="0" fontId="14" fillId="0" borderId="0" xfId="0" applyFont="1" applyFill="1" applyAlignment="1" applyProtection="1">
      <alignment vertical="top" wrapText="1"/>
      <protection/>
    </xf>
    <xf numFmtId="164" fontId="17" fillId="0" borderId="0" xfId="40" applyNumberFormat="1" applyFont="1" applyFill="1" applyBorder="1" applyAlignment="1" applyProtection="1">
      <alignment horizontal="right"/>
      <protection/>
    </xf>
    <xf numFmtId="0" fontId="17" fillId="0" borderId="0" xfId="0" applyFont="1" applyFill="1" applyAlignment="1" applyProtection="1">
      <alignment vertical="top" wrapText="1"/>
      <protection locked="0"/>
    </xf>
    <xf numFmtId="0" fontId="25" fillId="0" borderId="0" xfId="0" applyFont="1" applyAlignment="1">
      <alignment vertical="top" wrapText="1"/>
    </xf>
    <xf numFmtId="3" fontId="14" fillId="24" borderId="24" xfId="0" applyNumberFormat="1" applyFont="1" applyFill="1" applyBorder="1" applyAlignment="1" applyProtection="1">
      <alignment horizontal="center"/>
      <protection locked="0"/>
    </xf>
    <xf numFmtId="0" fontId="14" fillId="6" borderId="21" xfId="0" applyFont="1" applyFill="1" applyBorder="1" applyAlignment="1">
      <alignment vertical="top" wrapText="1"/>
    </xf>
    <xf numFmtId="3" fontId="14" fillId="6" borderId="21" xfId="0" applyNumberFormat="1" applyFont="1" applyFill="1" applyBorder="1" applyAlignment="1">
      <alignment vertical="top" wrapText="1"/>
    </xf>
    <xf numFmtId="166" fontId="14" fillId="25" borderId="12" xfId="0" applyNumberFormat="1" applyFont="1" applyFill="1" applyBorder="1" applyAlignment="1" applyProtection="1">
      <alignment horizontal="right"/>
      <protection locked="0"/>
    </xf>
    <xf numFmtId="169" fontId="14" fillId="6" borderId="21" xfId="0" applyNumberFormat="1" applyFont="1" applyFill="1" applyBorder="1" applyAlignment="1">
      <alignment vertical="top" wrapText="1"/>
    </xf>
    <xf numFmtId="166" fontId="14" fillId="25" borderId="10" xfId="0" applyNumberFormat="1" applyFont="1" applyFill="1" applyBorder="1" applyAlignment="1" applyProtection="1">
      <alignment horizontal="right"/>
      <protection locked="0"/>
    </xf>
    <xf numFmtId="166" fontId="14" fillId="25" borderId="15" xfId="0" applyNumberFormat="1" applyFont="1" applyFill="1" applyBorder="1" applyAlignment="1" applyProtection="1">
      <alignment horizontal="right"/>
      <protection locked="0"/>
    </xf>
    <xf numFmtId="166" fontId="14" fillId="25" borderId="21" xfId="0" applyNumberFormat="1" applyFont="1" applyFill="1" applyBorder="1" applyAlignment="1" applyProtection="1">
      <alignment horizontal="right"/>
      <protection locked="0"/>
    </xf>
    <xf numFmtId="3" fontId="2" fillId="2" borderId="0" xfId="0" applyNumberFormat="1" applyFont="1" applyFill="1" applyAlignment="1">
      <alignment vertical="top" wrapText="1"/>
    </xf>
    <xf numFmtId="0" fontId="14" fillId="23" borderId="21" xfId="0" applyFont="1" applyFill="1" applyBorder="1" applyAlignment="1" applyProtection="1">
      <alignment vertical="top" wrapText="1"/>
      <protection locked="0"/>
    </xf>
    <xf numFmtId="0" fontId="14" fillId="23" borderId="22" xfId="0" applyFont="1" applyFill="1" applyBorder="1" applyAlignment="1" applyProtection="1">
      <alignment vertical="top" wrapText="1"/>
      <protection locked="0"/>
    </xf>
    <xf numFmtId="3" fontId="14" fillId="27" borderId="1" xfId="40" applyNumberFormat="1" applyFont="1" applyFill="1" applyAlignment="1" applyProtection="1">
      <alignment horizontal="right"/>
      <protection locked="0"/>
    </xf>
    <xf numFmtId="3" fontId="14" fillId="16" borderId="1" xfId="40" applyNumberFormat="1" applyFont="1" applyAlignment="1" applyProtection="1">
      <alignment horizontal="right"/>
      <protection locked="0"/>
    </xf>
    <xf numFmtId="1" fontId="14" fillId="23" borderId="21" xfId="0" applyNumberFormat="1" applyFont="1" applyFill="1" applyBorder="1" applyAlignment="1" applyProtection="1">
      <alignment vertical="top" wrapText="1"/>
      <protection locked="0"/>
    </xf>
    <xf numFmtId="3" fontId="17" fillId="27" borderId="35" xfId="40" applyNumberFormat="1" applyFont="1" applyFill="1" applyBorder="1" applyAlignment="1" applyProtection="1">
      <alignment horizontal="right"/>
      <protection locked="0"/>
    </xf>
    <xf numFmtId="1" fontId="14" fillId="23" borderId="0" xfId="0" applyNumberFormat="1" applyFont="1" applyFill="1" applyBorder="1" applyAlignment="1" applyProtection="1">
      <alignment vertical="top" wrapText="1"/>
      <protection locked="0"/>
    </xf>
    <xf numFmtId="0" fontId="17" fillId="23" borderId="0" xfId="0" applyFont="1" applyFill="1" applyAlignment="1" applyProtection="1">
      <alignment vertical="top" wrapText="1"/>
      <protection locked="0"/>
    </xf>
    <xf numFmtId="1" fontId="14" fillId="23" borderId="31" xfId="0" applyNumberFormat="1" applyFont="1" applyFill="1" applyBorder="1" applyAlignment="1" applyProtection="1">
      <alignment vertical="top" wrapText="1"/>
      <protection locked="0"/>
    </xf>
    <xf numFmtId="0" fontId="17" fillId="0" borderId="8" xfId="0" applyFont="1" applyFill="1" applyBorder="1" applyAlignment="1">
      <alignment vertical="top" wrapText="1"/>
    </xf>
    <xf numFmtId="3" fontId="17" fillId="0" borderId="21" xfId="0" applyNumberFormat="1" applyFont="1" applyFill="1" applyBorder="1" applyAlignment="1">
      <alignment horizontal="center"/>
    </xf>
    <xf numFmtId="0" fontId="19" fillId="0" borderId="12" xfId="0" applyFont="1" applyFill="1" applyBorder="1" applyAlignment="1">
      <alignment vertical="top" wrapText="1"/>
    </xf>
    <xf numFmtId="3" fontId="19" fillId="0" borderId="12" xfId="0" applyNumberFormat="1" applyFont="1" applyFill="1" applyBorder="1" applyAlignment="1">
      <alignment horizontal="center"/>
    </xf>
    <xf numFmtId="9" fontId="14" fillId="24" borderId="11" xfId="0" applyNumberFormat="1" applyFont="1" applyFill="1" applyBorder="1" applyAlignment="1" applyProtection="1">
      <alignment horizontal="right"/>
      <protection locked="0"/>
    </xf>
    <xf numFmtId="10" fontId="14" fillId="23" borderId="21" xfId="66" applyNumberFormat="1" applyFont="1" applyFill="1" applyBorder="1" applyAlignment="1" applyProtection="1">
      <alignment/>
      <protection locked="0"/>
    </xf>
    <xf numFmtId="3" fontId="14" fillId="6" borderId="21" xfId="40" applyNumberFormat="1" applyFont="1" applyFill="1" applyBorder="1" applyAlignment="1" applyProtection="1">
      <alignment horizontal="right"/>
      <protection/>
    </xf>
    <xf numFmtId="3" fontId="14" fillId="2" borderId="8" xfId="0" applyNumberFormat="1" applyFont="1" applyFill="1" applyBorder="1" applyAlignment="1" applyProtection="1">
      <alignment horizontal="center"/>
      <protection/>
    </xf>
    <xf numFmtId="3" fontId="14" fillId="2" borderId="36" xfId="0" applyNumberFormat="1" applyFont="1" applyFill="1" applyBorder="1" applyAlignment="1" applyProtection="1">
      <alignment horizontal="center"/>
      <protection/>
    </xf>
    <xf numFmtId="165" fontId="17" fillId="16" borderId="13" xfId="40" applyNumberFormat="1" applyFont="1" applyBorder="1" applyAlignment="1" applyProtection="1">
      <alignment/>
      <protection/>
    </xf>
    <xf numFmtId="0" fontId="14" fillId="2" borderId="0" xfId="0" applyFont="1" applyFill="1" applyBorder="1" applyAlignment="1">
      <alignment/>
    </xf>
    <xf numFmtId="0" fontId="14" fillId="26" borderId="9" xfId="0" applyFont="1" applyFill="1" applyBorder="1" applyAlignment="1">
      <alignment vertical="top" wrapText="1"/>
    </xf>
    <xf numFmtId="0" fontId="14" fillId="2" borderId="14" xfId="0" applyFont="1" applyFill="1" applyBorder="1" applyAlignment="1" applyProtection="1">
      <alignment vertical="top" wrapText="1"/>
      <protection locked="0"/>
    </xf>
    <xf numFmtId="0" fontId="17" fillId="26" borderId="1" xfId="40" applyNumberFormat="1" applyFont="1" applyFill="1" applyAlignment="1" applyProtection="1">
      <alignment horizontal="center"/>
      <protection/>
    </xf>
    <xf numFmtId="0" fontId="17" fillId="2" borderId="0" xfId="0" applyFont="1" applyFill="1" applyBorder="1" applyAlignment="1" applyProtection="1">
      <alignment horizontal="center"/>
      <protection locked="0"/>
    </xf>
    <xf numFmtId="0" fontId="17" fillId="2" borderId="0" xfId="0" applyFont="1" applyFill="1" applyBorder="1" applyAlignment="1" applyProtection="1">
      <alignment horizontal="center" wrapText="1"/>
      <protection locked="0"/>
    </xf>
    <xf numFmtId="3" fontId="14" fillId="26" borderId="15" xfId="0" applyNumberFormat="1" applyFont="1" applyFill="1" applyBorder="1" applyAlignment="1" applyProtection="1">
      <alignment horizontal="right"/>
      <protection/>
    </xf>
    <xf numFmtId="3" fontId="14" fillId="2" borderId="0" xfId="0" applyNumberFormat="1" applyFont="1" applyFill="1" applyBorder="1" applyAlignment="1" applyProtection="1">
      <alignment horizontal="right" wrapText="1"/>
      <protection/>
    </xf>
    <xf numFmtId="3" fontId="17" fillId="2" borderId="15" xfId="0" applyNumberFormat="1" applyFont="1" applyFill="1" applyBorder="1" applyAlignment="1" applyProtection="1">
      <alignment horizontal="right"/>
      <protection/>
    </xf>
    <xf numFmtId="3" fontId="14" fillId="26" borderId="1" xfId="40" applyNumberFormat="1" applyFont="1" applyFill="1" applyAlignment="1" applyProtection="1">
      <alignment horizontal="center"/>
      <protection/>
    </xf>
    <xf numFmtId="0" fontId="14" fillId="2" borderId="14" xfId="0" applyFont="1" applyFill="1" applyBorder="1" applyAlignment="1">
      <alignment vertical="top" wrapText="1"/>
    </xf>
    <xf numFmtId="0" fontId="14" fillId="26" borderId="1" xfId="40" applyNumberFormat="1" applyFont="1" applyFill="1" applyAlignment="1" applyProtection="1">
      <alignment horizontal="center"/>
      <protection/>
    </xf>
    <xf numFmtId="0" fontId="17" fillId="2" borderId="0" xfId="0" applyFont="1" applyFill="1" applyBorder="1" applyAlignment="1">
      <alignment/>
    </xf>
    <xf numFmtId="0" fontId="17" fillId="2" borderId="0" xfId="0" applyFont="1" applyFill="1" applyBorder="1" applyAlignment="1">
      <alignment horizontal="center"/>
    </xf>
    <xf numFmtId="3" fontId="14" fillId="2" borderId="0" xfId="0" applyNumberFormat="1" applyFont="1" applyFill="1" applyBorder="1" applyAlignment="1">
      <alignment horizontal="center"/>
    </xf>
    <xf numFmtId="9" fontId="14" fillId="26" borderId="1" xfId="40" applyNumberFormat="1" applyFont="1" applyFill="1" applyAlignment="1" applyProtection="1">
      <alignment horizontal="center"/>
      <protection/>
    </xf>
    <xf numFmtId="3" fontId="14" fillId="2" borderId="1" xfId="40" applyNumberFormat="1" applyFont="1" applyFill="1" applyAlignment="1" applyProtection="1">
      <alignment horizontal="center"/>
      <protection/>
    </xf>
    <xf numFmtId="0" fontId="23" fillId="2" borderId="0" xfId="0" applyFont="1" applyFill="1" applyBorder="1" applyAlignment="1">
      <alignment/>
    </xf>
    <xf numFmtId="3" fontId="14" fillId="2" borderId="9" xfId="0" applyNumberFormat="1" applyFont="1" applyFill="1" applyBorder="1" applyAlignment="1">
      <alignment horizontal="center"/>
    </xf>
    <xf numFmtId="0" fontId="14" fillId="26" borderId="1" xfId="40" applyNumberFormat="1" applyFont="1" applyFill="1" applyAlignment="1" applyProtection="1">
      <alignment/>
      <protection/>
    </xf>
    <xf numFmtId="0" fontId="14" fillId="2" borderId="9" xfId="0" applyFont="1" applyFill="1" applyBorder="1" applyAlignment="1">
      <alignment vertical="top" wrapText="1"/>
    </xf>
    <xf numFmtId="3" fontId="14" fillId="2" borderId="0" xfId="0" applyNumberFormat="1" applyFont="1" applyFill="1" applyAlignment="1">
      <alignment vertical="top" wrapText="1"/>
    </xf>
    <xf numFmtId="0" fontId="14" fillId="2" borderId="0" xfId="0" applyFont="1" applyFill="1" applyAlignment="1">
      <alignment vertical="top" wrapText="1"/>
    </xf>
    <xf numFmtId="0" fontId="17" fillId="2" borderId="12" xfId="0" applyFont="1" applyFill="1" applyBorder="1" applyAlignment="1">
      <alignment horizontal="center"/>
    </xf>
    <xf numFmtId="3" fontId="14" fillId="2" borderId="12" xfId="0" applyNumberFormat="1" applyFont="1" applyFill="1" applyBorder="1" applyAlignment="1">
      <alignment horizontal="center"/>
    </xf>
    <xf numFmtId="3" fontId="17" fillId="2" borderId="12" xfId="0" applyNumberFormat="1" applyFont="1" applyFill="1" applyBorder="1" applyAlignment="1">
      <alignment horizontal="center"/>
    </xf>
    <xf numFmtId="0" fontId="17" fillId="2" borderId="9" xfId="0" applyFont="1" applyFill="1" applyBorder="1" applyAlignment="1">
      <alignment horizontal="center"/>
    </xf>
    <xf numFmtId="0" fontId="14" fillId="2" borderId="0" xfId="0" applyFont="1" applyFill="1" applyBorder="1" applyAlignment="1">
      <alignment vertical="top" wrapText="1"/>
    </xf>
    <xf numFmtId="3" fontId="14" fillId="2" borderId="1" xfId="40" applyNumberFormat="1" applyFont="1" applyFill="1" applyAlignment="1" applyProtection="1">
      <alignment horizontal="right"/>
      <protection/>
    </xf>
    <xf numFmtId="3" fontId="14" fillId="2" borderId="15" xfId="0" applyNumberFormat="1" applyFont="1" applyFill="1" applyBorder="1" applyAlignment="1">
      <alignment horizontal="center"/>
    </xf>
    <xf numFmtId="3" fontId="17" fillId="2" borderId="24" xfId="0" applyNumberFormat="1" applyFont="1" applyFill="1" applyBorder="1" applyAlignment="1">
      <alignment horizontal="center"/>
    </xf>
    <xf numFmtId="166" fontId="17" fillId="2" borderId="9" xfId="0" applyNumberFormat="1" applyFont="1" applyFill="1" applyBorder="1" applyAlignment="1">
      <alignment horizontal="center"/>
    </xf>
    <xf numFmtId="0" fontId="0" fillId="2" borderId="9"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4" fontId="14" fillId="2" borderId="12" xfId="0" applyNumberFormat="1" applyFont="1" applyFill="1" applyBorder="1" applyAlignment="1">
      <alignment horizontal="center" vertical="center"/>
    </xf>
    <xf numFmtId="3" fontId="14" fillId="2" borderId="12" xfId="0" applyNumberFormat="1" applyFont="1" applyFill="1" applyBorder="1" applyAlignment="1">
      <alignment horizontal="center" vertical="center"/>
    </xf>
    <xf numFmtId="3" fontId="14" fillId="2" borderId="9" xfId="0" applyNumberFormat="1" applyFont="1" applyFill="1" applyBorder="1" applyAlignment="1">
      <alignment horizontal="center" vertical="center"/>
    </xf>
    <xf numFmtId="0" fontId="0" fillId="26" borderId="9" xfId="0" applyFont="1" applyFill="1" applyBorder="1" applyAlignment="1">
      <alignment/>
    </xf>
    <xf numFmtId="0" fontId="14" fillId="2" borderId="14" xfId="0" applyFont="1" applyFill="1" applyBorder="1" applyAlignment="1">
      <alignment horizontal="center"/>
    </xf>
    <xf numFmtId="166" fontId="14" fillId="2" borderId="9" xfId="0" applyNumberFormat="1" applyFont="1" applyFill="1" applyBorder="1" applyAlignment="1">
      <alignment horizontal="center"/>
    </xf>
    <xf numFmtId="10" fontId="14" fillId="2" borderId="15" xfId="0" applyNumberFormat="1" applyFont="1" applyFill="1" applyBorder="1" applyAlignment="1">
      <alignment horizontal="center"/>
    </xf>
    <xf numFmtId="0" fontId="2" fillId="2" borderId="0" xfId="0" applyFont="1" applyFill="1" applyAlignment="1">
      <alignment vertical="top" wrapText="1"/>
    </xf>
    <xf numFmtId="3" fontId="17" fillId="2" borderId="15" xfId="0" applyNumberFormat="1" applyFont="1" applyFill="1" applyBorder="1" applyAlignment="1">
      <alignment horizontal="center"/>
    </xf>
    <xf numFmtId="3" fontId="19" fillId="2" borderId="12" xfId="0" applyNumberFormat="1" applyFont="1" applyFill="1" applyBorder="1" applyAlignment="1">
      <alignment horizontal="center"/>
    </xf>
    <xf numFmtId="166" fontId="17" fillId="2" borderId="15" xfId="0" applyNumberFormat="1" applyFont="1" applyFill="1" applyBorder="1" applyAlignment="1">
      <alignment horizontal="center"/>
    </xf>
    <xf numFmtId="165" fontId="2" fillId="2" borderId="0" xfId="0" applyNumberFormat="1" applyFont="1" applyFill="1" applyBorder="1" applyAlignment="1" applyProtection="1">
      <alignment vertical="top" wrapText="1"/>
      <protection/>
    </xf>
    <xf numFmtId="0" fontId="63" fillId="2" borderId="21" xfId="62" applyFont="1" applyFill="1" applyBorder="1" applyAlignment="1">
      <alignment horizontal="center"/>
      <protection/>
    </xf>
    <xf numFmtId="0" fontId="63" fillId="2" borderId="21" xfId="62" applyFont="1" applyFill="1" applyBorder="1" applyAlignment="1">
      <alignment horizontal="center" wrapText="1"/>
      <protection/>
    </xf>
    <xf numFmtId="0" fontId="64" fillId="2" borderId="21" xfId="62" applyFont="1" applyFill="1" applyBorder="1">
      <alignment/>
      <protection/>
    </xf>
    <xf numFmtId="0" fontId="64" fillId="2" borderId="21" xfId="62" applyFont="1" applyFill="1" applyBorder="1" applyAlignment="1">
      <alignment wrapText="1"/>
      <protection/>
    </xf>
    <xf numFmtId="3" fontId="64" fillId="2" borderId="21" xfId="62" applyNumberFormat="1" applyFont="1" applyFill="1" applyBorder="1">
      <alignment/>
      <protection/>
    </xf>
    <xf numFmtId="177" fontId="63" fillId="2" borderId="21" xfId="70" applyNumberFormat="1" applyFont="1" applyFill="1" applyBorder="1" applyAlignment="1">
      <alignment/>
    </xf>
    <xf numFmtId="0" fontId="41" fillId="2" borderId="21" xfId="62" applyFont="1" applyFill="1" applyBorder="1">
      <alignment/>
      <protection/>
    </xf>
    <xf numFmtId="0" fontId="42" fillId="2" borderId="21" xfId="62" applyFont="1" applyFill="1" applyBorder="1" applyAlignment="1">
      <alignment horizontal="center" vertical="center" wrapText="1"/>
      <protection/>
    </xf>
    <xf numFmtId="165" fontId="41" fillId="2" borderId="21" xfId="68" applyNumberFormat="1" applyFont="1" applyFill="1" applyBorder="1" applyAlignment="1">
      <alignment/>
    </xf>
    <xf numFmtId="0" fontId="17" fillId="2" borderId="0" xfId="62" applyFont="1" applyFill="1">
      <alignment/>
      <protection/>
    </xf>
    <xf numFmtId="0" fontId="14" fillId="2" borderId="0" xfId="62" applyFont="1" applyFill="1">
      <alignment/>
      <protection/>
    </xf>
    <xf numFmtId="4" fontId="41" fillId="2" borderId="21" xfId="62" applyNumberFormat="1" applyFont="1" applyFill="1" applyBorder="1">
      <alignment/>
      <protection/>
    </xf>
    <xf numFmtId="0" fontId="14" fillId="2" borderId="21" xfId="62" applyFont="1" applyFill="1" applyBorder="1" applyAlignment="1">
      <alignment horizontal="center" vertical="center" wrapText="1"/>
      <protection/>
    </xf>
    <xf numFmtId="0" fontId="14" fillId="2" borderId="21" xfId="62" applyFont="1" applyFill="1" applyBorder="1" applyAlignment="1">
      <alignment horizontal="center" vertical="center"/>
      <protection/>
    </xf>
    <xf numFmtId="4" fontId="14" fillId="2" borderId="21" xfId="62" applyNumberFormat="1" applyFont="1" applyFill="1" applyBorder="1">
      <alignment/>
      <protection/>
    </xf>
    <xf numFmtId="177" fontId="14" fillId="2" borderId="21" xfId="69" applyNumberFormat="1" applyFont="1" applyFill="1" applyBorder="1" applyAlignment="1">
      <alignment/>
    </xf>
    <xf numFmtId="10" fontId="14" fillId="2" borderId="21" xfId="62" applyNumberFormat="1" applyFont="1" applyFill="1" applyBorder="1">
      <alignment/>
      <protection/>
    </xf>
    <xf numFmtId="4" fontId="14" fillId="2" borderId="21" xfId="40" applyNumberFormat="1" applyFont="1" applyFill="1" applyBorder="1" applyAlignment="1">
      <alignment/>
    </xf>
    <xf numFmtId="177" fontId="14" fillId="2" borderId="21" xfId="68" applyNumberFormat="1" applyFont="1" applyFill="1" applyBorder="1" applyAlignment="1">
      <alignment/>
    </xf>
    <xf numFmtId="0" fontId="7" fillId="2" borderId="0" xfId="51" applyFill="1">
      <alignment vertical="top"/>
    </xf>
    <xf numFmtId="0" fontId="27" fillId="2" borderId="0" xfId="62" applyFont="1" applyFill="1">
      <alignment/>
      <protection/>
    </xf>
    <xf numFmtId="0" fontId="27" fillId="2" borderId="12" xfId="62" applyFont="1" applyFill="1" applyBorder="1" applyAlignment="1">
      <alignment horizontal="center" vertical="center"/>
      <protection/>
    </xf>
    <xf numFmtId="0" fontId="27" fillId="2" borderId="12" xfId="62" applyFont="1" applyFill="1" applyBorder="1" applyAlignment="1">
      <alignment horizontal="center"/>
      <protection/>
    </xf>
    <xf numFmtId="0" fontId="27" fillId="2" borderId="12" xfId="62" applyFont="1" applyFill="1" applyBorder="1" applyAlignment="1">
      <alignment horizontal="center" wrapText="1"/>
      <protection/>
    </xf>
    <xf numFmtId="0" fontId="27" fillId="2" borderId="12" xfId="62" applyFont="1" applyFill="1" applyBorder="1">
      <alignment/>
      <protection/>
    </xf>
    <xf numFmtId="4" fontId="14" fillId="2" borderId="12" xfId="39" applyNumberFormat="1" applyFont="1" applyFill="1" applyBorder="1" applyAlignment="1" applyProtection="1">
      <alignment/>
      <protection/>
    </xf>
    <xf numFmtId="4" fontId="27" fillId="2" borderId="12" xfId="62" applyNumberFormat="1" applyFont="1" applyFill="1" applyBorder="1">
      <alignment/>
      <protection/>
    </xf>
    <xf numFmtId="0" fontId="29" fillId="2" borderId="12" xfId="0" applyFont="1" applyFill="1" applyBorder="1" applyAlignment="1" applyProtection="1">
      <alignment vertical="top" wrapText="1"/>
      <protection/>
    </xf>
    <xf numFmtId="10" fontId="27" fillId="2" borderId="12" xfId="0" applyNumberFormat="1" applyFont="1" applyFill="1" applyBorder="1" applyAlignment="1" applyProtection="1">
      <alignment vertical="top" wrapText="1"/>
      <protection/>
    </xf>
    <xf numFmtId="10" fontId="29" fillId="2" borderId="12" xfId="68" applyNumberFormat="1" applyFont="1" applyFill="1" applyBorder="1" applyAlignment="1" applyProtection="1">
      <alignment vertical="top" wrapText="1"/>
      <protection/>
    </xf>
    <xf numFmtId="10" fontId="29" fillId="2" borderId="12" xfId="0" applyNumberFormat="1" applyFont="1" applyFill="1" applyBorder="1" applyAlignment="1" applyProtection="1">
      <alignment vertical="top" wrapText="1"/>
      <protection/>
    </xf>
    <xf numFmtId="0" fontId="28" fillId="2" borderId="12" xfId="62" applyFont="1" applyFill="1" applyBorder="1">
      <alignment/>
      <protection/>
    </xf>
    <xf numFmtId="4" fontId="28" fillId="2" borderId="12" xfId="62" applyNumberFormat="1" applyFont="1" applyFill="1" applyBorder="1">
      <alignment/>
      <protection/>
    </xf>
    <xf numFmtId="0" fontId="18" fillId="22" borderId="11" xfId="0" applyFont="1" applyFill="1" applyBorder="1" applyAlignment="1" applyProtection="1">
      <alignment vertical="top" wrapText="1"/>
      <protection locked="0"/>
    </xf>
    <xf numFmtId="165" fontId="14" fillId="27" borderId="0" xfId="66" applyNumberFormat="1" applyFont="1" applyFill="1" applyAlignment="1" applyProtection="1">
      <alignment/>
      <protection/>
    </xf>
    <xf numFmtId="0" fontId="17" fillId="3" borderId="12" xfId="0" applyFont="1" applyFill="1" applyBorder="1" applyAlignment="1" applyProtection="1">
      <alignment horizontal="center"/>
      <protection locked="0"/>
    </xf>
    <xf numFmtId="0" fontId="17" fillId="32" borderId="12" xfId="0" applyFont="1" applyFill="1" applyBorder="1" applyAlignment="1" applyProtection="1">
      <alignment horizontal="center"/>
      <protection locked="0"/>
    </xf>
    <xf numFmtId="0" fontId="17" fillId="33" borderId="12" xfId="40" applyNumberFormat="1" applyFont="1" applyFill="1" applyBorder="1" applyAlignment="1" applyProtection="1">
      <alignment horizontal="center"/>
      <protection/>
    </xf>
    <xf numFmtId="0" fontId="17" fillId="17" borderId="12" xfId="0" applyFont="1" applyFill="1" applyBorder="1" applyAlignment="1" applyProtection="1">
      <alignment horizontal="center"/>
      <protection locked="0"/>
    </xf>
    <xf numFmtId="165" fontId="14" fillId="23" borderId="22" xfId="66" applyNumberFormat="1" applyFont="1" applyFill="1" applyBorder="1" applyAlignment="1" applyProtection="1">
      <alignment/>
      <protection locked="0"/>
    </xf>
    <xf numFmtId="165" fontId="14" fillId="27" borderId="11" xfId="40" applyNumberFormat="1" applyFont="1" applyFill="1" applyBorder="1" applyAlignment="1" applyProtection="1">
      <alignment/>
      <protection/>
    </xf>
    <xf numFmtId="165" fontId="14" fillId="0" borderId="21" xfId="0" applyNumberFormat="1" applyFont="1" applyBorder="1" applyAlignment="1" applyProtection="1">
      <alignment vertical="top" wrapText="1"/>
      <protection locked="0"/>
    </xf>
    <xf numFmtId="10" fontId="14" fillId="0" borderId="21" xfId="66" applyNumberFormat="1" applyFont="1" applyBorder="1" applyAlignment="1" applyProtection="1">
      <alignment/>
      <protection locked="0"/>
    </xf>
    <xf numFmtId="165" fontId="17" fillId="16" borderId="22" xfId="40" applyNumberFormat="1" applyFont="1" applyBorder="1" applyAlignment="1" applyProtection="1">
      <alignment/>
      <protection/>
    </xf>
    <xf numFmtId="0" fontId="17" fillId="2" borderId="21" xfId="0" applyFont="1" applyFill="1" applyBorder="1" applyAlignment="1" applyProtection="1">
      <alignment vertical="top" wrapText="1"/>
      <protection locked="0"/>
    </xf>
    <xf numFmtId="3" fontId="2" fillId="0" borderId="0" xfId="0" applyNumberFormat="1" applyFont="1" applyAlignment="1">
      <alignment vertical="top" wrapText="1"/>
    </xf>
    <xf numFmtId="0" fontId="14" fillId="2" borderId="0" xfId="0" applyFont="1" applyFill="1" applyAlignment="1" applyProtection="1">
      <alignment vertical="top" wrapText="1"/>
      <protection locked="0"/>
    </xf>
    <xf numFmtId="3" fontId="17" fillId="6" borderId="21" xfId="40" applyNumberFormat="1" applyFont="1" applyFill="1" applyBorder="1" applyAlignment="1" applyProtection="1">
      <alignment horizontal="right"/>
      <protection/>
    </xf>
    <xf numFmtId="3" fontId="17" fillId="6" borderId="21" xfId="40" applyNumberFormat="1" applyFont="1" applyFill="1" applyBorder="1" applyAlignment="1" applyProtection="1">
      <alignment horizontal="right"/>
      <protection/>
    </xf>
    <xf numFmtId="0" fontId="17" fillId="2" borderId="21" xfId="0" applyFont="1" applyFill="1" applyBorder="1" applyAlignment="1">
      <alignment wrapText="1"/>
    </xf>
    <xf numFmtId="0" fontId="14" fillId="2" borderId="21" xfId="0" applyFont="1" applyFill="1" applyBorder="1" applyAlignment="1">
      <alignment wrapText="1"/>
    </xf>
    <xf numFmtId="0" fontId="14" fillId="2" borderId="0" xfId="0" applyFont="1" applyFill="1" applyBorder="1" applyAlignment="1">
      <alignment wrapText="1"/>
    </xf>
    <xf numFmtId="0" fontId="14" fillId="2" borderId="8" xfId="0" applyFont="1" applyFill="1" applyBorder="1" applyAlignment="1" applyProtection="1">
      <alignment wrapText="1"/>
      <protection/>
    </xf>
    <xf numFmtId="0" fontId="14" fillId="2" borderId="0" xfId="0" applyFont="1" applyFill="1" applyBorder="1" applyAlignment="1" applyProtection="1">
      <alignment wrapText="1"/>
      <protection/>
    </xf>
    <xf numFmtId="0" fontId="14" fillId="2" borderId="21" xfId="0" applyFont="1" applyFill="1" applyBorder="1" applyAlignment="1">
      <alignment vertical="top" wrapText="1"/>
    </xf>
    <xf numFmtId="3" fontId="46" fillId="2" borderId="0" xfId="62" applyNumberFormat="1" applyFont="1" applyFill="1">
      <alignment/>
      <protection/>
    </xf>
    <xf numFmtId="0" fontId="46" fillId="2" borderId="0" xfId="62" applyFont="1" applyFill="1">
      <alignment/>
      <protection/>
    </xf>
    <xf numFmtId="0" fontId="27" fillId="2" borderId="0" xfId="62" applyFont="1" applyFill="1" applyAlignment="1">
      <alignment horizontal="center" vertical="center" wrapText="1"/>
      <protection/>
    </xf>
    <xf numFmtId="0" fontId="27" fillId="2" borderId="0" xfId="62" applyFont="1" applyFill="1" applyAlignment="1">
      <alignment wrapText="1"/>
      <protection/>
    </xf>
    <xf numFmtId="3" fontId="14" fillId="2" borderId="0" xfId="0" applyNumberFormat="1" applyFont="1" applyFill="1" applyAlignment="1" applyProtection="1">
      <alignment vertical="top" wrapText="1"/>
      <protection locked="0"/>
    </xf>
    <xf numFmtId="0" fontId="14" fillId="2" borderId="0" xfId="0" applyFont="1" applyFill="1" applyAlignment="1" applyProtection="1">
      <alignment horizontal="right" vertical="top" wrapText="1"/>
      <protection locked="0"/>
    </xf>
    <xf numFmtId="3" fontId="17" fillId="6" borderId="21" xfId="40" applyNumberFormat="1" applyFont="1" applyFill="1" applyBorder="1" applyAlignment="1" applyProtection="1">
      <alignment horizontal="right"/>
      <protection locked="0"/>
    </xf>
    <xf numFmtId="0" fontId="17" fillId="6" borderId="21" xfId="0" applyFont="1" applyFill="1" applyBorder="1" applyAlignment="1" applyProtection="1">
      <alignment horizontal="center" vertical="top" wrapText="1"/>
      <protection locked="0"/>
    </xf>
    <xf numFmtId="3" fontId="17" fillId="6" borderId="21" xfId="40" applyNumberFormat="1" applyFont="1" applyFill="1" applyBorder="1" applyAlignment="1">
      <alignment horizontal="right"/>
    </xf>
    <xf numFmtId="3" fontId="14" fillId="6" borderId="21" xfId="40" applyNumberFormat="1" applyFont="1" applyFill="1" applyBorder="1" applyAlignment="1">
      <alignment horizontal="right"/>
    </xf>
    <xf numFmtId="3" fontId="14" fillId="6" borderId="21" xfId="40" applyNumberFormat="1" applyFont="1" applyFill="1" applyBorder="1" applyAlignment="1" applyProtection="1">
      <alignment horizontal="right"/>
      <protection locked="0"/>
    </xf>
    <xf numFmtId="3" fontId="17" fillId="6" borderId="21" xfId="0" applyNumberFormat="1" applyFont="1" applyFill="1" applyBorder="1" applyAlignment="1" applyProtection="1">
      <alignment horizontal="center" vertical="top" wrapText="1"/>
      <protection locked="0"/>
    </xf>
    <xf numFmtId="3" fontId="14" fillId="6" borderId="21" xfId="0" applyNumberFormat="1" applyFont="1" applyFill="1" applyBorder="1" applyAlignment="1" applyProtection="1">
      <alignment vertical="top" wrapText="1"/>
      <protection locked="0"/>
    </xf>
    <xf numFmtId="3" fontId="17" fillId="6" borderId="22" xfId="40" applyNumberFormat="1" applyFont="1" applyFill="1" applyBorder="1" applyAlignment="1" applyProtection="1">
      <alignment horizontal="right"/>
      <protection/>
    </xf>
    <xf numFmtId="3" fontId="14" fillId="6" borderId="22" xfId="40" applyNumberFormat="1" applyFont="1" applyFill="1" applyBorder="1" applyAlignment="1" applyProtection="1">
      <alignment horizontal="right"/>
      <protection/>
    </xf>
    <xf numFmtId="3" fontId="17" fillId="6" borderId="21" xfId="0" applyNumberFormat="1" applyFont="1" applyFill="1" applyBorder="1" applyAlignment="1" applyProtection="1">
      <alignment vertical="top" wrapText="1"/>
      <protection locked="0"/>
    </xf>
    <xf numFmtId="43" fontId="14" fillId="6" borderId="21" xfId="42" applyFont="1" applyFill="1" applyBorder="1" applyAlignment="1" applyProtection="1">
      <alignment vertical="top" wrapText="1"/>
      <protection/>
    </xf>
    <xf numFmtId="2" fontId="14" fillId="6" borderId="21" xfId="0" applyNumberFormat="1" applyFont="1" applyFill="1" applyBorder="1" applyAlignment="1" applyProtection="1">
      <alignment vertical="top" wrapText="1"/>
      <protection locked="0"/>
    </xf>
    <xf numFmtId="43" fontId="14" fillId="6" borderId="21" xfId="42" applyFont="1" applyFill="1" applyBorder="1" applyAlignment="1" applyProtection="1">
      <alignment horizontal="right" vertical="top" wrapText="1"/>
      <protection locked="0"/>
    </xf>
    <xf numFmtId="9" fontId="14" fillId="6" borderId="21" xfId="0" applyNumberFormat="1" applyFont="1" applyFill="1" applyBorder="1" applyAlignment="1" applyProtection="1">
      <alignment vertical="center" wrapText="1"/>
      <protection/>
    </xf>
    <xf numFmtId="10" fontId="14" fillId="2" borderId="0" xfId="68" applyNumberFormat="1" applyFont="1" applyFill="1" applyAlignment="1" applyProtection="1">
      <alignment vertical="top" wrapText="1"/>
      <protection locked="0"/>
    </xf>
    <xf numFmtId="3" fontId="17" fillId="6" borderId="21" xfId="0" applyNumberFormat="1" applyFont="1" applyFill="1" applyBorder="1" applyAlignment="1" applyProtection="1">
      <alignment horizontal="center" wrapText="1"/>
      <protection locked="0"/>
    </xf>
    <xf numFmtId="3" fontId="25" fillId="2" borderId="0" xfId="0" applyNumberFormat="1" applyFont="1" applyFill="1" applyAlignment="1">
      <alignment vertical="top" wrapText="1"/>
    </xf>
    <xf numFmtId="0" fontId="27" fillId="2" borderId="0" xfId="62" applyFont="1" applyFill="1">
      <alignment/>
      <protection/>
    </xf>
    <xf numFmtId="3" fontId="19" fillId="2" borderId="0" xfId="0" applyNumberFormat="1" applyFont="1" applyFill="1" applyBorder="1" applyAlignment="1">
      <alignment/>
    </xf>
    <xf numFmtId="0" fontId="28" fillId="2" borderId="0" xfId="62" applyFont="1" applyFill="1">
      <alignment/>
      <protection/>
    </xf>
    <xf numFmtId="0" fontId="65" fillId="2" borderId="0" xfId="0" applyFont="1" applyFill="1" applyAlignment="1">
      <alignment vertical="top" wrapText="1"/>
    </xf>
    <xf numFmtId="0" fontId="14" fillId="23" borderId="0" xfId="0" applyFont="1" applyFill="1" applyAlignment="1" applyProtection="1">
      <alignment vertical="top" wrapText="1"/>
      <protection locked="0"/>
    </xf>
    <xf numFmtId="0" fontId="14" fillId="23" borderId="22" xfId="0" applyFont="1" applyFill="1" applyBorder="1" applyAlignment="1" applyProtection="1">
      <alignment vertical="top" wrapText="1"/>
      <protection locked="0"/>
    </xf>
    <xf numFmtId="43" fontId="14" fillId="23" borderId="22" xfId="0" applyNumberFormat="1" applyFont="1" applyFill="1" applyBorder="1" applyAlignment="1" applyProtection="1">
      <alignment vertical="top" wrapText="1"/>
      <protection locked="0"/>
    </xf>
    <xf numFmtId="165" fontId="14" fillId="23" borderId="21" xfId="68" applyNumberFormat="1" applyFont="1" applyFill="1" applyBorder="1" applyAlignment="1" applyProtection="1">
      <alignment vertical="top" wrapText="1"/>
      <protection locked="0"/>
    </xf>
    <xf numFmtId="9" fontId="14" fillId="6" borderId="21" xfId="68" applyFont="1" applyFill="1" applyBorder="1" applyAlignment="1" applyProtection="1">
      <alignment horizontal="right" vertical="top" wrapText="1"/>
      <protection locked="0"/>
    </xf>
    <xf numFmtId="165" fontId="14" fillId="23" borderId="22" xfId="0" applyNumberFormat="1" applyFont="1" applyFill="1" applyBorder="1" applyAlignment="1" applyProtection="1">
      <alignment vertical="top" wrapText="1"/>
      <protection/>
    </xf>
    <xf numFmtId="0" fontId="14" fillId="2" borderId="12" xfId="0" applyFont="1" applyFill="1" applyBorder="1" applyAlignment="1">
      <alignment vertical="top" wrapText="1"/>
    </xf>
    <xf numFmtId="4" fontId="17" fillId="23" borderId="21" xfId="40" applyNumberFormat="1" applyFont="1" applyFill="1" applyBorder="1" applyAlignment="1">
      <alignment/>
    </xf>
    <xf numFmtId="188" fontId="14" fillId="27" borderId="11" xfId="40" applyNumberFormat="1" applyFont="1" applyFill="1" applyBorder="1" applyAlignment="1" applyProtection="1">
      <alignment/>
      <protection locked="0"/>
    </xf>
    <xf numFmtId="165" fontId="2" fillId="2" borderId="0" xfId="66" applyNumberFormat="1" applyFont="1" applyFill="1" applyProtection="1">
      <alignment vertical="top"/>
      <protection locked="0"/>
    </xf>
    <xf numFmtId="165" fontId="14" fillId="2" borderId="0" xfId="0" applyNumberFormat="1" applyFont="1" applyFill="1" applyAlignment="1" applyProtection="1">
      <alignment vertical="top" wrapText="1"/>
      <protection locked="0"/>
    </xf>
    <xf numFmtId="0" fontId="2" fillId="2" borderId="0" xfId="66" applyFont="1" applyFill="1" applyProtection="1">
      <alignment vertical="top"/>
      <protection locked="0"/>
    </xf>
    <xf numFmtId="0" fontId="47" fillId="0" borderId="0" xfId="0" applyFont="1" applyAlignment="1">
      <alignment/>
    </xf>
    <xf numFmtId="0" fontId="48" fillId="2" borderId="0" xfId="0" applyFont="1" applyFill="1" applyAlignment="1">
      <alignment/>
    </xf>
    <xf numFmtId="0" fontId="18" fillId="2" borderId="0" xfId="0" applyFont="1" applyFill="1" applyAlignment="1">
      <alignment/>
    </xf>
    <xf numFmtId="3" fontId="48" fillId="2" borderId="0" xfId="0" applyNumberFormat="1" applyFont="1" applyFill="1" applyAlignment="1">
      <alignment/>
    </xf>
    <xf numFmtId="0" fontId="25" fillId="2" borderId="0" xfId="0" applyFont="1" applyFill="1" applyAlignment="1">
      <alignment/>
    </xf>
    <xf numFmtId="0" fontId="45" fillId="2" borderId="0" xfId="0" applyFont="1" applyFill="1" applyAlignment="1">
      <alignment/>
    </xf>
    <xf numFmtId="0" fontId="45" fillId="0" borderId="0" xfId="0" applyFont="1" applyFill="1" applyAlignment="1">
      <alignment/>
    </xf>
    <xf numFmtId="3" fontId="45" fillId="2" borderId="0" xfId="0" applyNumberFormat="1" applyFont="1" applyFill="1" applyAlignment="1">
      <alignment/>
    </xf>
    <xf numFmtId="0" fontId="0" fillId="2" borderId="0" xfId="0" applyFill="1" applyAlignment="1">
      <alignment/>
    </xf>
    <xf numFmtId="0" fontId="45" fillId="2" borderId="0" xfId="0" applyFont="1" applyFill="1" applyBorder="1" applyAlignment="1">
      <alignment/>
    </xf>
    <xf numFmtId="3" fontId="45" fillId="2" borderId="0" xfId="0" applyNumberFormat="1" applyFont="1" applyFill="1" applyBorder="1" applyAlignment="1">
      <alignment/>
    </xf>
    <xf numFmtId="0" fontId="25" fillId="0" borderId="0" xfId="0" applyFont="1" applyFill="1" applyBorder="1" applyAlignment="1">
      <alignment/>
    </xf>
    <xf numFmtId="3" fontId="0" fillId="2" borderId="0" xfId="0" applyNumberFormat="1" applyFill="1" applyAlignment="1">
      <alignment/>
    </xf>
    <xf numFmtId="9" fontId="0" fillId="2" borderId="0" xfId="0" applyNumberFormat="1" applyFill="1" applyAlignment="1">
      <alignment/>
    </xf>
    <xf numFmtId="0" fontId="17" fillId="2" borderId="0" xfId="0" applyFont="1" applyFill="1" applyBorder="1" applyAlignment="1">
      <alignment/>
    </xf>
    <xf numFmtId="0" fontId="14" fillId="2" borderId="0" xfId="0" applyFont="1" applyFill="1" applyBorder="1" applyAlignment="1">
      <alignment/>
    </xf>
    <xf numFmtId="0" fontId="14" fillId="2" borderId="37" xfId="0" applyFont="1" applyFill="1" applyBorder="1" applyAlignment="1">
      <alignment/>
    </xf>
    <xf numFmtId="3" fontId="14" fillId="2" borderId="37" xfId="0" applyNumberFormat="1" applyFont="1" applyFill="1" applyBorder="1" applyAlignment="1">
      <alignment/>
    </xf>
    <xf numFmtId="0" fontId="14" fillId="2" borderId="38" xfId="0" applyFont="1" applyFill="1" applyBorder="1" applyAlignment="1">
      <alignment/>
    </xf>
    <xf numFmtId="0" fontId="17" fillId="2" borderId="38" xfId="0" applyFont="1" applyFill="1" applyBorder="1" applyAlignment="1">
      <alignment/>
    </xf>
    <xf numFmtId="0" fontId="14" fillId="2" borderId="0" xfId="0" applyFont="1" applyFill="1" applyAlignment="1">
      <alignment/>
    </xf>
    <xf numFmtId="189" fontId="14" fillId="2" borderId="39" xfId="0" applyNumberFormat="1" applyFont="1" applyFill="1" applyBorder="1" applyAlignment="1">
      <alignment horizontal="center" vertical="center"/>
    </xf>
    <xf numFmtId="189" fontId="14" fillId="2" borderId="40" xfId="0" applyNumberFormat="1" applyFont="1" applyFill="1" applyBorder="1" applyAlignment="1">
      <alignment horizontal="center" vertical="center"/>
    </xf>
    <xf numFmtId="3" fontId="14" fillId="2" borderId="40" xfId="0" applyNumberFormat="1" applyFont="1" applyFill="1" applyBorder="1" applyAlignment="1">
      <alignment horizontal="center" vertical="center"/>
    </xf>
    <xf numFmtId="189" fontId="14" fillId="2" borderId="41" xfId="0" applyNumberFormat="1" applyFont="1" applyFill="1" applyBorder="1" applyAlignment="1">
      <alignment horizontal="center" vertical="center"/>
    </xf>
    <xf numFmtId="189" fontId="14" fillId="2" borderId="42" xfId="0" applyNumberFormat="1" applyFont="1" applyFill="1" applyBorder="1" applyAlignment="1">
      <alignment horizontal="center" vertical="center"/>
    </xf>
    <xf numFmtId="0" fontId="14" fillId="2" borderId="0" xfId="0" applyFont="1" applyFill="1" applyAlignment="1">
      <alignment vertical="center"/>
    </xf>
    <xf numFmtId="0" fontId="14" fillId="2" borderId="21" xfId="0" applyFont="1" applyFill="1" applyBorder="1" applyAlignment="1">
      <alignment/>
    </xf>
    <xf numFmtId="0" fontId="14" fillId="2" borderId="43" xfId="0" applyFont="1" applyFill="1" applyBorder="1" applyAlignment="1">
      <alignment/>
    </xf>
    <xf numFmtId="0" fontId="14" fillId="2" borderId="44" xfId="0" applyFont="1" applyFill="1" applyBorder="1" applyAlignment="1">
      <alignment/>
    </xf>
    <xf numFmtId="0" fontId="14" fillId="2" borderId="45" xfId="0" applyFont="1" applyFill="1" applyBorder="1" applyAlignment="1">
      <alignment/>
    </xf>
    <xf numFmtId="0" fontId="14" fillId="2" borderId="21" xfId="0" applyFont="1" applyFill="1" applyBorder="1" applyAlignment="1">
      <alignment horizontal="center"/>
    </xf>
    <xf numFmtId="0" fontId="33" fillId="2" borderId="21" xfId="0" applyFont="1" applyFill="1" applyBorder="1" applyAlignment="1">
      <alignment horizontal="center"/>
    </xf>
    <xf numFmtId="0" fontId="14" fillId="2" borderId="22" xfId="0" applyFont="1" applyFill="1" applyBorder="1" applyAlignment="1">
      <alignment horizontal="center"/>
    </xf>
    <xf numFmtId="0" fontId="14" fillId="2" borderId="46" xfId="0" applyFont="1" applyFill="1" applyBorder="1" applyAlignment="1">
      <alignment/>
    </xf>
    <xf numFmtId="0" fontId="14" fillId="2" borderId="33" xfId="0" applyFont="1" applyFill="1" applyBorder="1" applyAlignment="1">
      <alignment horizontal="center"/>
    </xf>
    <xf numFmtId="0" fontId="17" fillId="2" borderId="44" xfId="0" applyFont="1" applyFill="1" applyBorder="1" applyAlignment="1">
      <alignment/>
    </xf>
    <xf numFmtId="0" fontId="17" fillId="2" borderId="45" xfId="0" applyFont="1" applyFill="1" applyBorder="1" applyAlignment="1">
      <alignment/>
    </xf>
    <xf numFmtId="3" fontId="14" fillId="2" borderId="21" xfId="0" applyNumberFormat="1" applyFont="1" applyFill="1" applyBorder="1" applyAlignment="1">
      <alignment/>
    </xf>
    <xf numFmtId="0" fontId="14" fillId="2" borderId="47" xfId="0" applyFont="1" applyFill="1" applyBorder="1" applyAlignment="1">
      <alignment/>
    </xf>
    <xf numFmtId="3" fontId="14" fillId="2" borderId="48" xfId="0" applyNumberFormat="1" applyFont="1" applyFill="1" applyBorder="1" applyAlignment="1">
      <alignment/>
    </xf>
    <xf numFmtId="0" fontId="14" fillId="2" borderId="49" xfId="0" applyFont="1" applyFill="1" applyBorder="1" applyAlignment="1">
      <alignment/>
    </xf>
    <xf numFmtId="3" fontId="14" fillId="2" borderId="50" xfId="0" applyNumberFormat="1" applyFont="1" applyFill="1" applyBorder="1" applyAlignment="1">
      <alignment horizontal="center"/>
    </xf>
    <xf numFmtId="3" fontId="14" fillId="2" borderId="51" xfId="0" applyNumberFormat="1" applyFont="1" applyFill="1" applyBorder="1" applyAlignment="1">
      <alignment horizontal="center"/>
    </xf>
    <xf numFmtId="3" fontId="19" fillId="2" borderId="52" xfId="0" applyNumberFormat="1" applyFont="1" applyFill="1" applyBorder="1" applyAlignment="1">
      <alignment horizontal="center"/>
    </xf>
    <xf numFmtId="3" fontId="14" fillId="2" borderId="53" xfId="0" applyNumberFormat="1" applyFont="1" applyFill="1" applyBorder="1" applyAlignment="1">
      <alignment horizontal="center"/>
    </xf>
    <xf numFmtId="3" fontId="23" fillId="2" borderId="48" xfId="0" applyNumberFormat="1" applyFont="1" applyFill="1" applyBorder="1" applyAlignment="1">
      <alignment horizontal="center"/>
    </xf>
    <xf numFmtId="3" fontId="23" fillId="2" borderId="49" xfId="0" applyNumberFormat="1" applyFont="1" applyFill="1" applyBorder="1" applyAlignment="1">
      <alignment horizontal="center"/>
    </xf>
    <xf numFmtId="0" fontId="17" fillId="2" borderId="21" xfId="0" applyFont="1" applyFill="1" applyBorder="1" applyAlignment="1">
      <alignment/>
    </xf>
    <xf numFmtId="0" fontId="14" fillId="2" borderId="54" xfId="0" applyFont="1" applyFill="1" applyBorder="1" applyAlignment="1">
      <alignment/>
    </xf>
    <xf numFmtId="3" fontId="14" fillId="2" borderId="55" xfId="0" applyNumberFormat="1" applyFont="1" applyFill="1" applyBorder="1" applyAlignment="1">
      <alignment/>
    </xf>
    <xf numFmtId="0" fontId="14" fillId="2" borderId="56" xfId="0" applyFont="1" applyFill="1" applyBorder="1" applyAlignment="1">
      <alignment/>
    </xf>
    <xf numFmtId="170" fontId="14" fillId="2" borderId="57" xfId="0" applyNumberFormat="1" applyFont="1" applyFill="1" applyBorder="1" applyAlignment="1">
      <alignment/>
    </xf>
    <xf numFmtId="170" fontId="14" fillId="2" borderId="58" xfId="0" applyNumberFormat="1" applyFont="1" applyFill="1" applyBorder="1" applyAlignment="1">
      <alignment/>
    </xf>
    <xf numFmtId="170" fontId="14" fillId="2" borderId="59" xfId="0" applyNumberFormat="1" applyFont="1" applyFill="1" applyBorder="1" applyAlignment="1">
      <alignment/>
    </xf>
    <xf numFmtId="170" fontId="14" fillId="2" borderId="60" xfId="0" applyNumberFormat="1" applyFont="1" applyFill="1" applyBorder="1" applyAlignment="1">
      <alignment/>
    </xf>
    <xf numFmtId="3" fontId="14" fillId="2" borderId="57" xfId="0" applyNumberFormat="1" applyFont="1" applyFill="1" applyBorder="1" applyAlignment="1">
      <alignment/>
    </xf>
    <xf numFmtId="3" fontId="17" fillId="2" borderId="55" xfId="0" applyNumberFormat="1" applyFont="1" applyFill="1" applyBorder="1" applyAlignment="1">
      <alignment/>
    </xf>
    <xf numFmtId="3" fontId="17" fillId="2" borderId="56" xfId="0" applyNumberFormat="1" applyFont="1" applyFill="1" applyBorder="1" applyAlignment="1">
      <alignment/>
    </xf>
    <xf numFmtId="0" fontId="23" fillId="2" borderId="21" xfId="0" applyFont="1" applyFill="1" applyBorder="1" applyAlignment="1">
      <alignment horizontal="left" vertical="center"/>
    </xf>
    <xf numFmtId="0" fontId="14" fillId="2" borderId="0" xfId="0" applyFont="1" applyFill="1" applyBorder="1" applyAlignment="1">
      <alignment horizontal="right" vertical="center"/>
    </xf>
    <xf numFmtId="190" fontId="14" fillId="2" borderId="0" xfId="0" applyNumberFormat="1" applyFont="1" applyFill="1" applyBorder="1" applyAlignment="1">
      <alignment horizontal="right" vertical="center"/>
    </xf>
    <xf numFmtId="0" fontId="33" fillId="2" borderId="0" xfId="0" applyFont="1" applyFill="1" applyBorder="1" applyAlignment="1">
      <alignment horizontal="right" vertical="center"/>
    </xf>
    <xf numFmtId="1" fontId="14" fillId="2" borderId="0" xfId="0" applyNumberFormat="1" applyFont="1" applyFill="1" applyBorder="1" applyAlignment="1">
      <alignment horizontal="right" vertical="center"/>
    </xf>
    <xf numFmtId="0" fontId="14" fillId="2" borderId="21" xfId="0" applyFont="1" applyFill="1" applyBorder="1" applyAlignment="1">
      <alignment horizontal="left" vertical="center"/>
    </xf>
    <xf numFmtId="0" fontId="17" fillId="18" borderId="21" xfId="0" applyFont="1" applyFill="1" applyBorder="1" applyAlignment="1">
      <alignment wrapText="1"/>
    </xf>
    <xf numFmtId="191" fontId="14" fillId="2" borderId="21" xfId="0" applyNumberFormat="1" applyFont="1" applyFill="1" applyBorder="1" applyAlignment="1">
      <alignment vertical="center" wrapText="1"/>
    </xf>
    <xf numFmtId="0" fontId="17" fillId="6" borderId="21" xfId="0" applyFont="1" applyFill="1" applyBorder="1" applyAlignment="1">
      <alignment vertical="center" wrapText="1"/>
    </xf>
    <xf numFmtId="0" fontId="19" fillId="2" borderId="0" xfId="0" applyFont="1" applyFill="1" applyBorder="1" applyAlignment="1">
      <alignment/>
    </xf>
    <xf numFmtId="0" fontId="14" fillId="0" borderId="21" xfId="0" applyFont="1" applyBorder="1" applyAlignment="1">
      <alignment vertical="center" wrapText="1"/>
    </xf>
    <xf numFmtId="3" fontId="14" fillId="2" borderId="0" xfId="0" applyNumberFormat="1" applyFont="1" applyFill="1" applyBorder="1" applyAlignment="1">
      <alignment/>
    </xf>
    <xf numFmtId="0" fontId="14" fillId="0" borderId="21" xfId="0" applyFont="1" applyBorder="1" applyAlignment="1">
      <alignment vertical="center" wrapText="1"/>
    </xf>
    <xf numFmtId="0" fontId="17" fillId="6" borderId="21" xfId="0" applyFont="1" applyFill="1" applyBorder="1" applyAlignment="1">
      <alignment wrapText="1"/>
    </xf>
    <xf numFmtId="0" fontId="51" fillId="2" borderId="21" xfId="0" applyFont="1" applyFill="1" applyBorder="1" applyAlignment="1">
      <alignment wrapText="1"/>
    </xf>
    <xf numFmtId="0" fontId="51" fillId="2" borderId="0" xfId="0" applyFont="1" applyFill="1" applyBorder="1" applyAlignment="1">
      <alignment/>
    </xf>
    <xf numFmtId="0" fontId="14" fillId="2" borderId="21" xfId="0" applyFont="1" applyFill="1" applyBorder="1" applyAlignment="1">
      <alignment horizontal="left" wrapText="1"/>
    </xf>
    <xf numFmtId="0" fontId="23" fillId="8" borderId="21" xfId="0" applyFont="1" applyFill="1" applyBorder="1" applyAlignment="1">
      <alignment horizontal="left" wrapText="1"/>
    </xf>
    <xf numFmtId="0" fontId="23" fillId="2" borderId="0" xfId="0" applyFont="1" applyFill="1" applyBorder="1" applyAlignment="1">
      <alignment/>
    </xf>
    <xf numFmtId="0" fontId="26" fillId="2" borderId="21" xfId="0" applyFont="1" applyFill="1" applyBorder="1" applyAlignment="1">
      <alignment/>
    </xf>
    <xf numFmtId="0" fontId="14" fillId="0" borderId="21" xfId="0" applyFont="1" applyFill="1" applyBorder="1" applyAlignment="1">
      <alignment horizontal="left" vertical="center"/>
    </xf>
    <xf numFmtId="0" fontId="14" fillId="0" borderId="0" xfId="0" applyFont="1" applyFill="1" applyBorder="1" applyAlignment="1">
      <alignment horizontal="left" vertical="center" wrapText="1"/>
    </xf>
    <xf numFmtId="3" fontId="23" fillId="2" borderId="0" xfId="0" applyNumberFormat="1" applyFont="1" applyFill="1" applyBorder="1" applyAlignment="1">
      <alignment/>
    </xf>
    <xf numFmtId="3" fontId="19" fillId="2" borderId="0" xfId="0" applyNumberFormat="1" applyFont="1" applyFill="1" applyBorder="1" applyAlignment="1">
      <alignment/>
    </xf>
    <xf numFmtId="49" fontId="45" fillId="2" borderId="0" xfId="0" applyNumberFormat="1" applyFont="1" applyFill="1" applyBorder="1" applyAlignment="1">
      <alignment/>
    </xf>
    <xf numFmtId="0" fontId="25" fillId="2" borderId="0" xfId="0" applyFont="1" applyFill="1" applyBorder="1" applyAlignment="1">
      <alignment/>
    </xf>
    <xf numFmtId="0" fontId="0" fillId="2" borderId="0" xfId="0" applyFill="1" applyBorder="1" applyAlignment="1">
      <alignment/>
    </xf>
    <xf numFmtId="3" fontId="0" fillId="2" borderId="0" xfId="0" applyNumberFormat="1" applyFill="1" applyBorder="1" applyAlignment="1">
      <alignment/>
    </xf>
    <xf numFmtId="0" fontId="45" fillId="2" borderId="0" xfId="65" applyFont="1" applyFill="1">
      <alignment/>
      <protection/>
    </xf>
    <xf numFmtId="0" fontId="25" fillId="2" borderId="0" xfId="0" applyFont="1" applyFill="1" applyAlignment="1">
      <alignment horizontal="left"/>
    </xf>
    <xf numFmtId="0" fontId="32" fillId="2" borderId="0" xfId="0" applyFont="1" applyFill="1" applyAlignment="1">
      <alignment/>
    </xf>
    <xf numFmtId="3" fontId="32" fillId="2" borderId="0" xfId="0" applyNumberFormat="1" applyFont="1" applyFill="1" applyAlignment="1">
      <alignment/>
    </xf>
    <xf numFmtId="0" fontId="45" fillId="2" borderId="0" xfId="0" applyFont="1" applyFill="1" applyAlignment="1" quotePrefix="1">
      <alignment/>
    </xf>
    <xf numFmtId="0" fontId="45" fillId="2" borderId="0" xfId="0" applyFont="1" applyFill="1" applyAlignment="1">
      <alignment horizontal="right"/>
    </xf>
    <xf numFmtId="0" fontId="45" fillId="2" borderId="0" xfId="0" applyFont="1" applyFill="1" applyBorder="1" applyAlignment="1" quotePrefix="1">
      <alignment horizontal="left"/>
    </xf>
    <xf numFmtId="0" fontId="54" fillId="2" borderId="0" xfId="0" applyFont="1" applyFill="1" applyAlignment="1">
      <alignment/>
    </xf>
    <xf numFmtId="0" fontId="17" fillId="2" borderId="0" xfId="0" applyFont="1" applyFill="1" applyAlignment="1">
      <alignment horizontal="left"/>
    </xf>
    <xf numFmtId="3" fontId="14" fillId="2" borderId="0" xfId="0" applyNumberFormat="1" applyFont="1" applyFill="1" applyAlignment="1">
      <alignment/>
    </xf>
    <xf numFmtId="0" fontId="45" fillId="2" borderId="0" xfId="0" applyFont="1" applyFill="1" applyAlignment="1">
      <alignment horizontal="left" indent="3"/>
    </xf>
    <xf numFmtId="0" fontId="45" fillId="2" borderId="0" xfId="0" applyFont="1" applyFill="1" applyAlignment="1">
      <alignment horizontal="left" indent="13"/>
    </xf>
    <xf numFmtId="0" fontId="45" fillId="2" borderId="0" xfId="0" applyFont="1" applyFill="1" applyAlignment="1" quotePrefix="1">
      <alignment horizontal="left"/>
    </xf>
    <xf numFmtId="0" fontId="45" fillId="2" borderId="0" xfId="0" applyFont="1" applyFill="1" applyAlignment="1" quotePrefix="1">
      <alignment horizontal="left" indent="13"/>
    </xf>
    <xf numFmtId="43" fontId="14" fillId="6" borderId="0" xfId="0" applyNumberFormat="1" applyFont="1" applyFill="1" applyAlignment="1" applyProtection="1">
      <alignment vertical="top" wrapText="1"/>
      <protection locked="0"/>
    </xf>
    <xf numFmtId="10" fontId="14" fillId="23" borderId="21" xfId="68" applyNumberFormat="1" applyFont="1" applyFill="1" applyBorder="1" applyAlignment="1">
      <alignment vertical="top" wrapText="1"/>
    </xf>
    <xf numFmtId="2" fontId="14" fillId="2" borderId="21" xfId="40" applyNumberFormat="1" applyFont="1" applyFill="1" applyBorder="1" applyAlignment="1" applyProtection="1">
      <alignment/>
      <protection/>
    </xf>
    <xf numFmtId="10" fontId="14" fillId="23" borderId="21" xfId="68" applyNumberFormat="1" applyFont="1" applyFill="1" applyBorder="1" applyAlignment="1" applyProtection="1">
      <alignment/>
      <protection locked="0"/>
    </xf>
    <xf numFmtId="10" fontId="14" fillId="0" borderId="0" xfId="0" applyNumberFormat="1" applyFont="1" applyAlignment="1">
      <alignment vertical="top" wrapText="1"/>
    </xf>
    <xf numFmtId="9" fontId="14" fillId="0" borderId="0" xfId="0" applyNumberFormat="1" applyFont="1" applyAlignment="1">
      <alignment vertical="top" wrapText="1"/>
    </xf>
    <xf numFmtId="43" fontId="17" fillId="6" borderId="21" xfId="0" applyNumberFormat="1" applyFont="1" applyFill="1" applyBorder="1" applyAlignment="1" applyProtection="1">
      <alignment vertical="top" wrapText="1"/>
      <protection locked="0"/>
    </xf>
    <xf numFmtId="3" fontId="17" fillId="2" borderId="12" xfId="0" applyNumberFormat="1" applyFont="1" applyFill="1" applyBorder="1" applyAlignment="1" applyProtection="1">
      <alignment horizontal="center"/>
      <protection/>
    </xf>
    <xf numFmtId="4" fontId="14" fillId="0" borderId="21" xfId="0" applyNumberFormat="1" applyFont="1" applyBorder="1" applyAlignment="1">
      <alignment/>
    </xf>
    <xf numFmtId="4" fontId="14" fillId="0" borderId="44" xfId="0" applyNumberFormat="1" applyFont="1" applyBorder="1" applyAlignment="1">
      <alignment/>
    </xf>
    <xf numFmtId="4" fontId="14" fillId="2" borderId="45" xfId="68" applyNumberFormat="1" applyFont="1" applyFill="1" applyBorder="1" applyAlignment="1">
      <alignment horizontal="right" vertical="center"/>
    </xf>
    <xf numFmtId="4" fontId="14" fillId="2" borderId="21" xfId="0" applyNumberFormat="1" applyFont="1" applyFill="1" applyBorder="1" applyAlignment="1">
      <alignment horizontal="right" vertical="center"/>
    </xf>
    <xf numFmtId="4" fontId="14" fillId="2" borderId="22" xfId="0" applyNumberFormat="1" applyFont="1" applyFill="1" applyBorder="1" applyAlignment="1">
      <alignment horizontal="right" vertical="center"/>
    </xf>
    <xf numFmtId="4" fontId="14" fillId="2" borderId="46" xfId="0" applyNumberFormat="1" applyFont="1" applyFill="1" applyBorder="1" applyAlignment="1">
      <alignment horizontal="right" vertical="center"/>
    </xf>
    <xf numFmtId="4" fontId="14" fillId="2" borderId="33" xfId="0" applyNumberFormat="1" applyFont="1" applyFill="1" applyBorder="1" applyAlignment="1">
      <alignment horizontal="right" vertical="center"/>
    </xf>
    <xf numFmtId="4" fontId="33" fillId="2" borderId="21" xfId="0" applyNumberFormat="1" applyFont="1" applyFill="1" applyBorder="1" applyAlignment="1">
      <alignment horizontal="right" vertical="center"/>
    </xf>
    <xf numFmtId="4" fontId="33" fillId="2" borderId="21" xfId="0" applyNumberFormat="1" applyFont="1" applyFill="1" applyBorder="1" applyAlignment="1">
      <alignment horizontal="right" vertical="center"/>
    </xf>
    <xf numFmtId="4" fontId="49" fillId="2" borderId="21" xfId="0" applyNumberFormat="1" applyFont="1" applyFill="1" applyBorder="1" applyAlignment="1">
      <alignment horizontal="right" vertical="center"/>
    </xf>
    <xf numFmtId="4" fontId="14" fillId="2" borderId="0" xfId="0" applyNumberFormat="1" applyFont="1" applyFill="1" applyBorder="1" applyAlignment="1">
      <alignment horizontal="right" vertical="center"/>
    </xf>
    <xf numFmtId="4" fontId="14" fillId="2" borderId="44" xfId="0" applyNumberFormat="1" applyFont="1" applyFill="1" applyBorder="1" applyAlignment="1">
      <alignment horizontal="right" vertical="center"/>
    </xf>
    <xf numFmtId="4" fontId="50" fillId="2" borderId="21" xfId="0" applyNumberFormat="1" applyFont="1" applyFill="1" applyBorder="1" applyAlignment="1">
      <alignment horizontal="right" vertical="center"/>
    </xf>
    <xf numFmtId="4" fontId="49" fillId="2" borderId="21" xfId="0" applyNumberFormat="1" applyFont="1" applyFill="1" applyBorder="1" applyAlignment="1">
      <alignment horizontal="right" vertical="center"/>
    </xf>
    <xf numFmtId="4" fontId="14" fillId="2" borderId="33" xfId="0" applyNumberFormat="1" applyFont="1" applyFill="1" applyBorder="1" applyAlignment="1">
      <alignment horizontal="right" vertical="center"/>
    </xf>
    <xf numFmtId="4" fontId="0" fillId="0" borderId="61" xfId="0" applyNumberFormat="1" applyBorder="1" applyAlignment="1">
      <alignment/>
    </xf>
    <xf numFmtId="4" fontId="17" fillId="18" borderId="21" xfId="0" applyNumberFormat="1" applyFont="1" applyFill="1" applyBorder="1" applyAlignment="1">
      <alignment/>
    </xf>
    <xf numFmtId="4" fontId="17" fillId="18" borderId="62" xfId="0" applyNumberFormat="1" applyFont="1" applyFill="1" applyBorder="1" applyAlignment="1">
      <alignment/>
    </xf>
    <xf numFmtId="4" fontId="14" fillId="18" borderId="63" xfId="68" applyNumberFormat="1" applyFont="1" applyFill="1" applyBorder="1" applyAlignment="1">
      <alignment/>
    </xf>
    <xf numFmtId="4" fontId="17" fillId="18" borderId="64" xfId="0" applyNumberFormat="1" applyFont="1" applyFill="1" applyBorder="1" applyAlignment="1">
      <alignment/>
    </xf>
    <xf numFmtId="4" fontId="17" fillId="18" borderId="65" xfId="0" applyNumberFormat="1" applyFont="1" applyFill="1" applyBorder="1" applyAlignment="1">
      <alignment/>
    </xf>
    <xf numFmtId="4" fontId="17" fillId="18" borderId="66" xfId="0" applyNumberFormat="1" applyFont="1" applyFill="1" applyBorder="1" applyAlignment="1">
      <alignment/>
    </xf>
    <xf numFmtId="4" fontId="17" fillId="18" borderId="67" xfId="0" applyNumberFormat="1" applyFont="1" applyFill="1" applyBorder="1" applyAlignment="1">
      <alignment/>
    </xf>
    <xf numFmtId="4" fontId="17" fillId="2" borderId="0" xfId="0" applyNumberFormat="1" applyFont="1" applyFill="1" applyBorder="1" applyAlignment="1">
      <alignment/>
    </xf>
    <xf numFmtId="4" fontId="14" fillId="2" borderId="21" xfId="0" applyNumberFormat="1" applyFont="1" applyFill="1" applyBorder="1" applyAlignment="1">
      <alignment/>
    </xf>
    <xf numFmtId="4" fontId="14" fillId="2" borderId="43" xfId="0" applyNumberFormat="1" applyFont="1" applyFill="1" applyBorder="1" applyAlignment="1">
      <alignment/>
    </xf>
    <xf numFmtId="4" fontId="14" fillId="2" borderId="55" xfId="0" applyNumberFormat="1" applyFont="1" applyFill="1" applyBorder="1" applyAlignment="1">
      <alignment/>
    </xf>
    <xf numFmtId="4" fontId="14" fillId="2" borderId="45" xfId="0" applyNumberFormat="1" applyFont="1" applyFill="1" applyBorder="1" applyAlignment="1">
      <alignment/>
    </xf>
    <xf numFmtId="4" fontId="14" fillId="2" borderId="33" xfId="0" applyNumberFormat="1" applyFont="1" applyFill="1" applyBorder="1" applyAlignment="1">
      <alignment/>
    </xf>
    <xf numFmtId="4" fontId="14" fillId="2" borderId="21" xfId="0" applyNumberFormat="1" applyFont="1" applyFill="1" applyBorder="1" applyAlignment="1">
      <alignment/>
    </xf>
    <xf numFmtId="4" fontId="14" fillId="2" borderId="22" xfId="0" applyNumberFormat="1" applyFont="1" applyFill="1" applyBorder="1" applyAlignment="1">
      <alignment/>
    </xf>
    <xf numFmtId="4" fontId="14" fillId="2" borderId="68" xfId="0" applyNumberFormat="1" applyFont="1" applyFill="1" applyBorder="1" applyAlignment="1">
      <alignment/>
    </xf>
    <xf numFmtId="4" fontId="14" fillId="2" borderId="0" xfId="0" applyNumberFormat="1" applyFont="1" applyFill="1" applyBorder="1" applyAlignment="1">
      <alignment/>
    </xf>
    <xf numFmtId="4" fontId="17" fillId="2" borderId="44" xfId="0" applyNumberFormat="1" applyFont="1" applyFill="1" applyBorder="1" applyAlignment="1">
      <alignment/>
    </xf>
    <xf numFmtId="4" fontId="14" fillId="2" borderId="44" xfId="0" applyNumberFormat="1" applyFont="1" applyFill="1" applyBorder="1" applyAlignment="1">
      <alignment/>
    </xf>
    <xf numFmtId="4" fontId="14" fillId="2" borderId="33" xfId="0" applyNumberFormat="1" applyFont="1" applyFill="1" applyBorder="1" applyAlignment="1">
      <alignment/>
    </xf>
    <xf numFmtId="4" fontId="14" fillId="2" borderId="46" xfId="0" applyNumberFormat="1" applyFont="1" applyFill="1" applyBorder="1" applyAlignment="1">
      <alignment/>
    </xf>
    <xf numFmtId="4" fontId="17" fillId="18" borderId="69" xfId="0" applyNumberFormat="1" applyFont="1" applyFill="1" applyBorder="1" applyAlignment="1">
      <alignment/>
    </xf>
    <xf numFmtId="4" fontId="17" fillId="18" borderId="70" xfId="68" applyNumberFormat="1" applyFont="1" applyFill="1" applyBorder="1" applyAlignment="1">
      <alignment/>
    </xf>
    <xf numFmtId="4" fontId="23" fillId="6" borderId="21" xfId="0" applyNumberFormat="1" applyFont="1" applyFill="1" applyBorder="1" applyAlignment="1">
      <alignment/>
    </xf>
    <xf numFmtId="4" fontId="19" fillId="6" borderId="71" xfId="0" applyNumberFormat="1" applyFont="1" applyFill="1" applyBorder="1" applyAlignment="1">
      <alignment/>
    </xf>
    <xf numFmtId="4" fontId="23" fillId="6" borderId="69" xfId="0" applyNumberFormat="1" applyFont="1" applyFill="1" applyBorder="1" applyAlignment="1">
      <alignment/>
    </xf>
    <xf numFmtId="4" fontId="19" fillId="6" borderId="70" xfId="0" applyNumberFormat="1" applyFont="1" applyFill="1" applyBorder="1" applyAlignment="1">
      <alignment/>
    </xf>
    <xf numFmtId="4" fontId="19" fillId="6" borderId="64" xfId="0" applyNumberFormat="1" applyFont="1" applyFill="1" applyBorder="1" applyAlignment="1">
      <alignment/>
    </xf>
    <xf numFmtId="4" fontId="19" fillId="2" borderId="0" xfId="0" applyNumberFormat="1" applyFont="1" applyFill="1" applyBorder="1" applyAlignment="1">
      <alignment/>
    </xf>
    <xf numFmtId="4" fontId="23" fillId="6" borderId="70" xfId="0" applyNumberFormat="1" applyFont="1" applyFill="1" applyBorder="1" applyAlignment="1">
      <alignment/>
    </xf>
    <xf numFmtId="4" fontId="14" fillId="2" borderId="72" xfId="0" applyNumberFormat="1" applyFont="1" applyFill="1" applyBorder="1" applyAlignment="1">
      <alignment/>
    </xf>
    <xf numFmtId="4" fontId="14" fillId="2" borderId="73" xfId="0" applyNumberFormat="1" applyFont="1" applyFill="1" applyBorder="1" applyAlignment="1">
      <alignment/>
    </xf>
    <xf numFmtId="4" fontId="14" fillId="2" borderId="74" xfId="0" applyNumberFormat="1" applyFont="1" applyFill="1" applyBorder="1" applyAlignment="1">
      <alignment/>
    </xf>
    <xf numFmtId="4" fontId="17" fillId="2" borderId="75" xfId="0" applyNumberFormat="1" applyFont="1" applyFill="1" applyBorder="1" applyAlignment="1">
      <alignment/>
    </xf>
    <xf numFmtId="4" fontId="14" fillId="2" borderId="76" xfId="0" applyNumberFormat="1" applyFont="1" applyFill="1" applyBorder="1" applyAlignment="1">
      <alignment/>
    </xf>
    <xf numFmtId="4" fontId="14" fillId="2" borderId="77" xfId="0" applyNumberFormat="1" applyFont="1" applyFill="1" applyBorder="1" applyAlignment="1">
      <alignment/>
    </xf>
    <xf numFmtId="4" fontId="14" fillId="2" borderId="78" xfId="0" applyNumberFormat="1" applyFont="1" applyFill="1" applyBorder="1" applyAlignment="1">
      <alignment/>
    </xf>
    <xf numFmtId="4" fontId="14" fillId="2" borderId="31" xfId="0" applyNumberFormat="1" applyFont="1" applyFill="1" applyBorder="1" applyAlignment="1">
      <alignment/>
    </xf>
    <xf numFmtId="4" fontId="14" fillId="2" borderId="46" xfId="0" applyNumberFormat="1" applyFont="1" applyFill="1" applyBorder="1" applyAlignment="1">
      <alignment/>
    </xf>
    <xf numFmtId="4" fontId="14" fillId="2" borderId="79" xfId="0" applyNumberFormat="1" applyFont="1" applyFill="1" applyBorder="1" applyAlignment="1">
      <alignment/>
    </xf>
    <xf numFmtId="4" fontId="14" fillId="2" borderId="80" xfId="0" applyNumberFormat="1" applyFont="1" applyFill="1" applyBorder="1" applyAlignment="1">
      <alignment/>
    </xf>
    <xf numFmtId="4" fontId="14" fillId="2" borderId="39" xfId="0" applyNumberFormat="1" applyFont="1" applyFill="1" applyBorder="1" applyAlignment="1">
      <alignment/>
    </xf>
    <xf numFmtId="4" fontId="17" fillId="2" borderId="81" xfId="0" applyNumberFormat="1" applyFont="1" applyFill="1" applyBorder="1" applyAlignment="1">
      <alignment/>
    </xf>
    <xf numFmtId="4" fontId="19" fillId="6" borderId="66" xfId="0" applyNumberFormat="1" applyFont="1" applyFill="1" applyBorder="1" applyAlignment="1">
      <alignment/>
    </xf>
    <xf numFmtId="4" fontId="51" fillId="2" borderId="21" xfId="0" applyNumberFormat="1" applyFont="1" applyFill="1" applyBorder="1" applyAlignment="1">
      <alignment/>
    </xf>
    <xf numFmtId="4" fontId="51" fillId="2" borderId="37" xfId="0" applyNumberFormat="1" applyFont="1" applyFill="1" applyBorder="1" applyAlignment="1">
      <alignment/>
    </xf>
    <xf numFmtId="4" fontId="51" fillId="2" borderId="0" xfId="0" applyNumberFormat="1" applyFont="1" applyFill="1" applyBorder="1" applyAlignment="1">
      <alignment/>
    </xf>
    <xf numFmtId="4" fontId="52" fillId="2" borderId="82" xfId="0" applyNumberFormat="1" applyFont="1" applyFill="1" applyBorder="1" applyAlignment="1">
      <alignment/>
    </xf>
    <xf numFmtId="4" fontId="19" fillId="2" borderId="21" xfId="0" applyNumberFormat="1" applyFont="1" applyFill="1" applyBorder="1" applyAlignment="1">
      <alignment/>
    </xf>
    <xf numFmtId="4" fontId="19" fillId="2" borderId="54" xfId="0" applyNumberFormat="1" applyFont="1" applyFill="1" applyBorder="1" applyAlignment="1">
      <alignment/>
    </xf>
    <xf numFmtId="4" fontId="19" fillId="2" borderId="55" xfId="0" applyNumberFormat="1" applyFont="1" applyFill="1" applyBorder="1" applyAlignment="1">
      <alignment/>
    </xf>
    <xf numFmtId="4" fontId="19" fillId="2" borderId="56" xfId="0" applyNumberFormat="1" applyFont="1" applyFill="1" applyBorder="1" applyAlignment="1">
      <alignment/>
    </xf>
    <xf numFmtId="4" fontId="19" fillId="2" borderId="57" xfId="0" applyNumberFormat="1" applyFont="1" applyFill="1" applyBorder="1" applyAlignment="1">
      <alignment/>
    </xf>
    <xf numFmtId="4" fontId="14" fillId="2" borderId="59" xfId="0" applyNumberFormat="1" applyFont="1" applyFill="1" applyBorder="1" applyAlignment="1">
      <alignment/>
    </xf>
    <xf numFmtId="4" fontId="19" fillId="2" borderId="60" xfId="0" applyNumberFormat="1" applyFont="1" applyFill="1" applyBorder="1" applyAlignment="1">
      <alignment/>
    </xf>
    <xf numFmtId="4" fontId="23" fillId="2" borderId="56" xfId="0" applyNumberFormat="1" applyFont="1" applyFill="1" applyBorder="1" applyAlignment="1">
      <alignment/>
    </xf>
    <xf numFmtId="4" fontId="14" fillId="2" borderId="83" xfId="0" applyNumberFormat="1" applyFont="1" applyFill="1" applyBorder="1" applyAlignment="1">
      <alignment/>
    </xf>
    <xf numFmtId="4" fontId="14" fillId="2" borderId="81" xfId="0" applyNumberFormat="1" applyFont="1" applyFill="1" applyBorder="1" applyAlignment="1">
      <alignment/>
    </xf>
    <xf numFmtId="4" fontId="23" fillId="2" borderId="81" xfId="0" applyNumberFormat="1" applyFont="1" applyFill="1" applyBorder="1" applyAlignment="1">
      <alignment/>
    </xf>
    <xf numFmtId="4" fontId="23" fillId="2" borderId="21" xfId="0" applyNumberFormat="1" applyFont="1" applyFill="1" applyBorder="1" applyAlignment="1">
      <alignment/>
    </xf>
    <xf numFmtId="4" fontId="23" fillId="8" borderId="71" xfId="0" applyNumberFormat="1" applyFont="1" applyFill="1" applyBorder="1" applyAlignment="1">
      <alignment/>
    </xf>
    <xf numFmtId="4" fontId="23" fillId="8" borderId="69" xfId="0" applyNumberFormat="1" applyFont="1" applyFill="1" applyBorder="1" applyAlignment="1">
      <alignment/>
    </xf>
    <xf numFmtId="4" fontId="23" fillId="8" borderId="70" xfId="0" applyNumberFormat="1" applyFont="1" applyFill="1" applyBorder="1" applyAlignment="1">
      <alignment/>
    </xf>
    <xf numFmtId="4" fontId="23" fillId="8" borderId="84" xfId="0" applyNumberFormat="1" applyFont="1" applyFill="1" applyBorder="1" applyAlignment="1">
      <alignment/>
    </xf>
    <xf numFmtId="4" fontId="23" fillId="2" borderId="37" xfId="0" applyNumberFormat="1" applyFont="1" applyFill="1" applyBorder="1" applyAlignment="1">
      <alignment/>
    </xf>
    <xf numFmtId="4" fontId="23" fillId="2" borderId="82" xfId="0" applyNumberFormat="1" applyFont="1" applyFill="1" applyBorder="1" applyAlignment="1">
      <alignment/>
    </xf>
    <xf numFmtId="4" fontId="23" fillId="2" borderId="0" xfId="0" applyNumberFormat="1" applyFont="1" applyFill="1" applyBorder="1" applyAlignment="1">
      <alignment/>
    </xf>
    <xf numFmtId="4" fontId="23" fillId="2" borderId="85" xfId="0" applyNumberFormat="1" applyFont="1" applyFill="1" applyBorder="1" applyAlignment="1">
      <alignment/>
    </xf>
    <xf numFmtId="4" fontId="23" fillId="2" borderId="54" xfId="0" applyNumberFormat="1" applyFont="1" applyFill="1" applyBorder="1" applyAlignment="1">
      <alignment/>
    </xf>
    <xf numFmtId="4" fontId="23" fillId="2" borderId="44" xfId="0" applyNumberFormat="1" applyFont="1" applyFill="1" applyBorder="1" applyAlignment="1">
      <alignment/>
    </xf>
    <xf numFmtId="4" fontId="23" fillId="2" borderId="57" xfId="0" applyNumberFormat="1" applyFont="1" applyFill="1" applyBorder="1" applyAlignment="1">
      <alignment/>
    </xf>
    <xf numFmtId="4" fontId="23" fillId="2" borderId="60" xfId="0" applyNumberFormat="1" applyFont="1" applyFill="1" applyBorder="1" applyAlignment="1">
      <alignment/>
    </xf>
    <xf numFmtId="4" fontId="23" fillId="2" borderId="86" xfId="0" applyNumberFormat="1" applyFont="1" applyFill="1" applyBorder="1" applyAlignment="1">
      <alignment/>
    </xf>
    <xf numFmtId="10" fontId="14" fillId="0" borderId="21" xfId="66" applyNumberFormat="1" applyFont="1" applyFill="1" applyBorder="1" applyAlignment="1" applyProtection="1">
      <alignment/>
      <protection locked="0"/>
    </xf>
    <xf numFmtId="0" fontId="2" fillId="0" borderId="21" xfId="0" applyFont="1" applyFill="1" applyBorder="1" applyAlignment="1">
      <alignment vertical="top" wrapText="1"/>
    </xf>
    <xf numFmtId="3" fontId="14" fillId="0" borderId="12" xfId="0" applyNumberFormat="1" applyFont="1" applyFill="1" applyBorder="1" applyAlignment="1" applyProtection="1">
      <alignment horizontal="right"/>
      <protection locked="0"/>
    </xf>
    <xf numFmtId="0" fontId="14" fillId="0" borderId="12" xfId="0" applyFont="1" applyFill="1" applyBorder="1" applyAlignment="1" applyProtection="1">
      <alignment horizontal="right"/>
      <protection locked="0"/>
    </xf>
    <xf numFmtId="0" fontId="19" fillId="0" borderId="12" xfId="0" applyFont="1" applyFill="1" applyBorder="1" applyAlignment="1" applyProtection="1">
      <alignment horizontal="right"/>
      <protection locked="0"/>
    </xf>
    <xf numFmtId="4" fontId="14" fillId="2" borderId="0" xfId="0" applyNumberFormat="1" applyFont="1" applyFill="1" applyBorder="1" applyAlignment="1">
      <alignment horizontal="right" vertical="center"/>
    </xf>
    <xf numFmtId="4" fontId="23" fillId="8" borderId="21" xfId="0" applyNumberFormat="1" applyFont="1" applyFill="1" applyBorder="1" applyAlignment="1">
      <alignment/>
    </xf>
    <xf numFmtId="0" fontId="17" fillId="34" borderId="12" xfId="40" applyNumberFormat="1" applyFont="1" applyFill="1" applyBorder="1" applyAlignment="1" applyProtection="1">
      <alignment horizontal="center"/>
      <protection/>
    </xf>
    <xf numFmtId="0" fontId="17" fillId="16" borderId="12" xfId="40" applyNumberFormat="1" applyFont="1" applyFill="1" applyBorder="1" applyAlignment="1" applyProtection="1">
      <alignment horizontal="center"/>
      <protection/>
    </xf>
    <xf numFmtId="0" fontId="17" fillId="35" borderId="1" xfId="40" applyNumberFormat="1" applyFont="1" applyFill="1" applyAlignment="1" applyProtection="1">
      <alignment horizontal="center"/>
      <protection/>
    </xf>
    <xf numFmtId="0" fontId="17" fillId="16" borderId="1" xfId="40" applyNumberFormat="1" applyFont="1" applyFill="1" applyAlignment="1" applyProtection="1">
      <alignment horizontal="center"/>
      <protection/>
    </xf>
    <xf numFmtId="2" fontId="27" fillId="23" borderId="21" xfId="66" applyNumberFormat="1" applyFont="1" applyFill="1" applyBorder="1" applyAlignment="1" applyProtection="1">
      <alignment/>
      <protection locked="0"/>
    </xf>
    <xf numFmtId="2" fontId="2" fillId="0" borderId="21" xfId="0" applyNumberFormat="1" applyFont="1" applyFill="1" applyBorder="1" applyAlignment="1" applyProtection="1">
      <alignment vertical="top" wrapText="1"/>
      <protection locked="0"/>
    </xf>
    <xf numFmtId="0" fontId="28" fillId="6" borderId="21" xfId="0" applyFont="1" applyFill="1" applyBorder="1" applyAlignment="1" applyProtection="1">
      <alignment horizontal="center" vertical="top" wrapText="1"/>
      <protection locked="0"/>
    </xf>
    <xf numFmtId="3" fontId="28" fillId="6" borderId="21" xfId="0" applyNumberFormat="1" applyFont="1" applyFill="1" applyBorder="1" applyAlignment="1" applyProtection="1">
      <alignment horizontal="center"/>
      <protection locked="0"/>
    </xf>
    <xf numFmtId="10" fontId="14" fillId="23" borderId="21" xfId="66" applyNumberFormat="1" applyFont="1" applyFill="1" applyBorder="1" applyAlignment="1" applyProtection="1">
      <alignment/>
      <protection locked="0"/>
    </xf>
    <xf numFmtId="4" fontId="14" fillId="2" borderId="21" xfId="0" applyNumberFormat="1" applyFont="1" applyFill="1" applyBorder="1" applyAlignment="1">
      <alignment horizontal="right" vertical="center"/>
    </xf>
    <xf numFmtId="10" fontId="27" fillId="2" borderId="12" xfId="68" applyNumberFormat="1" applyFont="1" applyFill="1" applyBorder="1" applyAlignment="1" applyProtection="1">
      <alignment vertical="top" wrapText="1"/>
      <protection/>
    </xf>
    <xf numFmtId="177" fontId="14" fillId="23" borderId="22" xfId="66" applyNumberFormat="1" applyFont="1" applyFill="1" applyBorder="1" applyAlignment="1" applyProtection="1">
      <alignment/>
      <protection locked="0"/>
    </xf>
    <xf numFmtId="177" fontId="14" fillId="27" borderId="11" xfId="40" applyNumberFormat="1" applyFont="1" applyFill="1" applyBorder="1" applyAlignment="1" applyProtection="1">
      <alignment/>
      <protection locked="0"/>
    </xf>
    <xf numFmtId="43" fontId="14" fillId="6" borderId="21" xfId="0" applyNumberFormat="1" applyFont="1" applyFill="1" applyBorder="1" applyAlignment="1" applyProtection="1">
      <alignment vertical="top" wrapText="1"/>
      <protection locked="0"/>
    </xf>
    <xf numFmtId="4" fontId="14" fillId="6" borderId="21" xfId="40" applyNumberFormat="1" applyFont="1" applyFill="1" applyBorder="1" applyAlignment="1">
      <alignment horizontal="right"/>
    </xf>
    <xf numFmtId="165" fontId="14" fillId="23" borderId="22" xfId="0" applyNumberFormat="1" applyFont="1" applyFill="1" applyBorder="1" applyAlignment="1" applyProtection="1">
      <alignment vertical="top" wrapText="1"/>
      <protection/>
    </xf>
    <xf numFmtId="165" fontId="14" fillId="24" borderId="21" xfId="66" applyNumberFormat="1" applyFont="1" applyFill="1" applyBorder="1" applyAlignment="1" applyProtection="1">
      <alignment/>
      <protection locked="0"/>
    </xf>
    <xf numFmtId="165" fontId="14" fillId="23" borderId="0" xfId="66" applyNumberFormat="1" applyFont="1" applyFill="1" applyAlignment="1" applyProtection="1">
      <alignment/>
      <protection locked="0"/>
    </xf>
    <xf numFmtId="0" fontId="14" fillId="0" borderId="87" xfId="0" applyFont="1" applyBorder="1" applyAlignment="1" applyProtection="1">
      <alignment vertical="top" wrapText="1"/>
      <protection locked="0"/>
    </xf>
    <xf numFmtId="0" fontId="14" fillId="0" borderId="88" xfId="0" applyFont="1" applyBorder="1" applyAlignment="1" applyProtection="1">
      <alignment vertical="top" wrapText="1"/>
      <protection locked="0"/>
    </xf>
    <xf numFmtId="0" fontId="14" fillId="27" borderId="21" xfId="66" applyNumberFormat="1" applyFont="1" applyFill="1" applyBorder="1" applyAlignment="1" applyProtection="1">
      <alignment horizontal="center"/>
      <protection locked="0"/>
    </xf>
    <xf numFmtId="0" fontId="14" fillId="27" borderId="21" xfId="40" applyNumberFormat="1" applyFont="1" applyFill="1" applyBorder="1" applyAlignment="1" applyProtection="1">
      <alignment horizontal="center"/>
      <protection/>
    </xf>
    <xf numFmtId="0" fontId="19" fillId="0" borderId="37" xfId="0" applyFont="1" applyFill="1" applyBorder="1" applyAlignment="1" applyProtection="1">
      <alignment vertical="top" wrapText="1"/>
      <protection/>
    </xf>
    <xf numFmtId="0" fontId="19" fillId="0" borderId="12" xfId="0" applyFont="1" applyFill="1" applyBorder="1" applyAlignment="1" applyProtection="1">
      <alignment horizontal="left" vertical="top" wrapText="1"/>
      <protection/>
    </xf>
    <xf numFmtId="3" fontId="14" fillId="0" borderId="15" xfId="0" applyNumberFormat="1" applyFont="1" applyFill="1" applyBorder="1" applyAlignment="1" applyProtection="1">
      <alignment horizontal="right"/>
      <protection/>
    </xf>
    <xf numFmtId="9" fontId="66" fillId="27" borderId="1" xfId="68" applyFont="1" applyFill="1" applyAlignment="1" applyProtection="1">
      <alignment horizontal="right"/>
      <protection/>
    </xf>
    <xf numFmtId="9" fontId="67" fillId="6" borderId="21" xfId="68" applyFont="1" applyFill="1" applyBorder="1" applyAlignment="1" applyProtection="1">
      <alignment/>
      <protection locked="0"/>
    </xf>
    <xf numFmtId="0" fontId="19" fillId="14" borderId="8" xfId="0" applyFont="1" applyFill="1" applyBorder="1" applyAlignment="1" applyProtection="1">
      <alignment horizontal="left"/>
      <protection/>
    </xf>
    <xf numFmtId="0" fontId="19" fillId="28" borderId="8" xfId="0" applyFont="1" applyFill="1" applyBorder="1" applyAlignment="1" applyProtection="1">
      <alignment horizontal="left"/>
      <protection/>
    </xf>
    <xf numFmtId="170" fontId="33" fillId="2" borderId="57" xfId="0" applyNumberFormat="1" applyFont="1" applyFill="1" applyBorder="1" applyAlignment="1">
      <alignment/>
    </xf>
    <xf numFmtId="177" fontId="14" fillId="2" borderId="43" xfId="68" applyNumberFormat="1" applyFont="1" applyFill="1" applyBorder="1" applyAlignment="1">
      <alignment horizontal="right" vertical="center"/>
    </xf>
    <xf numFmtId="177" fontId="17" fillId="18" borderId="71" xfId="68" applyNumberFormat="1" applyFont="1" applyFill="1" applyBorder="1" applyAlignment="1">
      <alignment/>
    </xf>
    <xf numFmtId="177" fontId="14" fillId="2" borderId="43" xfId="68" applyNumberFormat="1" applyFont="1" applyFill="1" applyBorder="1" applyAlignment="1">
      <alignment/>
    </xf>
    <xf numFmtId="177" fontId="14" fillId="2" borderId="45" xfId="68" applyNumberFormat="1" applyFont="1" applyFill="1" applyBorder="1" applyAlignment="1">
      <alignment horizontal="right" vertical="center"/>
    </xf>
    <xf numFmtId="177" fontId="14" fillId="18" borderId="63" xfId="68" applyNumberFormat="1" applyFont="1" applyFill="1" applyBorder="1" applyAlignment="1">
      <alignment/>
    </xf>
    <xf numFmtId="177" fontId="17" fillId="2" borderId="45" xfId="68" applyNumberFormat="1" applyFont="1" applyFill="1" applyBorder="1" applyAlignment="1">
      <alignment/>
    </xf>
    <xf numFmtId="177" fontId="17" fillId="18" borderId="70" xfId="68" applyNumberFormat="1" applyFont="1" applyFill="1" applyBorder="1" applyAlignment="1">
      <alignment/>
    </xf>
    <xf numFmtId="0" fontId="14" fillId="2" borderId="89" xfId="0" applyFont="1" applyFill="1" applyBorder="1" applyAlignment="1">
      <alignment vertical="top" wrapText="1"/>
    </xf>
    <xf numFmtId="4" fontId="14" fillId="16" borderId="28" xfId="40" applyNumberFormat="1" applyFont="1" applyBorder="1" applyAlignment="1" applyProtection="1">
      <alignment horizontal="right"/>
      <protection/>
    </xf>
    <xf numFmtId="4" fontId="14" fillId="23" borderId="21" xfId="66" applyNumberFormat="1" applyFont="1" applyFill="1" applyBorder="1" applyAlignment="1" applyProtection="1">
      <alignment horizontal="right"/>
      <protection locked="0"/>
    </xf>
    <xf numFmtId="4" fontId="14" fillId="23" borderId="21" xfId="0" applyNumberFormat="1" applyFont="1" applyFill="1" applyBorder="1" applyAlignment="1" applyProtection="1">
      <alignment horizontal="right"/>
      <protection locked="0"/>
    </xf>
    <xf numFmtId="4" fontId="14" fillId="6" borderId="21" xfId="66" applyNumberFormat="1" applyFont="1" applyFill="1" applyBorder="1" applyAlignment="1" applyProtection="1">
      <alignment horizontal="right"/>
      <protection/>
    </xf>
    <xf numFmtId="10" fontId="28" fillId="2" borderId="12" xfId="0" applyNumberFormat="1" applyFont="1" applyFill="1" applyBorder="1" applyAlignment="1" applyProtection="1">
      <alignment vertical="top" wrapText="1"/>
      <protection/>
    </xf>
    <xf numFmtId="0" fontId="17" fillId="2" borderId="21" xfId="0" applyFont="1" applyFill="1" applyBorder="1" applyAlignment="1" applyProtection="1">
      <alignment vertical="top" wrapText="1"/>
      <protection locked="0"/>
    </xf>
    <xf numFmtId="165" fontId="14" fillId="16" borderId="1" xfId="68" applyNumberFormat="1" applyFont="1" applyFill="1" applyAlignment="1" applyProtection="1">
      <alignment horizontal="right"/>
      <protection/>
    </xf>
    <xf numFmtId="0" fontId="27" fillId="0" borderId="0" xfId="66" applyNumberFormat="1" applyFont="1" applyFill="1" applyBorder="1" applyAlignment="1" applyProtection="1">
      <alignment/>
      <protection locked="0"/>
    </xf>
    <xf numFmtId="0" fontId="27" fillId="0" borderId="0" xfId="0" applyNumberFormat="1" applyFont="1" applyFill="1" applyBorder="1" applyAlignment="1" applyProtection="1">
      <alignment/>
      <protection locked="0"/>
    </xf>
    <xf numFmtId="0" fontId="37" fillId="0" borderId="31" xfId="0" applyFont="1" applyFill="1" applyBorder="1" applyAlignment="1" applyProtection="1">
      <alignment vertical="top" wrapText="1"/>
      <protection locked="0"/>
    </xf>
    <xf numFmtId="0" fontId="17" fillId="0" borderId="21" xfId="0" applyFont="1" applyFill="1" applyBorder="1" applyAlignment="1" applyProtection="1">
      <alignment vertical="top" wrapText="1"/>
      <protection locked="0"/>
    </xf>
    <xf numFmtId="165" fontId="14" fillId="6" borderId="21" xfId="0" applyNumberFormat="1" applyFont="1" applyFill="1" applyBorder="1" applyAlignment="1" applyProtection="1">
      <alignment horizontal="right" vertical="top" wrapText="1"/>
      <protection/>
    </xf>
    <xf numFmtId="165" fontId="14" fillId="16" borderId="21" xfId="40" applyNumberFormat="1" applyFont="1" applyBorder="1" applyAlignment="1" applyProtection="1">
      <alignment horizontal="right"/>
      <protection/>
    </xf>
    <xf numFmtId="165" fontId="14" fillId="0" borderId="21" xfId="40" applyNumberFormat="1" applyFont="1" applyFill="1" applyBorder="1" applyAlignment="1" applyProtection="1">
      <alignment horizontal="right"/>
      <protection/>
    </xf>
    <xf numFmtId="3" fontId="17" fillId="24" borderId="12" xfId="0" applyNumberFormat="1" applyFont="1" applyFill="1" applyBorder="1" applyAlignment="1" applyProtection="1">
      <alignment/>
      <protection locked="0"/>
    </xf>
    <xf numFmtId="3" fontId="17" fillId="24" borderId="19" xfId="40" applyNumberFormat="1" applyFont="1" applyFill="1" applyBorder="1" applyAlignment="1" applyProtection="1">
      <alignment/>
      <protection locked="0"/>
    </xf>
    <xf numFmtId="3" fontId="17" fillId="24" borderId="17" xfId="40" applyNumberFormat="1" applyFont="1" applyFill="1" applyBorder="1" applyAlignment="1" applyProtection="1">
      <alignment/>
      <protection locked="0"/>
    </xf>
    <xf numFmtId="0" fontId="24" fillId="0" borderId="0" xfId="0" applyFont="1" applyAlignment="1">
      <alignment horizontal="left" vertical="top" wrapText="1"/>
    </xf>
    <xf numFmtId="0" fontId="24" fillId="0" borderId="0" xfId="0" applyFont="1" applyBorder="1" applyAlignment="1" applyProtection="1">
      <alignment vertical="center" wrapText="1"/>
      <protection/>
    </xf>
    <xf numFmtId="3" fontId="45" fillId="2" borderId="0" xfId="0" applyNumberFormat="1" applyFont="1" applyFill="1" applyAlignment="1">
      <alignment horizontal="left" vertical="top" wrapText="1"/>
    </xf>
    <xf numFmtId="0" fontId="27" fillId="2" borderId="12" xfId="62" applyFont="1" applyFill="1" applyBorder="1" applyAlignment="1">
      <alignment horizontal="center" vertical="center" wrapText="1"/>
      <protection/>
    </xf>
    <xf numFmtId="3" fontId="25" fillId="2" borderId="0" xfId="0" applyNumberFormat="1" applyFont="1" applyFill="1" applyAlignment="1">
      <alignment horizontal="left" vertical="top" wrapText="1"/>
    </xf>
    <xf numFmtId="0" fontId="45" fillId="2" borderId="0" xfId="0" applyFont="1" applyFill="1" applyBorder="1" applyAlignment="1">
      <alignment wrapText="1"/>
    </xf>
    <xf numFmtId="0" fontId="0" fillId="0" borderId="0" xfId="0" applyAlignment="1">
      <alignment wrapText="1"/>
    </xf>
    <xf numFmtId="0" fontId="35" fillId="2" borderId="90"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91"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17" fillId="2" borderId="92"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9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0" borderId="90" xfId="0" applyFont="1" applyBorder="1" applyAlignment="1">
      <alignment horizontal="center" vertical="center" wrapText="1"/>
    </xf>
    <xf numFmtId="0" fontId="17" fillId="0" borderId="62" xfId="0" applyFont="1" applyBorder="1" applyAlignment="1">
      <alignment horizontal="center" vertical="center" wrapText="1"/>
    </xf>
    <xf numFmtId="0" fontId="35" fillId="0" borderId="96" xfId="0" applyFont="1" applyBorder="1" applyAlignment="1">
      <alignment horizontal="center" vertical="center" wrapText="1"/>
    </xf>
    <xf numFmtId="0" fontId="35" fillId="0" borderId="63" xfId="0" applyFont="1" applyBorder="1" applyAlignment="1">
      <alignment horizontal="center" vertical="center" wrapText="1"/>
    </xf>
    <xf numFmtId="0" fontId="25" fillId="0" borderId="0" xfId="0" applyFont="1" applyFill="1" applyBorder="1" applyAlignment="1">
      <alignment horizontal="left" vertical="center" wrapText="1"/>
    </xf>
    <xf numFmtId="0" fontId="18" fillId="23" borderId="21" xfId="0" applyFont="1" applyFill="1" applyBorder="1" applyAlignment="1">
      <alignment horizontal="center" vertical="center" wrapText="1"/>
    </xf>
    <xf numFmtId="0" fontId="48" fillId="23" borderId="21" xfId="0" applyFont="1" applyFill="1" applyBorder="1" applyAlignment="1">
      <alignment horizontal="center" wrapText="1"/>
    </xf>
    <xf numFmtId="0" fontId="35" fillId="2" borderId="21" xfId="0" applyFont="1" applyFill="1" applyBorder="1" applyAlignment="1">
      <alignment horizontal="center" vertical="center" wrapText="1"/>
    </xf>
    <xf numFmtId="0" fontId="17" fillId="2" borderId="97" xfId="0" applyFont="1" applyFill="1" applyBorder="1" applyAlignment="1">
      <alignment horizontal="center"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ading2" xfId="53"/>
    <cellStyle name="Heading3" xfId="54"/>
    <cellStyle name="Heading4" xfId="55"/>
    <cellStyle name="Heading5" xfId="56"/>
    <cellStyle name="Heading6" xfId="57"/>
    <cellStyle name="Hyperlink" xfId="58"/>
    <cellStyle name="Input" xfId="59"/>
    <cellStyle name="Linked Cell" xfId="60"/>
    <cellStyle name="Neutral" xfId="61"/>
    <cellStyle name="Normal 2" xfId="62"/>
    <cellStyle name="Normal 3" xfId="63"/>
    <cellStyle name="Normal 4" xfId="64"/>
    <cellStyle name="Normal_Austrumlatvija 3(invest)_25-12-04" xfId="65"/>
    <cellStyle name="Note" xfId="66"/>
    <cellStyle name="Output" xfId="67"/>
    <cellStyle name="Percent" xfId="68"/>
    <cellStyle name="Percent 2" xfId="69"/>
    <cellStyle name="Percent 4" xfId="70"/>
    <cellStyle name="TAB01" xfId="71"/>
    <cellStyle name="TAB01Centrs" xfId="72"/>
    <cellStyle name="TAB02" xfId="73"/>
    <cellStyle name="TAB03" xfId="74"/>
    <cellStyle name="TAB04" xfId="75"/>
    <cellStyle name="TAB041" xfId="76"/>
    <cellStyle name="TAB04Left" xfId="77"/>
    <cellStyle name="TAB04Plāns" xfId="78"/>
    <cellStyle name="TAB04Projekts" xfId="79"/>
    <cellStyle name="TAB04Vēsture" xfId="80"/>
    <cellStyle name="TAB05" xfId="81"/>
    <cellStyle name="TAB051" xfId="82"/>
    <cellStyle name="TAB05Vēsture" xfId="83"/>
    <cellStyle name="Table content" xfId="84"/>
    <cellStyle name="Tabulas" xfId="85"/>
    <cellStyle name="Tabulas virsraksts" xfId="86"/>
    <cellStyle name="Title" xfId="87"/>
    <cellStyle name="Total" xfId="88"/>
    <cellStyle name="Virsraksts" xfId="89"/>
    <cellStyle name="Warning Text" xfId="90"/>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Ūdensapgādes tarifs situācijā ar projektu, LVL/m3</a:t>
            </a:r>
          </a:p>
        </c:rich>
      </c:tx>
      <c:layout/>
      <c:spPr>
        <a:noFill/>
        <a:ln>
          <a:noFill/>
        </a:ln>
      </c:spPr>
    </c:title>
    <c:plotArea>
      <c:layout>
        <c:manualLayout>
          <c:xMode val="edge"/>
          <c:yMode val="edge"/>
          <c:x val="0"/>
          <c:y val="0.0815"/>
          <c:w val="0.9525"/>
          <c:h val="0.784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'Datu ievade'!$B$375:$AG$375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'Datu ievade'!$B$376:$AG$376</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21329744"/>
        <c:axId val="57749969"/>
      </c:lineChart>
      <c:catAx>
        <c:axId val="21329744"/>
        <c:scaling>
          <c:orientation val="minMax"/>
        </c:scaling>
        <c:axPos val="b"/>
        <c:delete val="0"/>
        <c:numFmt formatCode="General" sourceLinked="1"/>
        <c:majorTickMark val="out"/>
        <c:minorTickMark val="none"/>
        <c:tickLblPos val="nextTo"/>
        <c:crossAx val="57749969"/>
        <c:crosses val="autoZero"/>
        <c:auto val="1"/>
        <c:lblOffset val="100"/>
        <c:noMultiLvlLbl val="0"/>
      </c:catAx>
      <c:valAx>
        <c:axId val="57749969"/>
        <c:scaling>
          <c:orientation val="minMax"/>
        </c:scaling>
        <c:axPos val="l"/>
        <c:majorGridlines/>
        <c:delete val="0"/>
        <c:numFmt formatCode="General" sourceLinked="1"/>
        <c:majorTickMark val="out"/>
        <c:minorTickMark val="none"/>
        <c:tickLblPos val="nextTo"/>
        <c:crossAx val="213297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kanalizācijas tarifs situācijā ar projektu, LVL/m3</a:t>
            </a:r>
          </a:p>
        </c:rich>
      </c:tx>
      <c:layout>
        <c:manualLayout>
          <c:xMode val="factor"/>
          <c:yMode val="factor"/>
          <c:x val="0"/>
          <c:y val="0.0155"/>
        </c:manualLayout>
      </c:layout>
      <c:spPr>
        <a:noFill/>
        <a:ln>
          <a:noFill/>
        </a:ln>
      </c:spPr>
    </c:title>
    <c:plotArea>
      <c:layout>
        <c:manualLayout>
          <c:xMode val="edge"/>
          <c:yMode val="edge"/>
          <c:x val="0.01975"/>
          <c:y val="0.15525"/>
          <c:w val="0.9605"/>
          <c:h val="0.812"/>
        </c:manualLayout>
      </c:layout>
      <c:lineChart>
        <c:grouping val="standard"/>
        <c:varyColors val="0"/>
        <c:ser>
          <c:idx val="0"/>
          <c:order val="0"/>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'Datu ievade'!$B$375:$AG$375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'Datu ievade'!$B$383:$AG$383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49987674"/>
        <c:axId val="47235883"/>
      </c:lineChart>
      <c:catAx>
        <c:axId val="49987674"/>
        <c:scaling>
          <c:orientation val="minMax"/>
        </c:scaling>
        <c:axPos val="b"/>
        <c:delete val="0"/>
        <c:numFmt formatCode="General" sourceLinked="1"/>
        <c:majorTickMark val="out"/>
        <c:minorTickMark val="none"/>
        <c:tickLblPos val="nextTo"/>
        <c:crossAx val="47235883"/>
        <c:crosses val="autoZero"/>
        <c:auto val="1"/>
        <c:lblOffset val="100"/>
        <c:noMultiLvlLbl val="0"/>
      </c:catAx>
      <c:valAx>
        <c:axId val="47235883"/>
        <c:scaling>
          <c:orientation val="minMax"/>
        </c:scaling>
        <c:axPos val="l"/>
        <c:majorGridlines/>
        <c:delete val="0"/>
        <c:numFmt formatCode="General" sourceLinked="1"/>
        <c:majorTickMark val="out"/>
        <c:minorTickMark val="none"/>
        <c:tickLblPos val="nextTo"/>
        <c:crossAx val="4998767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362</xdr:row>
      <xdr:rowOff>38100</xdr:rowOff>
    </xdr:from>
    <xdr:to>
      <xdr:col>40</xdr:col>
      <xdr:colOff>66675</xdr:colOff>
      <xdr:row>382</xdr:row>
      <xdr:rowOff>304800</xdr:rowOff>
    </xdr:to>
    <xdr:graphicFrame>
      <xdr:nvGraphicFramePr>
        <xdr:cNvPr id="1" name="Chart 190"/>
        <xdr:cNvGraphicFramePr/>
      </xdr:nvGraphicFramePr>
      <xdr:xfrm>
        <a:off x="25831800" y="62474475"/>
        <a:ext cx="4705350" cy="3838575"/>
      </xdr:xfrm>
      <a:graphic>
        <a:graphicData uri="http://schemas.openxmlformats.org/drawingml/2006/chart">
          <c:chart xmlns:c="http://schemas.openxmlformats.org/drawingml/2006/chart" r:id="rId1"/>
        </a:graphicData>
      </a:graphic>
    </xdr:graphicFrame>
    <xdr:clientData/>
  </xdr:twoCellAnchor>
  <xdr:twoCellAnchor>
    <xdr:from>
      <xdr:col>33</xdr:col>
      <xdr:colOff>114300</xdr:colOff>
      <xdr:row>383</xdr:row>
      <xdr:rowOff>66675</xdr:rowOff>
    </xdr:from>
    <xdr:to>
      <xdr:col>40</xdr:col>
      <xdr:colOff>85725</xdr:colOff>
      <xdr:row>400</xdr:row>
      <xdr:rowOff>114300</xdr:rowOff>
    </xdr:to>
    <xdr:graphicFrame>
      <xdr:nvGraphicFramePr>
        <xdr:cNvPr id="2" name="Chart 191"/>
        <xdr:cNvGraphicFramePr/>
      </xdr:nvGraphicFramePr>
      <xdr:xfrm>
        <a:off x="25841325" y="66417825"/>
        <a:ext cx="4714875" cy="34480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epartamenti%20un%20nodalas\Projektu%20finansu%20un%20atbalsta%20departaments\Udenssaimniecibas%20projektu%20nodala\UBK\KF%20TEPi\Garkalne\Finansu%20modelis_2009-0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aidrojumi"/>
      <sheetName val="Datu tabula"/>
      <sheetName val="Pienemumi"/>
      <sheetName val="Aprekinu tabulas"/>
      <sheetName val="Aprekinu tabula Ekon"/>
      <sheetName val="Investicijas"/>
      <sheetName val="Pamatdarbiba"/>
      <sheetName val="Finansu avoti"/>
      <sheetName val="Ilgtspeja"/>
      <sheetName val="Finansu atdeve (C)"/>
      <sheetName val="Aiznemumi"/>
      <sheetName val="Finansu atdeve (K)"/>
      <sheetName val="Ekonomiska atdeve"/>
      <sheetName val="Kreditsaistibas"/>
      <sheetName val="Naudas plusma"/>
      <sheetName val="PZA"/>
      <sheetName val="Bilance"/>
      <sheetName val="Maksatspeja"/>
      <sheetName val="Jutiguma analize"/>
      <sheetName val="Finansejuma deficita likme"/>
      <sheetName val="Lidzfinansejums"/>
      <sheetName val="Finansu plans"/>
      <sheetName val="Komentari un papildinajumi"/>
    </sheetNames>
    <sheetDataSet>
      <sheetData sheetId="2">
        <row r="28">
          <cell r="B28">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EM435"/>
  <sheetViews>
    <sheetView showGridLines="0" tabSelected="1" zoomScale="115" zoomScaleNormal="115" zoomScaleSheetLayoutView="90" zoomScalePageLayoutView="0" workbookViewId="0" topLeftCell="A1">
      <selection activeCell="G25" sqref="G25"/>
    </sheetView>
  </sheetViews>
  <sheetFormatPr defaultColWidth="9.140625" defaultRowHeight="11.25" outlineLevelRow="1"/>
  <cols>
    <col min="1" max="1" width="47.57421875" style="1" customWidth="1"/>
    <col min="2" max="38" width="10.57421875" style="1" customWidth="1"/>
    <col min="39" max="16384" width="9.140625" style="1" customWidth="1"/>
  </cols>
  <sheetData>
    <row r="1" spans="1:5" ht="20.25">
      <c r="A1" s="2" t="s">
        <v>0</v>
      </c>
      <c r="D1" s="115"/>
      <c r="E1" s="157"/>
    </row>
    <row r="2" ht="15">
      <c r="A2" s="3" t="s">
        <v>1</v>
      </c>
    </row>
    <row r="3" ht="15">
      <c r="A3" s="3" t="s">
        <v>2</v>
      </c>
    </row>
    <row r="4" spans="1:36" s="8" customFormat="1" ht="12.75" customHeight="1">
      <c r="A4" s="4" t="s">
        <v>3</v>
      </c>
      <c r="B4" s="191" t="s">
        <v>537</v>
      </c>
      <c r="C4" s="192"/>
      <c r="D4" s="192"/>
      <c r="E4" s="193"/>
      <c r="F4" s="193"/>
      <c r="G4" s="195"/>
      <c r="H4" s="5"/>
      <c r="I4" s="6"/>
      <c r="J4" s="6"/>
      <c r="K4" s="6"/>
      <c r="L4" s="6"/>
      <c r="M4" s="6"/>
      <c r="N4" s="6"/>
      <c r="O4" s="6"/>
      <c r="P4" s="6"/>
      <c r="Q4" s="6"/>
      <c r="R4" s="6"/>
      <c r="S4" s="6"/>
      <c r="T4" s="6"/>
      <c r="U4" s="6"/>
      <c r="V4" s="6"/>
      <c r="W4" s="6"/>
      <c r="X4" s="6"/>
      <c r="Y4" s="6"/>
      <c r="Z4" s="6"/>
      <c r="AA4" s="6"/>
      <c r="AB4" s="6"/>
      <c r="AC4" s="6"/>
      <c r="AD4" s="6"/>
      <c r="AE4" s="6"/>
      <c r="AF4" s="6"/>
      <c r="AG4" s="6"/>
      <c r="AH4" s="6"/>
      <c r="AI4" s="6"/>
      <c r="AJ4" s="7"/>
    </row>
    <row r="5" spans="1:36" s="8" customFormat="1" ht="12.75" customHeight="1">
      <c r="A5" s="4"/>
      <c r="B5" s="4"/>
      <c r="C5" s="4"/>
      <c r="D5" s="9"/>
      <c r="E5" s="9"/>
      <c r="F5" s="9"/>
      <c r="G5" s="9"/>
      <c r="H5" s="9"/>
      <c r="I5" s="6"/>
      <c r="J5" s="6"/>
      <c r="K5" s="6"/>
      <c r="L5" s="6"/>
      <c r="M5" s="6"/>
      <c r="N5" s="6"/>
      <c r="O5" s="6"/>
      <c r="P5" s="6"/>
      <c r="Q5" s="6"/>
      <c r="R5" s="6"/>
      <c r="S5" s="6"/>
      <c r="T5" s="6"/>
      <c r="U5" s="6"/>
      <c r="V5" s="6"/>
      <c r="W5" s="6"/>
      <c r="X5" s="6"/>
      <c r="Y5" s="6"/>
      <c r="Z5" s="6"/>
      <c r="AA5" s="6"/>
      <c r="AB5" s="6"/>
      <c r="AC5" s="6"/>
      <c r="AD5" s="6"/>
      <c r="AE5" s="6"/>
      <c r="AF5" s="6"/>
      <c r="AG5" s="6"/>
      <c r="AH5" s="6"/>
      <c r="AI5" s="6"/>
      <c r="AJ5" s="7"/>
    </row>
    <row r="6" spans="1:36" s="8" customFormat="1" ht="12.75" customHeight="1">
      <c r="A6" s="4" t="s">
        <v>4</v>
      </c>
      <c r="B6" s="191" t="s">
        <v>376</v>
      </c>
      <c r="C6" s="192"/>
      <c r="D6" s="192"/>
      <c r="E6" s="192"/>
      <c r="F6" s="192"/>
      <c r="G6" s="193"/>
      <c r="H6" s="193"/>
      <c r="I6" s="193"/>
      <c r="J6" s="193"/>
      <c r="K6" s="193"/>
      <c r="L6" s="193"/>
      <c r="M6" s="193"/>
      <c r="N6" s="194"/>
      <c r="O6" s="6"/>
      <c r="P6" s="6"/>
      <c r="Q6" s="6"/>
      <c r="R6" s="6"/>
      <c r="S6" s="6"/>
      <c r="T6" s="6"/>
      <c r="U6" s="6"/>
      <c r="V6" s="6"/>
      <c r="W6" s="6"/>
      <c r="X6" s="6"/>
      <c r="Y6" s="6"/>
      <c r="Z6" s="6"/>
      <c r="AA6" s="6"/>
      <c r="AB6" s="6"/>
      <c r="AC6" s="6"/>
      <c r="AD6" s="6"/>
      <c r="AE6" s="6"/>
      <c r="AF6" s="6"/>
      <c r="AG6" s="6"/>
      <c r="AH6" s="6"/>
      <c r="AI6" s="6"/>
      <c r="AJ6" s="7"/>
    </row>
    <row r="7" spans="1:36" s="8" customFormat="1" ht="12.75" customHeight="1">
      <c r="A7" s="4"/>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row>
    <row r="8" spans="1:35" s="8" customFormat="1" ht="12.75">
      <c r="A8" s="10" t="s">
        <v>5</v>
      </c>
      <c r="B8" s="1009" t="s">
        <v>6</v>
      </c>
      <c r="C8" s="1009"/>
      <c r="D8" s="1009"/>
      <c r="E8"/>
      <c r="F8"/>
      <c r="G8"/>
      <c r="H8"/>
      <c r="I8"/>
      <c r="J8"/>
      <c r="K8"/>
      <c r="L8"/>
      <c r="M8"/>
      <c r="N8"/>
      <c r="O8"/>
      <c r="P8"/>
      <c r="Q8"/>
      <c r="R8"/>
      <c r="S8"/>
      <c r="T8"/>
      <c r="U8"/>
      <c r="V8"/>
      <c r="W8"/>
      <c r="X8"/>
      <c r="Y8"/>
      <c r="Z8"/>
      <c r="AA8"/>
      <c r="AB8"/>
      <c r="AC8"/>
      <c r="AD8"/>
      <c r="AE8"/>
      <c r="AF8"/>
      <c r="AG8"/>
      <c r="AH8"/>
      <c r="AI8"/>
    </row>
    <row r="9" spans="2:31" s="8" customFormat="1" ht="51" outlineLevel="1">
      <c r="B9" s="11" t="s">
        <v>6</v>
      </c>
      <c r="V9" s="7"/>
      <c r="W9" s="7"/>
      <c r="X9" s="7"/>
      <c r="Y9" s="7"/>
      <c r="Z9" s="7"/>
      <c r="AA9" s="7"/>
      <c r="AB9" s="7"/>
      <c r="AC9" s="7"/>
      <c r="AD9" s="7"/>
      <c r="AE9" s="7"/>
    </row>
    <row r="10" s="8" customFormat="1" ht="25.5" outlineLevel="1">
      <c r="B10" s="11" t="s">
        <v>7</v>
      </c>
    </row>
    <row r="11" s="8" customFormat="1" ht="12.75"/>
    <row r="12" s="8" customFormat="1" ht="12.75" hidden="1"/>
    <row r="13" s="8" customFormat="1" ht="12.75" hidden="1"/>
    <row r="14" s="8" customFormat="1" ht="12.75" hidden="1"/>
    <row r="15" s="8" customFormat="1" ht="12.75" hidden="1"/>
    <row r="16" s="8" customFormat="1" ht="12.75" hidden="1"/>
    <row r="17" s="8" customFormat="1" ht="12.75" hidden="1"/>
    <row r="18" s="8" customFormat="1" ht="12.75" hidden="1"/>
    <row r="19" spans="1:4" s="8" customFormat="1" ht="18.75">
      <c r="A19" s="12" t="s">
        <v>8</v>
      </c>
      <c r="B19" s="13"/>
      <c r="C19" s="13"/>
      <c r="D19" s="14"/>
    </row>
    <row r="20" spans="1:31" s="8" customFormat="1"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21" s="8" customFormat="1" ht="28.5">
      <c r="A21" s="15" t="s">
        <v>9</v>
      </c>
      <c r="B21" s="16"/>
      <c r="C21" s="7"/>
      <c r="D21" s="7"/>
      <c r="E21" s="7"/>
      <c r="F21" s="7"/>
      <c r="G21" s="7"/>
      <c r="H21" s="7"/>
      <c r="I21" s="7"/>
      <c r="J21" s="7"/>
      <c r="K21" s="7"/>
      <c r="L21" s="7"/>
      <c r="M21" s="7"/>
      <c r="N21" s="7"/>
      <c r="O21" s="7"/>
      <c r="P21" s="7"/>
      <c r="Q21" s="7"/>
      <c r="R21" s="7"/>
      <c r="S21" s="7"/>
      <c r="T21" s="7"/>
      <c r="U21" s="7"/>
    </row>
    <row r="22" spans="1:21" s="8" customFormat="1" ht="12.75">
      <c r="A22" s="17" t="s">
        <v>10</v>
      </c>
      <c r="B22" s="175"/>
      <c r="C22" s="7"/>
      <c r="D22" s="7"/>
      <c r="E22" s="7"/>
      <c r="F22" s="7"/>
      <c r="G22" s="7"/>
      <c r="H22" s="7"/>
      <c r="I22" s="7"/>
      <c r="J22" s="7"/>
      <c r="K22" s="7"/>
      <c r="L22" s="7"/>
      <c r="M22" s="7"/>
      <c r="N22" s="7"/>
      <c r="O22" s="7"/>
      <c r="P22" s="7"/>
      <c r="Q22" s="7"/>
      <c r="R22" s="7"/>
      <c r="S22" s="7"/>
      <c r="T22" s="7"/>
      <c r="U22" s="7"/>
    </row>
    <row r="23" spans="1:2" s="8" customFormat="1" ht="12.75">
      <c r="A23" s="25" t="s">
        <v>11</v>
      </c>
      <c r="B23" s="153">
        <v>50</v>
      </c>
    </row>
    <row r="24" spans="1:2" s="8" customFormat="1" ht="12.75">
      <c r="A24" s="25" t="s">
        <v>12</v>
      </c>
      <c r="B24" s="153">
        <v>50</v>
      </c>
    </row>
    <row r="25" spans="1:2" s="8" customFormat="1" ht="12.75">
      <c r="A25" s="25" t="s">
        <v>13</v>
      </c>
      <c r="B25" s="153">
        <v>50</v>
      </c>
    </row>
    <row r="26" spans="1:2" s="8" customFormat="1" ht="12.75">
      <c r="A26" s="25" t="s">
        <v>14</v>
      </c>
      <c r="B26" s="153">
        <v>15</v>
      </c>
    </row>
    <row r="27" spans="1:2" s="8" customFormat="1" ht="12.75">
      <c r="A27" s="20" t="s">
        <v>15</v>
      </c>
      <c r="B27" s="153">
        <v>10</v>
      </c>
    </row>
    <row r="28" spans="1:2" s="8" customFormat="1" ht="12.75">
      <c r="A28" s="20" t="s">
        <v>16</v>
      </c>
      <c r="B28" s="196">
        <v>2012</v>
      </c>
    </row>
    <row r="29" spans="1:3" s="8" customFormat="1" ht="12.75">
      <c r="A29" s="20" t="s">
        <v>556</v>
      </c>
      <c r="B29" s="196">
        <v>2011</v>
      </c>
      <c r="C29" s="19"/>
    </row>
    <row r="30" spans="1:3" s="8" customFormat="1" ht="12.75">
      <c r="A30" s="20" t="s">
        <v>17</v>
      </c>
      <c r="B30" s="196">
        <v>2013</v>
      </c>
      <c r="C30" s="19"/>
    </row>
    <row r="31" spans="1:2" s="8" customFormat="1" ht="12.75">
      <c r="A31" s="975" t="s">
        <v>18</v>
      </c>
      <c r="B31" s="977">
        <v>30</v>
      </c>
    </row>
    <row r="32" spans="1:2" s="8" customFormat="1" ht="13.5" customHeight="1">
      <c r="A32" s="976" t="s">
        <v>19</v>
      </c>
      <c r="B32" s="978">
        <f>B30+B31-1</f>
        <v>2042</v>
      </c>
    </row>
    <row r="33" spans="1:2" s="8" customFormat="1" ht="13.5" customHeight="1">
      <c r="A33" s="975" t="s">
        <v>20</v>
      </c>
      <c r="B33" s="978">
        <f>B23-B31</f>
        <v>20</v>
      </c>
    </row>
    <row r="34" s="8" customFormat="1" ht="13.5" customHeight="1"/>
    <row r="35" spans="1:21" s="8" customFormat="1" ht="14.25">
      <c r="A35" s="21" t="s">
        <v>21</v>
      </c>
      <c r="B35" s="152"/>
      <c r="C35" s="7"/>
      <c r="D35" s="7"/>
      <c r="E35" s="7"/>
      <c r="F35" s="7"/>
      <c r="G35" s="7"/>
      <c r="H35" s="7"/>
      <c r="I35" s="7"/>
      <c r="J35" s="7"/>
      <c r="K35" s="7"/>
      <c r="L35" s="7"/>
      <c r="M35" s="7"/>
      <c r="N35" s="7"/>
      <c r="O35" s="7"/>
      <c r="P35" s="7"/>
      <c r="Q35" s="7"/>
      <c r="R35" s="7"/>
      <c r="S35" s="7"/>
      <c r="T35" s="7"/>
      <c r="U35" s="7"/>
    </row>
    <row r="36" spans="1:6" s="8" customFormat="1" ht="12.75">
      <c r="A36" s="25" t="s">
        <v>22</v>
      </c>
      <c r="B36" s="196">
        <v>2.5</v>
      </c>
      <c r="C36" s="22" t="s">
        <v>23</v>
      </c>
      <c r="F36" s="23"/>
    </row>
    <row r="37" spans="1:8" s="8" customFormat="1" ht="25.5">
      <c r="A37" s="25" t="s">
        <v>24</v>
      </c>
      <c r="B37" s="197">
        <v>95</v>
      </c>
      <c r="C37" s="22" t="s">
        <v>23</v>
      </c>
      <c r="F37" s="23"/>
      <c r="G37" s="24"/>
      <c r="H37" s="24"/>
    </row>
    <row r="38" spans="1:5" s="8" customFormat="1" ht="12.75">
      <c r="A38" s="25" t="s">
        <v>25</v>
      </c>
      <c r="B38" s="218">
        <v>2010</v>
      </c>
      <c r="C38" s="196">
        <f>B38+1</f>
        <v>2011</v>
      </c>
      <c r="D38"/>
      <c r="E38"/>
    </row>
    <row r="39" spans="1:5" s="8" customFormat="1" ht="12.75">
      <c r="A39" s="25" t="s">
        <v>555</v>
      </c>
      <c r="B39" s="199">
        <v>1</v>
      </c>
      <c r="C39" s="201">
        <v>0.98</v>
      </c>
      <c r="D39" s="22" t="s">
        <v>557</v>
      </c>
      <c r="E39"/>
    </row>
    <row r="40" spans="1:5" s="8" customFormat="1" ht="12.75">
      <c r="A40" s="25" t="s">
        <v>26</v>
      </c>
      <c r="B40" s="200">
        <f>ROUND(B37*B36,2)</f>
        <v>237.5</v>
      </c>
      <c r="C40" s="202">
        <f>B40*C39</f>
        <v>232.75</v>
      </c>
      <c r="D40"/>
      <c r="E40"/>
    </row>
    <row r="41" spans="1:2" s="8" customFormat="1" ht="25.5">
      <c r="A41" s="18" t="s">
        <v>27</v>
      </c>
      <c r="B41" s="198">
        <v>0.04</v>
      </c>
    </row>
    <row r="42" spans="1:35" s="8" customFormat="1" ht="27">
      <c r="A42" s="30" t="str">
        <f>"Investīcijas ūdensapgādes pakalpojumiem bāzes gada ("&amp;'Datu ievade'!$B$29&amp;") cenās, bez PVN"</f>
        <v>Investīcijas ūdensapgādes pakalpojumiem bāzes gada (2011) cenās, bez PVN</v>
      </c>
      <c r="B42" s="173">
        <f>B29</f>
        <v>2011</v>
      </c>
      <c r="C42" s="173">
        <f>B42+1</f>
        <v>2012</v>
      </c>
      <c r="D42" s="173">
        <f>C42+1</f>
        <v>2013</v>
      </c>
      <c r="E42" s="173">
        <f>D42+1</f>
        <v>2014</v>
      </c>
      <c r="F42" s="173">
        <f>E42+1</f>
        <v>2015</v>
      </c>
      <c r="G42"/>
      <c r="H42"/>
      <c r="I42" s="31"/>
      <c r="J42" s="31"/>
      <c r="K42" s="31"/>
      <c r="L42" s="31"/>
      <c r="O42" s="32"/>
      <c r="P42" s="33"/>
      <c r="Q42" s="33"/>
      <c r="R42" s="33"/>
      <c r="S42" s="33"/>
      <c r="T42" s="33"/>
      <c r="U42" s="33"/>
      <c r="V42" s="33"/>
      <c r="W42" s="33"/>
      <c r="X42" s="33"/>
      <c r="Y42" s="33"/>
      <c r="Z42" s="33"/>
      <c r="AA42" s="33"/>
      <c r="AB42" s="33"/>
      <c r="AC42" s="33"/>
      <c r="AD42" s="33"/>
      <c r="AE42" s="33"/>
      <c r="AF42" s="33"/>
      <c r="AG42" s="33"/>
      <c r="AH42" s="33"/>
      <c r="AI42" s="33"/>
    </row>
    <row r="43" spans="1:35" s="8" customFormat="1" ht="12.75">
      <c r="A43" s="85" t="s">
        <v>13</v>
      </c>
      <c r="B43" s="996"/>
      <c r="C43" s="996">
        <v>47000</v>
      </c>
      <c r="D43" s="997">
        <v>255000</v>
      </c>
      <c r="E43" s="997"/>
      <c r="F43" s="997"/>
      <c r="G4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row>
    <row r="44" spans="1:35" s="8" customFormat="1" ht="12.75">
      <c r="A44" s="85" t="s">
        <v>14</v>
      </c>
      <c r="B44" s="996"/>
      <c r="C44" s="996">
        <v>15000</v>
      </c>
      <c r="D44" s="997">
        <v>45250</v>
      </c>
      <c r="E44" s="997"/>
      <c r="F44" s="997"/>
      <c r="G4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row>
    <row r="45" spans="1:35" s="8" customFormat="1" ht="12.75">
      <c r="A45" s="85" t="s">
        <v>48</v>
      </c>
      <c r="B45" s="996"/>
      <c r="C45" s="996">
        <v>1200</v>
      </c>
      <c r="D45" s="996">
        <v>2500</v>
      </c>
      <c r="E45" s="997"/>
      <c r="F45" s="997"/>
      <c r="G45"/>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row>
    <row r="46" spans="1:35" s="8" customFormat="1" ht="12.75">
      <c r="A46" s="85" t="s">
        <v>49</v>
      </c>
      <c r="B46" s="996"/>
      <c r="C46" s="996">
        <v>1200</v>
      </c>
      <c r="D46" s="996">
        <v>2500</v>
      </c>
      <c r="E46" s="997"/>
      <c r="F46" s="997"/>
      <c r="G46"/>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row>
    <row r="47" spans="1:35" s="8" customFormat="1" ht="12.75">
      <c r="A47" s="127" t="s">
        <v>448</v>
      </c>
      <c r="B47" s="996"/>
      <c r="C47" s="996">
        <v>4000</v>
      </c>
      <c r="D47" s="996"/>
      <c r="E47" s="997"/>
      <c r="F47" s="997"/>
      <c r="G47"/>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row>
    <row r="48" spans="1:35" s="8" customFormat="1" ht="12.75">
      <c r="A48" s="171" t="s">
        <v>50</v>
      </c>
      <c r="B48" s="998">
        <f>SUM(B43:B47)*C433</f>
        <v>0</v>
      </c>
      <c r="C48" s="998">
        <f>SUM(C43:C47)*D433</f>
        <v>15048</v>
      </c>
      <c r="D48" s="998">
        <f>SUM(D43:D47)*E433</f>
        <v>67155</v>
      </c>
      <c r="E48" s="998">
        <f>SUM(E43:E47)*F433</f>
        <v>0</v>
      </c>
      <c r="F48" s="998">
        <f>SUM(F43:F47)*G433</f>
        <v>0</v>
      </c>
      <c r="G48"/>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1:35" s="8" customFormat="1" ht="27">
      <c r="A49" s="172" t="str">
        <f>"Investīcijas kanalizācijas pakalpojumiem bāzes gada ("&amp;'Datu ievade'!$B$29&amp;") cenās, bez PVN"</f>
        <v>Investīcijas kanalizācijas pakalpojumiem bāzes gada (2011) cenās, bez PVN</v>
      </c>
      <c r="B49" s="174">
        <f>B29</f>
        <v>2011</v>
      </c>
      <c r="C49" s="174">
        <f>B49+1</f>
        <v>2012</v>
      </c>
      <c r="D49" s="174">
        <f>C49+1</f>
        <v>2013</v>
      </c>
      <c r="E49" s="174">
        <f>D49+1</f>
        <v>2014</v>
      </c>
      <c r="F49" s="174">
        <f>E49+1</f>
        <v>2015</v>
      </c>
      <c r="G49"/>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s="8" customFormat="1" ht="12.75">
      <c r="A50" s="85" t="s">
        <v>13</v>
      </c>
      <c r="B50" s="996"/>
      <c r="C50" s="996">
        <v>39000</v>
      </c>
      <c r="D50" s="996">
        <v>209000</v>
      </c>
      <c r="E50" s="996"/>
      <c r="F50" s="996"/>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row>
    <row r="51" spans="1:35" s="8" customFormat="1" ht="12.75">
      <c r="A51" s="85" t="s">
        <v>14</v>
      </c>
      <c r="B51" s="996"/>
      <c r="C51" s="996">
        <v>17000</v>
      </c>
      <c r="D51" s="997">
        <v>44000</v>
      </c>
      <c r="E51" s="997"/>
      <c r="F51" s="997"/>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1:35" s="8" customFormat="1" ht="12.75">
      <c r="A52" s="85" t="s">
        <v>48</v>
      </c>
      <c r="B52" s="996"/>
      <c r="C52" s="996">
        <v>800</v>
      </c>
      <c r="D52" s="997">
        <v>1900</v>
      </c>
      <c r="E52" s="997"/>
      <c r="F52" s="997"/>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5" s="8" customFormat="1" ht="12.75">
      <c r="A53" s="85" t="s">
        <v>49</v>
      </c>
      <c r="B53" s="996"/>
      <c r="C53" s="996">
        <v>800</v>
      </c>
      <c r="D53" s="997">
        <v>1900</v>
      </c>
      <c r="E53" s="997"/>
      <c r="F53" s="997"/>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1:35" s="8" customFormat="1" ht="12.75">
      <c r="A54" s="127" t="s">
        <v>448</v>
      </c>
      <c r="B54" s="996"/>
      <c r="C54" s="996">
        <v>5000</v>
      </c>
      <c r="D54" s="997"/>
      <c r="E54" s="997"/>
      <c r="F54" s="997"/>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1:35" s="8" customFormat="1" ht="12.75">
      <c r="A55" s="86" t="s">
        <v>50</v>
      </c>
      <c r="B55" s="998">
        <f>SUM(B50:B54)*C433</f>
        <v>0</v>
      </c>
      <c r="C55" s="998">
        <f>SUM(C50:C54)*D433</f>
        <v>13772</v>
      </c>
      <c r="D55" s="998">
        <f>SUM(D50:D54)*E433</f>
        <v>56496</v>
      </c>
      <c r="E55" s="998">
        <f>SUM(E50:E54)*F433</f>
        <v>0</v>
      </c>
      <c r="F55" s="998">
        <f>SUM(F50:F54)*G433</f>
        <v>0</v>
      </c>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row>
    <row r="56" spans="1:35" s="8" customFormat="1" ht="12.75">
      <c r="A56" s="135"/>
      <c r="B56" s="136"/>
      <c r="C56" s="134"/>
      <c r="D56" s="134"/>
      <c r="E56" s="134"/>
      <c r="F56" s="134"/>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s="8" customFormat="1" ht="27">
      <c r="A57" s="267" t="s">
        <v>345</v>
      </c>
      <c r="B57" s="224">
        <f>B49</f>
        <v>2011</v>
      </c>
      <c r="C57" s="224">
        <f>B57+1</f>
        <v>2012</v>
      </c>
      <c r="D57" s="224">
        <f>C57+1</f>
        <v>2013</v>
      </c>
      <c r="E57" s="224">
        <f>D57+1</f>
        <v>2014</v>
      </c>
      <c r="F57" s="224">
        <f>E57+1</f>
        <v>2015</v>
      </c>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row>
    <row r="58" spans="1:35" s="8" customFormat="1" ht="12.75">
      <c r="A58" s="222" t="str">
        <f>A43</f>
        <v>Ēkas un būves</v>
      </c>
      <c r="B58" s="995">
        <f>ROUND((B43*HLOOKUP(B$57,'Datu ievade'!$B$421:$Z$428,8)),0)</f>
        <v>0</v>
      </c>
      <c r="C58" s="995">
        <f>ROUND((C43*HLOOKUP(C$57,'Datu ievade'!$B$421:$Z$428,8)),0)</f>
        <v>47940</v>
      </c>
      <c r="D58" s="995">
        <f>ROUND((D43*HLOOKUP(D$57,'Datu ievade'!$B$421:$Z$428,8)),0)</f>
        <v>265200</v>
      </c>
      <c r="E58" s="995">
        <f>ROUND((E43*HLOOKUP(E$57,'Datu ievade'!$B$421:$Z$428,8)),0)</f>
        <v>0</v>
      </c>
      <c r="F58" s="995">
        <f>ROUND((F43*HLOOKUP(F$57,'Datu ievade'!$B$421:$Z$428,8)),0)</f>
        <v>0</v>
      </c>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1:35" s="8" customFormat="1" ht="12.75">
      <c r="A59" s="127" t="str">
        <f>A44</f>
        <v>Iekārtas un mašīnas</v>
      </c>
      <c r="B59" s="995">
        <f>ROUND((B44*HLOOKUP(B$57,'Datu ievade'!$B$421:$Z$428,8)),0)</f>
        <v>0</v>
      </c>
      <c r="C59" s="995">
        <f>ROUND((C44*HLOOKUP(C$57,'Datu ievade'!$B$421:$Z$428,8)),0)</f>
        <v>15300</v>
      </c>
      <c r="D59" s="995">
        <f>ROUND((D44*HLOOKUP(D$57,'Datu ievade'!$B$421:$Z$428,8)),0)</f>
        <v>47060</v>
      </c>
      <c r="E59" s="995">
        <f>ROUND((E44*HLOOKUP(E$57,'Datu ievade'!$B$421:$Z$428,8)),0)</f>
        <v>0</v>
      </c>
      <c r="F59" s="995">
        <f>ROUND((F44*HLOOKUP(F$57,'Datu ievade'!$B$421:$Z$428,8)),0)</f>
        <v>0</v>
      </c>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row>
    <row r="60" spans="1:35" s="8" customFormat="1" ht="12.75">
      <c r="A60" s="127" t="str">
        <f>A45</f>
        <v>Būvuzraudzība</v>
      </c>
      <c r="B60" s="995">
        <f>ROUND((B45*HLOOKUP(B$57,'Datu ievade'!$B$421:$Z$428,8)),0)</f>
        <v>0</v>
      </c>
      <c r="C60" s="995">
        <f>ROUND((C45*HLOOKUP(C$57,'Datu ievade'!$B$421:$Z$428,8)),0)</f>
        <v>1224</v>
      </c>
      <c r="D60" s="995">
        <f>ROUND((D45*HLOOKUP(D$57,'Datu ievade'!$B$421:$Z$428,8)),0)</f>
        <v>2600</v>
      </c>
      <c r="E60" s="995">
        <f>ROUND((E45*HLOOKUP(E$57,'Datu ievade'!$B$421:$Z$428,8)),0)</f>
        <v>0</v>
      </c>
      <c r="F60" s="995">
        <f>ROUND((F45*HLOOKUP(F$57,'Datu ievade'!$B$421:$Z$428,8)),0)</f>
        <v>0</v>
      </c>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row r="61" spans="1:35" s="8" customFormat="1" ht="12.75">
      <c r="A61" s="127" t="str">
        <f>A46</f>
        <v>Autoruzraudzība</v>
      </c>
      <c r="B61" s="995">
        <f>ROUND((B46*HLOOKUP(B$57,'Datu ievade'!$B$421:$Z$428,8)),0)</f>
        <v>0</v>
      </c>
      <c r="C61" s="995">
        <f>ROUND((C46*HLOOKUP(C$57,'Datu ievade'!$B$421:$Z$428,8)),0)</f>
        <v>1224</v>
      </c>
      <c r="D61" s="995">
        <f>ROUND((D46*HLOOKUP(D$57,'Datu ievade'!$B$421:$Z$428,8)),0)</f>
        <v>2600</v>
      </c>
      <c r="E61" s="995">
        <f>ROUND((E46*HLOOKUP(E$57,'Datu ievade'!$B$421:$Z$428,8)),0)</f>
        <v>0</v>
      </c>
      <c r="F61" s="995">
        <f>ROUND((F46*HLOOKUP(F$57,'Datu ievade'!$B$421:$Z$428,8)),0)</f>
        <v>0</v>
      </c>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row>
    <row r="62" spans="1:35" s="8" customFormat="1" ht="12.75">
      <c r="A62" s="127" t="s">
        <v>448</v>
      </c>
      <c r="B62" s="995">
        <f>ROUND((B47*HLOOKUP(B$57,'Datu ievade'!$B$421:$Z$428,8)),0)</f>
        <v>0</v>
      </c>
      <c r="C62" s="995">
        <f>ROUND((C47*HLOOKUP(C$57,'Datu ievade'!$B$421:$Z$428,8)),0)</f>
        <v>4080</v>
      </c>
      <c r="D62" s="995">
        <f>ROUND((D47*HLOOKUP(D$57,'Datu ievade'!$B$421:$Z$428,8)),0)</f>
        <v>0</v>
      </c>
      <c r="E62" s="995">
        <f>ROUND((E47*HLOOKUP(E$57,'Datu ievade'!$B$421:$Z$428,8)),0)</f>
        <v>0</v>
      </c>
      <c r="F62" s="995">
        <f>ROUND((F47*HLOOKUP(F$57,'Datu ievade'!$B$421:$Z$428,8)),0)</f>
        <v>0</v>
      </c>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row>
    <row r="63" spans="1:35" s="8" customFormat="1" ht="12.75">
      <c r="A63" s="127" t="str">
        <f>A48</f>
        <v>PVN</v>
      </c>
      <c r="B63" s="62">
        <f>SUM(B58:B62)*B433</f>
        <v>0</v>
      </c>
      <c r="C63" s="62">
        <f>SUM(C58:C62)*C433</f>
        <v>15348.960000000001</v>
      </c>
      <c r="D63" s="62">
        <f>SUM(D58:D62)*D433</f>
        <v>69841.2</v>
      </c>
      <c r="E63" s="62">
        <f>SUM(E58:E62)*E433</f>
        <v>0</v>
      </c>
      <c r="F63" s="62">
        <f>SUM(F58:F62)*F433</f>
        <v>0</v>
      </c>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row>
    <row r="64" spans="1:35" s="8" customFormat="1" ht="27">
      <c r="A64" s="268" t="s">
        <v>346</v>
      </c>
      <c r="B64" s="220">
        <f>B57</f>
        <v>2011</v>
      </c>
      <c r="C64" s="221">
        <f>B64+1</f>
        <v>2012</v>
      </c>
      <c r="D64" s="221">
        <f>C64+1</f>
        <v>2013</v>
      </c>
      <c r="E64" s="221">
        <f>D64+1</f>
        <v>2014</v>
      </c>
      <c r="F64" s="221">
        <f>E64+1</f>
        <v>2015</v>
      </c>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row>
    <row r="65" spans="1:35" s="8" customFormat="1" ht="12.75">
      <c r="A65" s="120" t="str">
        <f>A50</f>
        <v>Ēkas un būves</v>
      </c>
      <c r="B65" s="62">
        <f>ROUND((B50*HLOOKUP(B$57,'Datu ievade'!$B$421:$Z$428,8)),0)</f>
        <v>0</v>
      </c>
      <c r="C65" s="62">
        <f>ROUND((C50*HLOOKUP(C$57,'Datu ievade'!$B$421:$Z$428,8)),0)</f>
        <v>39780</v>
      </c>
      <c r="D65" s="62">
        <f>ROUND((D50*HLOOKUP(D$57,'Datu ievade'!$B$421:$Z$428,8)),0)</f>
        <v>217360</v>
      </c>
      <c r="E65" s="62">
        <f>ROUND((E50*HLOOKUP(E$57,'Datu ievade'!$B$421:$Z$428,8)),0)</f>
        <v>0</v>
      </c>
      <c r="F65" s="62">
        <f>ROUND((F50*HLOOKUP(F$57,'Datu ievade'!$B$421:$Z$428,8)),0)</f>
        <v>0</v>
      </c>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row>
    <row r="66" spans="1:35" s="8" customFormat="1" ht="12.75">
      <c r="A66" s="120" t="str">
        <f>A51</f>
        <v>Iekārtas un mašīnas</v>
      </c>
      <c r="B66" s="62">
        <f>ROUND((B51*HLOOKUP(B$57,'Datu ievade'!$B$421:$Z$428,8)),0)</f>
        <v>0</v>
      </c>
      <c r="C66" s="62">
        <f>ROUND((C51*HLOOKUP(C$57,'Datu ievade'!$B$421:$Z$428,8)),0)</f>
        <v>17340</v>
      </c>
      <c r="D66" s="62">
        <f>ROUND((D51*HLOOKUP(D$57,'Datu ievade'!$B$421:$Z$428,8)),0)</f>
        <v>45760</v>
      </c>
      <c r="E66" s="62">
        <f>ROUND((E51*HLOOKUP(E$57,'Datu ievade'!$B$421:$Z$428,8)),0)</f>
        <v>0</v>
      </c>
      <c r="F66" s="62">
        <f>ROUND((F51*HLOOKUP(F$57,'Datu ievade'!$B$421:$Z$428,8)),0)</f>
        <v>0</v>
      </c>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row>
    <row r="67" spans="1:35" s="8" customFormat="1" ht="12.75">
      <c r="A67" s="120" t="str">
        <f>A52</f>
        <v>Būvuzraudzība</v>
      </c>
      <c r="B67" s="62">
        <f>ROUND((B52*HLOOKUP(B$57,'Datu ievade'!$B$421:$Z$428,8)),0)</f>
        <v>0</v>
      </c>
      <c r="C67" s="62">
        <f>ROUND((C52*HLOOKUP(C$57,'Datu ievade'!$B$421:$Z$428,8)),0)</f>
        <v>816</v>
      </c>
      <c r="D67" s="62">
        <f>ROUND((D52*HLOOKUP(D$57,'Datu ievade'!$B$421:$Z$428,8)),0)</f>
        <v>1976</v>
      </c>
      <c r="E67" s="62">
        <f>ROUND((E52*HLOOKUP(E$57,'Datu ievade'!$B$421:$Z$428,8)),0)</f>
        <v>0</v>
      </c>
      <c r="F67" s="62">
        <f>ROUND((F52*HLOOKUP(F$57,'Datu ievade'!$B$421:$Z$428,8)),0)</f>
        <v>0</v>
      </c>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row>
    <row r="68" spans="1:6" ht="12.75">
      <c r="A68" s="120" t="str">
        <f>A53</f>
        <v>Autoruzraudzība</v>
      </c>
      <c r="B68" s="62">
        <f>ROUND((B53*HLOOKUP(B$57,'Datu ievade'!$B$421:$Z$428,8)),0)</f>
        <v>0</v>
      </c>
      <c r="C68" s="62">
        <f>ROUND((C53*HLOOKUP(C$57,'Datu ievade'!$B$421:$Z$428,8)),0)</f>
        <v>816</v>
      </c>
      <c r="D68" s="62">
        <f>ROUND((D53*HLOOKUP(D$57,'Datu ievade'!$B$421:$Z$428,8)),0)</f>
        <v>1976</v>
      </c>
      <c r="E68" s="62">
        <f>ROUND((E53*HLOOKUP(E$57,'Datu ievade'!$B$421:$Z$428,8)),0)</f>
        <v>0</v>
      </c>
      <c r="F68" s="62">
        <f>ROUND((F53*HLOOKUP(F$57,'Datu ievade'!$B$421:$Z$428,8)),0)</f>
        <v>0</v>
      </c>
    </row>
    <row r="69" spans="1:6" ht="12.75">
      <c r="A69" s="120" t="s">
        <v>448</v>
      </c>
      <c r="B69" s="62">
        <f>ROUND((B54*HLOOKUP(B$57,'Datu ievade'!$B$421:$Z$428,8)),0)</f>
        <v>0</v>
      </c>
      <c r="C69" s="62">
        <f>ROUND((C54*HLOOKUP(C$57,'Datu ievade'!$B$421:$Z$428,8)),0)</f>
        <v>5100</v>
      </c>
      <c r="D69" s="62">
        <f>ROUND((D54*HLOOKUP(D$57,'Datu ievade'!$B$421:$Z$428,8)),0)</f>
        <v>0</v>
      </c>
      <c r="E69" s="62">
        <f>ROUND((E54*HLOOKUP(E$57,'Datu ievade'!$B$421:$Z$428,8)),0)</f>
        <v>0</v>
      </c>
      <c r="F69" s="62">
        <f>ROUND((F54*HLOOKUP(F$57,'Datu ievade'!$B$421:$Z$428,8)),0)</f>
        <v>0</v>
      </c>
    </row>
    <row r="70" spans="1:6" ht="12.75">
      <c r="A70" s="120" t="str">
        <f>A55</f>
        <v>PVN</v>
      </c>
      <c r="B70" s="62">
        <f>SUM(B65:B69)*B433</f>
        <v>0</v>
      </c>
      <c r="C70" s="62">
        <f>SUM(C65:C69)*C433</f>
        <v>14047.44</v>
      </c>
      <c r="D70" s="62">
        <f>SUM(D65:D69)*D433</f>
        <v>58755.840000000004</v>
      </c>
      <c r="E70" s="62">
        <f>SUM(E65:E69)*E433</f>
        <v>0</v>
      </c>
      <c r="F70" s="62">
        <f>SUM(F65:F69)*F433</f>
        <v>0</v>
      </c>
    </row>
    <row r="71" s="8" customFormat="1" ht="12.75">
      <c r="A71" s="7"/>
    </row>
    <row r="72" spans="1:7" s="8" customFormat="1" ht="65.25" customHeight="1">
      <c r="A72" s="26" t="s">
        <v>28</v>
      </c>
      <c r="B72" s="210" t="s">
        <v>29</v>
      </c>
      <c r="C72" s="214" t="s">
        <v>30</v>
      </c>
      <c r="D72" s="213" t="s">
        <v>380</v>
      </c>
      <c r="E72" s="702" t="s">
        <v>485</v>
      </c>
      <c r="F72" s="217" t="s">
        <v>478</v>
      </c>
      <c r="G72" s="217" t="s">
        <v>30</v>
      </c>
    </row>
    <row r="73" spans="1:12" s="8" customFormat="1" ht="12.75">
      <c r="A73" s="27" t="s">
        <v>31</v>
      </c>
      <c r="B73" s="211"/>
      <c r="C73" s="972"/>
      <c r="D73" s="729">
        <f>$D$82*B73</f>
        <v>0</v>
      </c>
      <c r="E73" s="740">
        <f>B73*E82</f>
        <v>0</v>
      </c>
      <c r="F73" s="743">
        <f aca="true" t="shared" si="0" ref="F73:F78">E73/$E$82</f>
        <v>0</v>
      </c>
      <c r="G73" s="853">
        <f>D82-E82</f>
        <v>366750</v>
      </c>
      <c r="H73" s="733">
        <f>G73/E82</f>
        <v>1.0436764730991857</v>
      </c>
      <c r="I73" s="704"/>
      <c r="J73" s="704"/>
      <c r="K73" s="704"/>
      <c r="L73" s="704"/>
    </row>
    <row r="74" spans="1:12" s="8" customFormat="1" ht="12.75">
      <c r="A74" s="187" t="s">
        <v>32</v>
      </c>
      <c r="B74" s="212"/>
      <c r="C74" s="745"/>
      <c r="D74" s="729">
        <f>$D$82*B74</f>
        <v>0</v>
      </c>
      <c r="E74" s="741">
        <f>B74*E82</f>
        <v>0</v>
      </c>
      <c r="F74" s="743">
        <f t="shared" si="0"/>
        <v>0</v>
      </c>
      <c r="G74" s="970">
        <f>D82*E433</f>
        <v>157993.44</v>
      </c>
      <c r="H74" s="704"/>
      <c r="I74" s="704"/>
      <c r="J74" s="704"/>
      <c r="K74" s="704"/>
      <c r="L74" s="704"/>
    </row>
    <row r="75" spans="1:12" s="8" customFormat="1" ht="12.75">
      <c r="A75" s="187" t="s">
        <v>33</v>
      </c>
      <c r="B75" s="973"/>
      <c r="C75" s="974"/>
      <c r="D75" s="729">
        <f>$D$82*B75</f>
        <v>0</v>
      </c>
      <c r="E75" s="741">
        <f>B75*E82</f>
        <v>0</v>
      </c>
      <c r="F75" s="743">
        <f t="shared" si="0"/>
        <v>0</v>
      </c>
      <c r="G75" s="725"/>
      <c r="H75" s="704"/>
      <c r="I75" s="704"/>
      <c r="J75" s="704"/>
      <c r="K75" s="704"/>
      <c r="L75" s="704"/>
    </row>
    <row r="76" spans="1:12" s="8" customFormat="1" ht="12.75">
      <c r="A76" s="18" t="s">
        <v>34</v>
      </c>
      <c r="B76" s="969">
        <f>1-B79</f>
        <v>0.58408289609999</v>
      </c>
      <c r="C76" s="854">
        <v>1</v>
      </c>
      <c r="D76" s="729">
        <f>D82-D79</f>
        <v>419460.3</v>
      </c>
      <c r="E76" s="742">
        <f>0.15*351402</f>
        <v>52710.299999999996</v>
      </c>
      <c r="F76" s="743">
        <f t="shared" si="0"/>
        <v>0.15</v>
      </c>
      <c r="G76" s="859">
        <f>SUM(G73,G74)</f>
        <v>524743.44</v>
      </c>
      <c r="H76" s="704"/>
      <c r="I76" s="704"/>
      <c r="J76" s="704"/>
      <c r="K76" s="704"/>
      <c r="L76" s="704"/>
    </row>
    <row r="77" spans="1:12" s="8" customFormat="1" ht="12.75">
      <c r="A77" s="18" t="s">
        <v>35</v>
      </c>
      <c r="B77" s="748"/>
      <c r="C77" s="700"/>
      <c r="D77" s="729">
        <f>D82*B77</f>
        <v>0</v>
      </c>
      <c r="E77" s="742"/>
      <c r="F77" s="743">
        <f t="shared" si="0"/>
        <v>0</v>
      </c>
      <c r="H77" s="704"/>
      <c r="I77" s="704"/>
      <c r="J77" s="704"/>
      <c r="K77" s="704"/>
      <c r="L77" s="704"/>
    </row>
    <row r="78" spans="1:12" s="8" customFormat="1" ht="12.75">
      <c r="A78" s="25" t="s">
        <v>36</v>
      </c>
      <c r="B78" s="697">
        <v>0</v>
      </c>
      <c r="C78" s="699"/>
      <c r="D78" s="729">
        <f>D82*B78</f>
        <v>0</v>
      </c>
      <c r="E78" s="730">
        <f>C78*$E$82</f>
        <v>0</v>
      </c>
      <c r="F78" s="743">
        <f t="shared" si="0"/>
        <v>0</v>
      </c>
      <c r="G78" s="704"/>
      <c r="H78" s="704"/>
      <c r="I78" s="704"/>
      <c r="J78" s="704"/>
      <c r="K78" s="704"/>
      <c r="L78" s="704"/>
    </row>
    <row r="79" spans="1:12" s="8" customFormat="1" ht="12.75">
      <c r="A79" s="25" t="s">
        <v>37</v>
      </c>
      <c r="B79" s="968">
        <v>0.41591710390001</v>
      </c>
      <c r="C79" s="699"/>
      <c r="D79" s="729">
        <f>E79</f>
        <v>298691.7</v>
      </c>
      <c r="E79" s="731">
        <f>E82*F79</f>
        <v>298691.7</v>
      </c>
      <c r="F79" s="743">
        <v>0.85</v>
      </c>
      <c r="G79" s="704"/>
      <c r="H79" s="704"/>
      <c r="I79" s="704"/>
      <c r="J79" s="704"/>
      <c r="K79" s="704"/>
      <c r="L79" s="704"/>
    </row>
    <row r="80" spans="1:12" s="8" customFormat="1" ht="12.75">
      <c r="A80" s="18" t="s">
        <v>484</v>
      </c>
      <c r="B80" s="698">
        <f>B79+B78</f>
        <v>0.41591710390001</v>
      </c>
      <c r="C80" s="699"/>
      <c r="D80" s="729">
        <f>D79+D78</f>
        <v>298691.7</v>
      </c>
      <c r="E80" s="731">
        <f>E79+E78</f>
        <v>298691.7</v>
      </c>
      <c r="F80" s="743">
        <f>F79+F76</f>
        <v>1</v>
      </c>
      <c r="G80" s="704"/>
      <c r="H80" s="704"/>
      <c r="I80" s="704"/>
      <c r="J80" s="704"/>
      <c r="K80" s="704"/>
      <c r="L80" s="704"/>
    </row>
    <row r="81" spans="1:13" s="8" customFormat="1" ht="27" customHeight="1">
      <c r="A81" s="18" t="s">
        <v>483</v>
      </c>
      <c r="B81" s="692">
        <v>0.85</v>
      </c>
      <c r="C81" s="699"/>
      <c r="D81" s="729">
        <f>351402*0.85</f>
        <v>298691.7</v>
      </c>
      <c r="E81" s="729">
        <f>351402*0.85</f>
        <v>298691.7</v>
      </c>
      <c r="F81" s="732">
        <v>0.85</v>
      </c>
      <c r="G81" s="1013" t="str">
        <f>IF(D82&gt;351402,"Lēmuma summa pārsniedz LVL 351 402 par LVL "&amp;ROUND(D82-351402,0)&amp;", kuri tiks pilnībā finansēti no finansējuma saņēmēja līdzekļiem!","-")</f>
        <v>Lēmuma summa pārsniedz LVL 351 402 par LVL 366750, kuri tiks pilnībā finansēti no finansējuma saņēmēja līdzekļiem!</v>
      </c>
      <c r="H81" s="1013"/>
      <c r="I81" s="1013"/>
      <c r="J81" s="1013"/>
      <c r="K81" s="1013"/>
      <c r="L81" s="1013"/>
      <c r="M81" s="1013"/>
    </row>
    <row r="82" spans="1:12" s="8" customFormat="1" ht="29.25" customHeight="1">
      <c r="A82" s="18" t="s">
        <v>38</v>
      </c>
      <c r="B82" s="610">
        <f>SUM(B73:B79)</f>
        <v>1</v>
      </c>
      <c r="C82" s="701">
        <f>SUM(C73:C77)</f>
        <v>1</v>
      </c>
      <c r="D82" s="734">
        <f>SUM(B58:E62,B65:E69)</f>
        <v>718152</v>
      </c>
      <c r="E82" s="734">
        <f>351402</f>
        <v>351402</v>
      </c>
      <c r="F82" s="744">
        <f>SUM(F73:F77,F79)</f>
        <v>1</v>
      </c>
      <c r="G82" s="704"/>
      <c r="H82" s="704"/>
      <c r="I82" s="704"/>
      <c r="J82" s="704"/>
      <c r="K82" s="704"/>
      <c r="L82" s="704"/>
    </row>
    <row r="83" spans="1:7" s="8" customFormat="1" ht="12.75">
      <c r="A83" s="25" t="s">
        <v>39</v>
      </c>
      <c r="B83" s="965">
        <v>0.04642</v>
      </c>
      <c r="C83" s="749" t="s">
        <v>548</v>
      </c>
      <c r="D83" s="750"/>
      <c r="E83" s="704"/>
      <c r="F83" s="704"/>
      <c r="G83" s="704"/>
    </row>
    <row r="84" spans="1:7" s="8" customFormat="1" ht="12.75">
      <c r="A84" s="25" t="s">
        <v>40</v>
      </c>
      <c r="B84" s="188">
        <v>0.1</v>
      </c>
      <c r="C84" s="751"/>
      <c r="D84" s="704"/>
      <c r="E84" s="704"/>
      <c r="F84" s="704"/>
      <c r="G84" s="704"/>
    </row>
    <row r="85" spans="1:41" s="8" customFormat="1" ht="12.75">
      <c r="A85" s="187" t="s">
        <v>41</v>
      </c>
      <c r="B85" s="190">
        <v>25</v>
      </c>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4" s="8" customFormat="1" ht="12.75">
      <c r="A86" s="187" t="s">
        <v>42</v>
      </c>
      <c r="B86" s="190">
        <v>20</v>
      </c>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row>
    <row r="87" spans="1:44" s="8" customFormat="1" ht="12.75">
      <c r="A87"/>
      <c r="B87"/>
      <c r="C87" s="703"/>
      <c r="D87"/>
      <c r="E87"/>
      <c r="F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row>
    <row r="88" spans="1:6" s="8" customFormat="1" ht="12.75">
      <c r="A88" s="10" t="s">
        <v>43</v>
      </c>
      <c r="B88" s="189" t="s">
        <v>44</v>
      </c>
      <c r="D88"/>
      <c r="E88"/>
      <c r="F88"/>
    </row>
    <row r="89" spans="2:6" s="8" customFormat="1" ht="12.75" hidden="1" outlineLevel="1">
      <c r="B89" s="11" t="s">
        <v>44</v>
      </c>
      <c r="E89"/>
      <c r="F89"/>
    </row>
    <row r="90" spans="2:6" s="8" customFormat="1" ht="12.75" hidden="1" outlineLevel="1">
      <c r="B90" s="11" t="s">
        <v>45</v>
      </c>
      <c r="E90"/>
      <c r="F90"/>
    </row>
    <row r="91" spans="5:6" s="8" customFormat="1" ht="12.75" collapsed="1">
      <c r="E91"/>
      <c r="F91"/>
    </row>
    <row r="92" spans="1:6" s="8" customFormat="1" ht="12.75">
      <c r="A92" s="10" t="s">
        <v>46</v>
      </c>
      <c r="B92" s="189" t="s">
        <v>47</v>
      </c>
      <c r="E92"/>
      <c r="F92"/>
    </row>
    <row r="93" spans="2:6" s="8" customFormat="1" ht="12.75" hidden="1" outlineLevel="1">
      <c r="B93" s="11" t="s">
        <v>47</v>
      </c>
      <c r="E93"/>
      <c r="F93"/>
    </row>
    <row r="94" spans="2:6" s="8" customFormat="1" ht="25.5" hidden="1" outlineLevel="1">
      <c r="B94" s="11" t="s">
        <v>7</v>
      </c>
      <c r="E94"/>
      <c r="F94"/>
    </row>
    <row r="95" spans="1:6" s="8" customFormat="1" ht="15" customHeight="1" outlineLevel="1">
      <c r="A95" s="543" t="s">
        <v>419</v>
      </c>
      <c r="B95" s="550">
        <f>B29</f>
        <v>2011</v>
      </c>
      <c r="C95" s="550">
        <f>B95+1</f>
        <v>2012</v>
      </c>
      <c r="D95" s="550">
        <f>C95+1</f>
        <v>2013</v>
      </c>
      <c r="E95" s="550">
        <f>D95+1</f>
        <v>2014</v>
      </c>
      <c r="F95" s="550">
        <f>E95+1</f>
        <v>2015</v>
      </c>
    </row>
    <row r="96" spans="1:7" s="8" customFormat="1" ht="12.75" outlineLevel="1">
      <c r="A96" s="548" t="s">
        <v>347</v>
      </c>
      <c r="B96" s="705">
        <f>SUM(B97:B98)</f>
        <v>0</v>
      </c>
      <c r="C96" s="705">
        <f>SUM(C97:C98)</f>
        <v>163016.4</v>
      </c>
      <c r="D96" s="705">
        <f>SUM(D97:D98)</f>
        <v>713129.04</v>
      </c>
      <c r="E96" s="705">
        <f>SUM(E97:E98)</f>
        <v>0</v>
      </c>
      <c r="F96" s="705">
        <f>SUM(F97:F98)</f>
        <v>0</v>
      </c>
      <c r="G96" s="545">
        <f>SUM(B96:F96)</f>
        <v>876145.4400000001</v>
      </c>
    </row>
    <row r="97" spans="1:7" s="8" customFormat="1" ht="12.75" outlineLevel="1">
      <c r="A97" s="548" t="s">
        <v>30</v>
      </c>
      <c r="B97" s="607">
        <f>B63+B70</f>
        <v>0</v>
      </c>
      <c r="C97" s="607">
        <f>C63+C70</f>
        <v>29396.4</v>
      </c>
      <c r="D97" s="607">
        <f>D63+D70</f>
        <v>128597.04000000001</v>
      </c>
      <c r="E97" s="607">
        <f>E63+E70</f>
        <v>0</v>
      </c>
      <c r="F97" s="607">
        <f>F63+F70</f>
        <v>0</v>
      </c>
      <c r="G97" s="215"/>
    </row>
    <row r="98" spans="1:7" s="8" customFormat="1" ht="12.75" outlineLevel="1">
      <c r="A98" s="548" t="s">
        <v>348</v>
      </c>
      <c r="B98" s="705">
        <f>SUM(B58:B62)+SUM(B65:B69)</f>
        <v>0</v>
      </c>
      <c r="C98" s="705">
        <f>SUM(C58:C62)+SUM(C65:C69)</f>
        <v>133620</v>
      </c>
      <c r="D98" s="705">
        <f>SUM(D58:D62)+SUM(D65:D69)</f>
        <v>584532</v>
      </c>
      <c r="E98" s="705">
        <f>SUM(E58:E61)+SUM(E65:E68)</f>
        <v>0</v>
      </c>
      <c r="F98" s="705">
        <f>SUM(F58:F61)+SUM(F65:F68)</f>
        <v>0</v>
      </c>
      <c r="G98" s="545">
        <f>SUM(B98:F98)</f>
        <v>718152</v>
      </c>
    </row>
    <row r="99" spans="1:6" s="8" customFormat="1" ht="12.75" outlineLevel="1">
      <c r="A99" s="548" t="s">
        <v>349</v>
      </c>
      <c r="B99" s="607">
        <f>ROUND('Datu ievade'!$B$73*B$98,2)</f>
        <v>0</v>
      </c>
      <c r="C99" s="607">
        <f>ROUND('Datu ievade'!$B$73*C$98,2)</f>
        <v>0</v>
      </c>
      <c r="D99" s="607">
        <f>ROUND('Datu ievade'!$B$73*D$98,2)</f>
        <v>0</v>
      </c>
      <c r="E99" s="607">
        <f>ROUND('Datu ievade'!$B$73*E$98,2)</f>
        <v>0</v>
      </c>
      <c r="F99" s="607">
        <f>ROUND('Datu ievade'!$B$73*F$98,2)</f>
        <v>0</v>
      </c>
    </row>
    <row r="100" spans="1:6" s="8" customFormat="1" ht="12.75" outlineLevel="1">
      <c r="A100" s="548" t="s">
        <v>350</v>
      </c>
      <c r="B100" s="607">
        <f>ROUND('Datu ievade'!$C$73*B$97,2)</f>
        <v>0</v>
      </c>
      <c r="C100" s="607">
        <f>ROUND('Datu ievade'!$C$73*C$97,2)</f>
        <v>0</v>
      </c>
      <c r="D100" s="607">
        <f>ROUND('Datu ievade'!$C$73*D$97,2)</f>
        <v>0</v>
      </c>
      <c r="E100" s="607">
        <f>ROUND('Datu ievade'!$C$73*E$97,2)</f>
        <v>0</v>
      </c>
      <c r="F100" s="607">
        <f>ROUND('Datu ievade'!$C$73*F$97,2)</f>
        <v>0</v>
      </c>
    </row>
    <row r="101" spans="1:6" s="8" customFormat="1" ht="12.75" outlineLevel="1">
      <c r="A101" s="548" t="s">
        <v>351</v>
      </c>
      <c r="B101" s="607">
        <f>IF($B$88="Jā",'Datu ievade'!$B$76*B$98,0)</f>
        <v>0</v>
      </c>
      <c r="C101" s="607">
        <f>IF($B$88="Jā",C98-C110,0)</f>
        <v>78045.15657688066</v>
      </c>
      <c r="D101" s="607">
        <f>IF($B$88="Jā",D98-D110,0)</f>
        <v>341415.1434231193</v>
      </c>
      <c r="E101" s="607">
        <f>IF($B$88="Jā",'Datu ievade'!$B$76*E$98,0)</f>
        <v>0</v>
      </c>
      <c r="F101" s="607">
        <f>IF($B$88="Jā",'Datu ievade'!$B$76*F$98,0)</f>
        <v>0</v>
      </c>
    </row>
    <row r="102" spans="1:6" s="8" customFormat="1" ht="12.75" outlineLevel="1">
      <c r="A102" s="548" t="s">
        <v>352</v>
      </c>
      <c r="B102" s="607">
        <f>ROUND('Datu ievade'!$C$76*B$97,2)</f>
        <v>0</v>
      </c>
      <c r="C102" s="607">
        <f>ROUND('Datu ievade'!$C$76*C$97,2)</f>
        <v>29396.4</v>
      </c>
      <c r="D102" s="607">
        <f>ROUND('Datu ievade'!$C$76*D$97,2)</f>
        <v>128597.04</v>
      </c>
      <c r="E102" s="607">
        <f>ROUND('Datu ievade'!$C$76*E$97,2)</f>
        <v>0</v>
      </c>
      <c r="F102" s="607">
        <f>ROUND('Datu ievade'!$C$76*F$97,2)</f>
        <v>0</v>
      </c>
    </row>
    <row r="103" spans="1:6" s="8" customFormat="1" ht="25.5" outlineLevel="1">
      <c r="A103" s="548" t="s">
        <v>353</v>
      </c>
      <c r="B103" s="607">
        <f>ROUND('Datu ievade'!$B$74*B$98,2)</f>
        <v>0</v>
      </c>
      <c r="C103" s="607">
        <f>ROUND('Datu ievade'!$B$74*C$98,2)</f>
        <v>0</v>
      </c>
      <c r="D103" s="607">
        <f>ROUND('Datu ievade'!$B$74*D$98,2)</f>
        <v>0</v>
      </c>
      <c r="E103" s="607">
        <f>ROUND('Datu ievade'!$B$74*E$98,2)</f>
        <v>0</v>
      </c>
      <c r="F103" s="607">
        <f>ROUND('Datu ievade'!$B$74*F$98,2)</f>
        <v>0</v>
      </c>
    </row>
    <row r="104" spans="1:6" s="8" customFormat="1" ht="25.5" outlineLevel="1">
      <c r="A104" s="548" t="s">
        <v>354</v>
      </c>
      <c r="B104" s="607">
        <f>ROUND('Datu ievade'!$C$74*B$97,2)</f>
        <v>0</v>
      </c>
      <c r="C104" s="607">
        <f>ROUND('Datu ievade'!$C$74*C$97,2)</f>
        <v>0</v>
      </c>
      <c r="D104" s="607">
        <f>ROUND('Datu ievade'!$C$74*D$97,2)</f>
        <v>0</v>
      </c>
      <c r="E104" s="607">
        <f>ROUND('Datu ievade'!$C$74*E$97,2)</f>
        <v>0</v>
      </c>
      <c r="F104" s="607">
        <f>ROUND('Datu ievade'!$C$74*F$97,2)</f>
        <v>0</v>
      </c>
    </row>
    <row r="105" spans="1:6" s="8" customFormat="1" ht="25.5" outlineLevel="1">
      <c r="A105" s="548" t="s">
        <v>355</v>
      </c>
      <c r="B105" s="607">
        <f>IF($B$88="Jā",'Datu ievade'!$B$77*B$98,0)</f>
        <v>0</v>
      </c>
      <c r="C105" s="607">
        <f>IF($B$88="Jā",'Datu ievade'!$B$77*C$98,0)</f>
        <v>0</v>
      </c>
      <c r="D105" s="607">
        <f>IF($B$88="Jā",'Datu ievade'!$B$77*D$98,0)</f>
        <v>0</v>
      </c>
      <c r="E105" s="607">
        <f>IF($B$88="Jā",'Datu ievade'!$B$77*E$98,0)</f>
        <v>0</v>
      </c>
      <c r="F105" s="607">
        <f>IF($B$88="Jā",'Datu ievade'!$B$77*F$98,0)</f>
        <v>0</v>
      </c>
    </row>
    <row r="106" spans="1:6" s="8" customFormat="1" ht="25.5" outlineLevel="1">
      <c r="A106" s="548" t="s">
        <v>356</v>
      </c>
      <c r="B106" s="607">
        <f>ROUND('Datu ievade'!$C$77*B$97,2)</f>
        <v>0</v>
      </c>
      <c r="C106" s="607">
        <f>ROUND('Datu ievade'!$C$77*C$97,2)</f>
        <v>0</v>
      </c>
      <c r="D106" s="607">
        <f>ROUND('Datu ievade'!$C$77*D$97,2)</f>
        <v>0</v>
      </c>
      <c r="E106" s="607">
        <f>ROUND('Datu ievade'!$C$77*E$97,2)</f>
        <v>0</v>
      </c>
      <c r="F106" s="607">
        <f>ROUND('Datu ievade'!$C$77*F$97,2)</f>
        <v>0</v>
      </c>
    </row>
    <row r="107" spans="1:6" s="8" customFormat="1" ht="12.75" outlineLevel="1">
      <c r="A107" s="548" t="s">
        <v>36</v>
      </c>
      <c r="B107" s="607">
        <f>ROUND('Datu ievade'!$B$78*B$98,2)</f>
        <v>0</v>
      </c>
      <c r="C107" s="607">
        <f>ROUND('Datu ievade'!$B$78*C$98,2)</f>
        <v>0</v>
      </c>
      <c r="D107" s="607">
        <f>ROUND('Datu ievade'!$B$78*D$98,2)</f>
        <v>0</v>
      </c>
      <c r="E107" s="607">
        <f>ROUND('Datu ievade'!$B$78*E$98,2)</f>
        <v>0</v>
      </c>
      <c r="F107" s="607">
        <f>ROUND('Datu ievade'!$B$78*F$98,2)</f>
        <v>0</v>
      </c>
    </row>
    <row r="108" spans="1:6" s="8" customFormat="1" ht="12.75" outlineLevel="1">
      <c r="A108" s="548" t="s">
        <v>357</v>
      </c>
      <c r="B108" s="607">
        <f>ROUND('Datu ievade'!$B$75*B$98,2)</f>
        <v>0</v>
      </c>
      <c r="C108" s="607">
        <f>ROUND('Datu ievade'!$B$75*C$98,2)</f>
        <v>0</v>
      </c>
      <c r="D108" s="607">
        <f>ROUND('Datu ievade'!$B$75*D$98,2)</f>
        <v>0</v>
      </c>
      <c r="E108" s="607">
        <f>ROUND('Datu ievade'!$B$75*E$98,2)</f>
        <v>0</v>
      </c>
      <c r="F108" s="607">
        <f>ROUND('Datu ievade'!$B$75*F$98,2)</f>
        <v>0</v>
      </c>
    </row>
    <row r="109" spans="1:6" s="8" customFormat="1" ht="12.75" outlineLevel="1">
      <c r="A109" s="548" t="s">
        <v>358</v>
      </c>
      <c r="B109" s="607">
        <f>ROUND('Datu ievade'!$C$75*B$97,2)</f>
        <v>0</v>
      </c>
      <c r="C109" s="607">
        <f>ROUND('Datu ievade'!$C$75*C$97,2)</f>
        <v>0</v>
      </c>
      <c r="D109" s="607">
        <f>ROUND('Datu ievade'!$C$75*D$97,2)</f>
        <v>0</v>
      </c>
      <c r="E109" s="607">
        <f>ROUND('Datu ievade'!$C$75*E$97,2)</f>
        <v>0</v>
      </c>
      <c r="F109" s="607">
        <f>ROUND('Datu ievade'!$C$75*F$97,2)</f>
        <v>0</v>
      </c>
    </row>
    <row r="110" spans="1:6" s="8" customFormat="1" ht="12.75">
      <c r="A110" s="548" t="s">
        <v>37</v>
      </c>
      <c r="B110" s="607">
        <f>B124</f>
        <v>0</v>
      </c>
      <c r="C110" s="607">
        <f>C124</f>
        <v>55574.84342311934</v>
      </c>
      <c r="D110" s="607">
        <f>D124</f>
        <v>243116.85657688064</v>
      </c>
      <c r="E110" s="607">
        <f>E124</f>
        <v>0</v>
      </c>
      <c r="F110" s="607">
        <f>F124</f>
        <v>0</v>
      </c>
    </row>
    <row r="111" spans="1:7" s="8" customFormat="1" ht="12.75">
      <c r="A111" s="547"/>
      <c r="B111" s="706"/>
      <c r="C111" s="706"/>
      <c r="D111" s="706"/>
      <c r="E111" s="706"/>
      <c r="F111" s="706"/>
      <c r="G111" s="549"/>
    </row>
    <row r="112" spans="1:7" s="8" customFormat="1" ht="12.75">
      <c r="A112" s="546"/>
      <c r="B112" s="706"/>
      <c r="C112" s="706"/>
      <c r="D112" s="706"/>
      <c r="E112" s="706"/>
      <c r="F112" s="706"/>
      <c r="G112" s="549"/>
    </row>
    <row r="113" spans="1:7" s="704" customFormat="1" ht="12.75">
      <c r="A113" s="707" t="s">
        <v>420</v>
      </c>
      <c r="B113" s="719">
        <f>B95</f>
        <v>2011</v>
      </c>
      <c r="C113" s="719">
        <f>B113+1</f>
        <v>2012</v>
      </c>
      <c r="D113" s="719">
        <f>C113+1</f>
        <v>2013</v>
      </c>
      <c r="E113" s="719">
        <f>D113+1</f>
        <v>2014</v>
      </c>
      <c r="F113" s="719">
        <f>E113+1</f>
        <v>2015</v>
      </c>
      <c r="G113" s="720"/>
    </row>
    <row r="114" spans="1:9" s="704" customFormat="1" ht="12.75">
      <c r="A114" s="708" t="s">
        <v>347</v>
      </c>
      <c r="B114" s="721">
        <f>B96</f>
        <v>0</v>
      </c>
      <c r="C114" s="721">
        <f aca="true" t="shared" si="1" ref="C114:F115">C96</f>
        <v>163016.4</v>
      </c>
      <c r="D114" s="721">
        <f t="shared" si="1"/>
        <v>713129.04</v>
      </c>
      <c r="E114" s="721">
        <f t="shared" si="1"/>
        <v>0</v>
      </c>
      <c r="F114" s="721">
        <f t="shared" si="1"/>
        <v>0</v>
      </c>
      <c r="G114" s="720"/>
      <c r="H114" s="717">
        <f>C118</f>
        <v>65382.16873308158</v>
      </c>
      <c r="I114" s="717">
        <f>D118</f>
        <v>286019.8312669184</v>
      </c>
    </row>
    <row r="115" spans="1:9" s="704" customFormat="1" ht="12.75">
      <c r="A115" s="708" t="s">
        <v>431</v>
      </c>
      <c r="B115" s="971">
        <f>B97</f>
        <v>0</v>
      </c>
      <c r="C115" s="971">
        <f t="shared" si="1"/>
        <v>29396.4</v>
      </c>
      <c r="D115" s="971">
        <f t="shared" si="1"/>
        <v>128597.04000000001</v>
      </c>
      <c r="E115" s="722">
        <f t="shared" si="1"/>
        <v>0</v>
      </c>
      <c r="F115" s="722">
        <f t="shared" si="1"/>
        <v>0</v>
      </c>
      <c r="G115" s="720"/>
      <c r="H115" s="718"/>
      <c r="I115" s="718"/>
    </row>
    <row r="116" spans="1:9" s="704" customFormat="1" ht="12.75">
      <c r="A116" s="708" t="s">
        <v>434</v>
      </c>
      <c r="B116" s="971">
        <f>ROUND($H$73*B118,3)</f>
        <v>0</v>
      </c>
      <c r="C116" s="971">
        <f>ROUND($H$73*C118,3)</f>
        <v>68237.831</v>
      </c>
      <c r="D116" s="971">
        <f>ROUND($H$73*D118,3)</f>
        <v>298512.169</v>
      </c>
      <c r="E116" s="722">
        <f>ROUND($H$73*E118,2)</f>
        <v>0</v>
      </c>
      <c r="F116" s="722">
        <f>ROUND($H$73*F118,2)</f>
        <v>0</v>
      </c>
      <c r="G116" s="720"/>
      <c r="H116" s="718"/>
      <c r="I116" s="718"/>
    </row>
    <row r="117" spans="1:9" s="704" customFormat="1" ht="12.75">
      <c r="A117" s="708" t="s">
        <v>435</v>
      </c>
      <c r="B117" s="971">
        <f>SUM(B115:B116)</f>
        <v>0</v>
      </c>
      <c r="C117" s="971">
        <f>SUM(C115:C116)</f>
        <v>97634.231</v>
      </c>
      <c r="D117" s="971">
        <f>SUM(D115:D116)</f>
        <v>427109.20900000003</v>
      </c>
      <c r="E117" s="722">
        <f>SUM(E115:E116)</f>
        <v>0</v>
      </c>
      <c r="F117" s="722">
        <f>SUM(F115:F116)</f>
        <v>0</v>
      </c>
      <c r="G117" s="720"/>
      <c r="H117" s="718"/>
      <c r="I117" s="718"/>
    </row>
    <row r="118" spans="1:9" s="704" customFormat="1" ht="12.75">
      <c r="A118" s="708" t="s">
        <v>421</v>
      </c>
      <c r="B118" s="721">
        <f>SUM(B120:B124)</f>
        <v>0</v>
      </c>
      <c r="C118" s="721">
        <f>SUM(C119:C124)</f>
        <v>65382.16873308158</v>
      </c>
      <c r="D118" s="721">
        <f>SUM(D119:D124)</f>
        <v>286019.8312669184</v>
      </c>
      <c r="E118" s="721">
        <f>SUM(E120:E124)</f>
        <v>0</v>
      </c>
      <c r="F118" s="721">
        <f>SUM(F120:F124)</f>
        <v>0</v>
      </c>
      <c r="G118" s="720">
        <f>IF(E82&gt;351042,351402,E82)</f>
        <v>351402</v>
      </c>
      <c r="H118" s="717">
        <f>C120+C123+C124</f>
        <v>65382.16873308158</v>
      </c>
      <c r="I118" s="717">
        <f>D120+D123+D124</f>
        <v>286019.8312669184</v>
      </c>
    </row>
    <row r="119" spans="1:9" s="704" customFormat="1" ht="12.75">
      <c r="A119" s="709" t="s">
        <v>432</v>
      </c>
      <c r="B119" s="722">
        <v>0</v>
      </c>
      <c r="C119" s="722">
        <f>IF($B$88="Nē",C98*$B$127/$G$98,0)</f>
        <v>0</v>
      </c>
      <c r="D119" s="722">
        <f>IF($B$88="Nē",D98*$B$127/$G$98,0)</f>
        <v>0</v>
      </c>
      <c r="E119" s="722">
        <f>IF($B$88="Nē",E98*$B$127/$G$98,0)</f>
        <v>0</v>
      </c>
      <c r="F119" s="722">
        <f>IF($B$88="Nē",F98*$B$127/$G$98,0)</f>
        <v>0</v>
      </c>
      <c r="G119" s="720"/>
      <c r="H119" s="717"/>
      <c r="I119" s="717"/>
    </row>
    <row r="120" spans="1:7" s="704" customFormat="1" ht="12.75">
      <c r="A120" s="710" t="s">
        <v>433</v>
      </c>
      <c r="B120" s="607">
        <f>IF($B$88="Jā",B98*$B$127/$G$98,0)</f>
        <v>0</v>
      </c>
      <c r="C120" s="607">
        <f>IF($B$88="Jā",C98*$B$127/$G$98,0)</f>
        <v>9807.325309962234</v>
      </c>
      <c r="D120" s="607">
        <f>IF($B$88="Jā",D98*$B$127/$G$98,0)</f>
        <v>42902.974690037765</v>
      </c>
      <c r="E120" s="607">
        <f>IF($B$88="Jā",E98*$B$127/$G$98+E115,0)</f>
        <v>0</v>
      </c>
      <c r="F120" s="607">
        <f>IF($B$88="Jā",F98*$B$127/$G$98+F115,0)</f>
        <v>0</v>
      </c>
      <c r="G120" s="720"/>
    </row>
    <row r="121" spans="1:7" s="704" customFormat="1" ht="12.75">
      <c r="A121" s="711" t="s">
        <v>449</v>
      </c>
      <c r="B121" s="607"/>
      <c r="C121" s="607">
        <f>IF($B$88="Nē",C98*$B$128/$G$98,0)</f>
        <v>0</v>
      </c>
      <c r="D121" s="607">
        <f>IF($B$88="Nē",D98*$B$128/$G$98,0)</f>
        <v>0</v>
      </c>
      <c r="E121" s="607">
        <f>IF($B$88="Nē",E98*$B$128/$G$98,0)</f>
        <v>0</v>
      </c>
      <c r="F121" s="607">
        <f>IF($B$88="Nē",F98*$B$128/$G$98,0)</f>
        <v>0</v>
      </c>
      <c r="G121" s="720"/>
    </row>
    <row r="122" spans="1:7" s="704" customFormat="1" ht="12.75">
      <c r="A122" s="708" t="s">
        <v>450</v>
      </c>
      <c r="B122" s="723">
        <v>0</v>
      </c>
      <c r="C122" s="607">
        <f>IF($B$88="Jā",C98*$B$128/$G$98,0)</f>
        <v>0</v>
      </c>
      <c r="D122" s="607">
        <f>IF($B$88="Jā",D98*$B$128/$G$98,0)</f>
        <v>0</v>
      </c>
      <c r="E122" s="607">
        <f>IF($B$88="Jā",E98*$B$128/$G$98,0)</f>
        <v>0</v>
      </c>
      <c r="F122" s="607">
        <f>IF($B$88="Jā",F98*$B$128/$G$98,0)</f>
        <v>0</v>
      </c>
      <c r="G122" s="724">
        <f>SUM(B122:F122)</f>
        <v>0</v>
      </c>
    </row>
    <row r="123" spans="1:7" s="704" customFormat="1" ht="12.75">
      <c r="A123" s="708" t="s">
        <v>36</v>
      </c>
      <c r="B123" s="723">
        <f>+B98*$B$126/$G$98</f>
        <v>0</v>
      </c>
      <c r="C123" s="723">
        <f>+C98*$B$126/$G$98</f>
        <v>0</v>
      </c>
      <c r="D123" s="723">
        <f>+D98*$B$126/$G$98</f>
        <v>0</v>
      </c>
      <c r="E123" s="723">
        <f>+E98*$B$126/$G$98</f>
        <v>0</v>
      </c>
      <c r="F123" s="723">
        <f>+F98*$B$126/$G$98</f>
        <v>0</v>
      </c>
      <c r="G123" s="720"/>
    </row>
    <row r="124" spans="1:7" s="704" customFormat="1" ht="12.75">
      <c r="A124" s="708" t="s">
        <v>37</v>
      </c>
      <c r="B124" s="723">
        <f>+B98*$B$125/$G$98</f>
        <v>0</v>
      </c>
      <c r="C124" s="723">
        <f>+C98*$B$125/$G$98</f>
        <v>55574.84342311934</v>
      </c>
      <c r="D124" s="723">
        <f>+D98*$B$125/$G$98</f>
        <v>243116.85657688064</v>
      </c>
      <c r="E124" s="723">
        <f>+E98*$B$125/$G$98</f>
        <v>0</v>
      </c>
      <c r="F124" s="723">
        <f>+F98*$B$125/$G$98</f>
        <v>0</v>
      </c>
      <c r="G124" s="725"/>
    </row>
    <row r="125" spans="1:7" s="704" customFormat="1" ht="12.75">
      <c r="A125" s="712" t="s">
        <v>422</v>
      </c>
      <c r="B125" s="705">
        <f>E80</f>
        <v>298691.7</v>
      </c>
      <c r="C125" s="705"/>
      <c r="D125" s="705"/>
      <c r="E125" s="705"/>
      <c r="F125" s="726"/>
      <c r="G125" s="725"/>
    </row>
    <row r="126" spans="1:7" s="704" customFormat="1" ht="12.75">
      <c r="A126" s="712" t="s">
        <v>423</v>
      </c>
      <c r="B126" s="607">
        <f>G118*0</f>
        <v>0</v>
      </c>
      <c r="C126" s="607"/>
      <c r="D126" s="607"/>
      <c r="E126" s="607"/>
      <c r="F126" s="727"/>
      <c r="G126" s="725"/>
    </row>
    <row r="127" spans="1:7" s="704" customFormat="1" ht="12.75">
      <c r="A127" s="712" t="s">
        <v>424</v>
      </c>
      <c r="B127" s="607">
        <f>E76</f>
        <v>52710.299999999996</v>
      </c>
      <c r="C127" s="607"/>
      <c r="D127" s="607"/>
      <c r="E127" s="607"/>
      <c r="F127" s="607"/>
      <c r="G127" s="725"/>
    </row>
    <row r="128" spans="1:7" s="704" customFormat="1" ht="12.75">
      <c r="A128" s="712" t="s">
        <v>451</v>
      </c>
      <c r="B128" s="607">
        <f>E77</f>
        <v>0</v>
      </c>
      <c r="C128" s="706"/>
      <c r="D128" s="706"/>
      <c r="E128" s="706"/>
      <c r="F128" s="706"/>
      <c r="G128" s="728"/>
    </row>
    <row r="129" spans="1:35" s="8" customFormat="1" ht="37.5">
      <c r="A129" s="691" t="s">
        <v>51</v>
      </c>
      <c r="B129" s="544"/>
      <c r="C129" s="551"/>
      <c r="D129" s="552"/>
      <c r="E129"/>
      <c r="F129"/>
      <c r="G129"/>
      <c r="H129"/>
      <c r="I129"/>
      <c r="J129"/>
      <c r="K129"/>
      <c r="L129"/>
      <c r="M129"/>
      <c r="N129"/>
      <c r="O129"/>
      <c r="P129"/>
      <c r="Q129"/>
      <c r="R129"/>
      <c r="S129"/>
      <c r="T129"/>
      <c r="U129"/>
      <c r="V129"/>
      <c r="W129"/>
      <c r="X129"/>
      <c r="Y129"/>
      <c r="Z129"/>
      <c r="AA129"/>
      <c r="AB129"/>
      <c r="AC129"/>
      <c r="AD129"/>
      <c r="AE129"/>
      <c r="AF129"/>
      <c r="AG129"/>
      <c r="AH129"/>
      <c r="AI129"/>
    </row>
    <row r="130" spans="1:35" s="8" customFormat="1" ht="12.7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row>
    <row r="131" spans="1:35" s="8" customFormat="1" ht="31.5">
      <c r="A131" s="35" t="s">
        <v>52</v>
      </c>
      <c r="B131" s="36"/>
      <c r="C131"/>
      <c r="D131"/>
      <c r="E131"/>
      <c r="F131"/>
      <c r="G131"/>
      <c r="H131"/>
      <c r="I131"/>
      <c r="J131"/>
      <c r="K131"/>
      <c r="L131"/>
      <c r="M131"/>
      <c r="N131"/>
      <c r="O131"/>
      <c r="P131"/>
      <c r="Q131"/>
      <c r="R131"/>
      <c r="S131"/>
      <c r="T131"/>
      <c r="U131"/>
      <c r="V131"/>
      <c r="W131"/>
      <c r="X131"/>
      <c r="Y131"/>
      <c r="Z131"/>
      <c r="AA131"/>
      <c r="AB131"/>
      <c r="AC131"/>
      <c r="AD131"/>
      <c r="AE131"/>
      <c r="AF131"/>
      <c r="AG131"/>
      <c r="AH131"/>
      <c r="AI131"/>
    </row>
    <row r="132" spans="1:35" s="8" customFormat="1" ht="12.75">
      <c r="A132" s="25"/>
      <c r="B132" s="37">
        <f>B29</f>
        <v>2011</v>
      </c>
      <c r="C132"/>
      <c r="D132"/>
      <c r="E132"/>
      <c r="F132"/>
      <c r="G132"/>
      <c r="H132"/>
      <c r="I132"/>
      <c r="J132"/>
      <c r="K132"/>
      <c r="L132"/>
      <c r="M132"/>
      <c r="N132"/>
      <c r="O132"/>
      <c r="P132"/>
      <c r="Q132"/>
      <c r="R132"/>
      <c r="S132"/>
      <c r="T132"/>
      <c r="U132"/>
      <c r="V132"/>
      <c r="W132"/>
      <c r="X132"/>
      <c r="Y132"/>
      <c r="Z132"/>
      <c r="AA132"/>
      <c r="AB132"/>
      <c r="AC132"/>
      <c r="AD132"/>
      <c r="AE132"/>
      <c r="AF132"/>
      <c r="AG132"/>
      <c r="AH132"/>
      <c r="AI132"/>
    </row>
    <row r="133" spans="1:35" s="8" customFormat="1" ht="14.25">
      <c r="A133" s="38" t="s">
        <v>53</v>
      </c>
      <c r="B133" s="39"/>
      <c r="C133"/>
      <c r="D133"/>
      <c r="E133"/>
      <c r="F133"/>
      <c r="G133"/>
      <c r="H133"/>
      <c r="I133"/>
      <c r="J133"/>
      <c r="K133"/>
      <c r="L133"/>
      <c r="M133"/>
      <c r="N133"/>
      <c r="O133"/>
      <c r="P133"/>
      <c r="Q133"/>
      <c r="R133"/>
      <c r="S133"/>
      <c r="T133"/>
      <c r="U133"/>
      <c r="V133"/>
      <c r="W133"/>
      <c r="X133"/>
      <c r="Y133"/>
      <c r="Z133"/>
      <c r="AA133"/>
      <c r="AB133"/>
      <c r="AC133"/>
      <c r="AD133"/>
      <c r="AE133"/>
      <c r="AF133"/>
      <c r="AG133"/>
      <c r="AH133"/>
      <c r="AI133"/>
    </row>
    <row r="134" spans="1:35" s="42" customFormat="1" ht="27">
      <c r="A134" s="40" t="s">
        <v>542</v>
      </c>
      <c r="B134" s="41"/>
      <c r="C134"/>
      <c r="D134"/>
      <c r="E134"/>
      <c r="F134"/>
      <c r="G134"/>
      <c r="H134"/>
      <c r="I134"/>
      <c r="J134"/>
      <c r="K134"/>
      <c r="L134"/>
      <c r="M134"/>
      <c r="N134"/>
      <c r="O134"/>
      <c r="P134"/>
      <c r="Q134"/>
      <c r="R134"/>
      <c r="S134"/>
      <c r="T134"/>
      <c r="U134"/>
      <c r="V134"/>
      <c r="W134"/>
      <c r="X134"/>
      <c r="Y134"/>
      <c r="Z134"/>
      <c r="AA134"/>
      <c r="AB134"/>
      <c r="AC134"/>
      <c r="AD134"/>
      <c r="AE134"/>
      <c r="AF134"/>
      <c r="AG134"/>
      <c r="AH134"/>
      <c r="AI134"/>
    </row>
    <row r="135" spans="1:35" s="8" customFormat="1" ht="12.75">
      <c r="A135" s="18" t="s">
        <v>13</v>
      </c>
      <c r="B135" s="203">
        <v>25000</v>
      </c>
      <c r="C135"/>
      <c r="D135"/>
      <c r="E135"/>
      <c r="F135"/>
      <c r="G135"/>
      <c r="H135"/>
      <c r="I135"/>
      <c r="J135"/>
      <c r="K135"/>
      <c r="L135"/>
      <c r="M135"/>
      <c r="N135"/>
      <c r="O135"/>
      <c r="P135"/>
      <c r="Q135"/>
      <c r="R135"/>
      <c r="S135"/>
      <c r="T135"/>
      <c r="U135"/>
      <c r="V135"/>
      <c r="W135"/>
      <c r="X135"/>
      <c r="Y135"/>
      <c r="Z135"/>
      <c r="AA135"/>
      <c r="AB135"/>
      <c r="AC135"/>
      <c r="AD135"/>
      <c r="AE135"/>
      <c r="AF135"/>
      <c r="AG135"/>
      <c r="AH135"/>
      <c r="AI135"/>
    </row>
    <row r="136" spans="1:35" s="8" customFormat="1" ht="12.75">
      <c r="A136" s="18" t="s">
        <v>14</v>
      </c>
      <c r="B136" s="203">
        <v>4750</v>
      </c>
      <c r="C136"/>
      <c r="D136"/>
      <c r="E136"/>
      <c r="F136"/>
      <c r="G136"/>
      <c r="H136"/>
      <c r="I136"/>
      <c r="J136"/>
      <c r="K136"/>
      <c r="L136"/>
      <c r="M136"/>
      <c r="N136"/>
      <c r="O136"/>
      <c r="P136"/>
      <c r="Q136"/>
      <c r="R136"/>
      <c r="S136"/>
      <c r="T136"/>
      <c r="U136"/>
      <c r="V136"/>
      <c r="W136"/>
      <c r="X136"/>
      <c r="Y136"/>
      <c r="Z136"/>
      <c r="AA136"/>
      <c r="AB136"/>
      <c r="AC136"/>
      <c r="AD136"/>
      <c r="AE136"/>
      <c r="AF136"/>
      <c r="AG136"/>
      <c r="AH136"/>
      <c r="AI136"/>
    </row>
    <row r="137" spans="1:35" s="8" customFormat="1" ht="12.75">
      <c r="A137" s="18" t="s">
        <v>15</v>
      </c>
      <c r="B137" s="203">
        <v>0</v>
      </c>
      <c r="C137"/>
      <c r="D137"/>
      <c r="E137"/>
      <c r="F137"/>
      <c r="G137"/>
      <c r="H137"/>
      <c r="I137"/>
      <c r="J137"/>
      <c r="K137"/>
      <c r="L137"/>
      <c r="M137"/>
      <c r="N137"/>
      <c r="O137"/>
      <c r="P137"/>
      <c r="Q137"/>
      <c r="R137"/>
      <c r="S137"/>
      <c r="T137"/>
      <c r="U137"/>
      <c r="V137"/>
      <c r="W137"/>
      <c r="X137"/>
      <c r="Y137"/>
      <c r="Z137"/>
      <c r="AA137"/>
      <c r="AB137"/>
      <c r="AC137"/>
      <c r="AD137"/>
      <c r="AE137"/>
      <c r="AF137"/>
      <c r="AG137"/>
      <c r="AH137"/>
      <c r="AI137"/>
    </row>
    <row r="138" spans="1:35" s="8" customFormat="1" ht="12.75">
      <c r="A138" s="18" t="s">
        <v>54</v>
      </c>
      <c r="B138" s="203"/>
      <c r="C138"/>
      <c r="D138"/>
      <c r="E138"/>
      <c r="F138"/>
      <c r="G138"/>
      <c r="H138"/>
      <c r="I138"/>
      <c r="J138"/>
      <c r="K138"/>
      <c r="L138"/>
      <c r="M138"/>
      <c r="N138"/>
      <c r="O138"/>
      <c r="P138"/>
      <c r="Q138"/>
      <c r="R138"/>
      <c r="S138"/>
      <c r="T138"/>
      <c r="U138"/>
      <c r="V138"/>
      <c r="W138"/>
      <c r="X138"/>
      <c r="Y138"/>
      <c r="Z138"/>
      <c r="AA138"/>
      <c r="AB138"/>
      <c r="AC138"/>
      <c r="AD138"/>
      <c r="AE138"/>
      <c r="AF138"/>
      <c r="AG138"/>
      <c r="AH138"/>
      <c r="AI138"/>
    </row>
    <row r="139" spans="1:35" s="42" customFormat="1" ht="27">
      <c r="A139" s="40" t="s">
        <v>543</v>
      </c>
      <c r="B139" s="43"/>
      <c r="C139"/>
      <c r="D139"/>
      <c r="E139"/>
      <c r="F139"/>
      <c r="G139"/>
      <c r="H139"/>
      <c r="I139"/>
      <c r="J139"/>
      <c r="K139"/>
      <c r="L139"/>
      <c r="M139"/>
      <c r="N139"/>
      <c r="O139"/>
      <c r="P139"/>
      <c r="Q139"/>
      <c r="R139"/>
      <c r="S139"/>
      <c r="T139"/>
      <c r="U139"/>
      <c r="V139"/>
      <c r="W139"/>
      <c r="X139"/>
      <c r="Y139"/>
      <c r="Z139"/>
      <c r="AA139"/>
      <c r="AB139"/>
      <c r="AC139"/>
      <c r="AD139"/>
      <c r="AE139"/>
      <c r="AF139"/>
      <c r="AG139"/>
      <c r="AH139"/>
      <c r="AI139"/>
    </row>
    <row r="140" spans="1:35" s="8" customFormat="1" ht="12.75">
      <c r="A140" s="25" t="s">
        <v>13</v>
      </c>
      <c r="B140" s="203">
        <v>12500</v>
      </c>
      <c r="C140"/>
      <c r="D140"/>
      <c r="E140"/>
      <c r="F140"/>
      <c r="G140"/>
      <c r="H140"/>
      <c r="I140"/>
      <c r="J140"/>
      <c r="K140"/>
      <c r="L140"/>
      <c r="M140"/>
      <c r="N140"/>
      <c r="O140"/>
      <c r="P140"/>
      <c r="Q140"/>
      <c r="R140"/>
      <c r="S140"/>
      <c r="T140"/>
      <c r="U140"/>
      <c r="V140"/>
      <c r="W140"/>
      <c r="X140"/>
      <c r="Y140"/>
      <c r="Z140"/>
      <c r="AA140"/>
      <c r="AB140"/>
      <c r="AC140"/>
      <c r="AD140"/>
      <c r="AE140"/>
      <c r="AF140"/>
      <c r="AG140"/>
      <c r="AH140"/>
      <c r="AI140"/>
    </row>
    <row r="141" spans="1:35" s="8" customFormat="1" ht="12.75">
      <c r="A141" s="25" t="s">
        <v>14</v>
      </c>
      <c r="B141" s="203">
        <v>2800</v>
      </c>
      <c r="C141"/>
      <c r="D141"/>
      <c r="E141"/>
      <c r="F141"/>
      <c r="G141"/>
      <c r="H141"/>
      <c r="I141"/>
      <c r="J141"/>
      <c r="K141"/>
      <c r="L141"/>
      <c r="M141"/>
      <c r="N141"/>
      <c r="O141"/>
      <c r="P141"/>
      <c r="Q141"/>
      <c r="R141"/>
      <c r="S141"/>
      <c r="T141"/>
      <c r="U141"/>
      <c r="V141"/>
      <c r="W141"/>
      <c r="X141"/>
      <c r="Y141"/>
      <c r="Z141"/>
      <c r="AA141"/>
      <c r="AB141"/>
      <c r="AC141"/>
      <c r="AD141"/>
      <c r="AE141"/>
      <c r="AF141"/>
      <c r="AG141"/>
      <c r="AH141"/>
      <c r="AI141"/>
    </row>
    <row r="142" spans="1:35" s="8" customFormat="1" ht="12.75">
      <c r="A142" s="25" t="s">
        <v>15</v>
      </c>
      <c r="B142" s="203">
        <v>0</v>
      </c>
      <c r="C142"/>
      <c r="D142"/>
      <c r="E142"/>
      <c r="F142"/>
      <c r="G142"/>
      <c r="H142"/>
      <c r="I142"/>
      <c r="J142"/>
      <c r="K142"/>
      <c r="L142"/>
      <c r="M142"/>
      <c r="N142"/>
      <c r="O142"/>
      <c r="P142"/>
      <c r="Q142"/>
      <c r="R142"/>
      <c r="S142"/>
      <c r="T142"/>
      <c r="U142"/>
      <c r="V142"/>
      <c r="W142"/>
      <c r="X142"/>
      <c r="Y142"/>
      <c r="Z142"/>
      <c r="AA142"/>
      <c r="AB142"/>
      <c r="AC142"/>
      <c r="AD142"/>
      <c r="AE142"/>
      <c r="AF142"/>
      <c r="AG142"/>
      <c r="AH142"/>
      <c r="AI142"/>
    </row>
    <row r="143" spans="1:35" s="8" customFormat="1" ht="12.75">
      <c r="A143" s="25" t="s">
        <v>54</v>
      </c>
      <c r="B143" s="203"/>
      <c r="C143"/>
      <c r="D143"/>
      <c r="E143"/>
      <c r="F143"/>
      <c r="G143"/>
      <c r="H143"/>
      <c r="I143"/>
      <c r="J143"/>
      <c r="K143"/>
      <c r="L143"/>
      <c r="M143"/>
      <c r="N143"/>
      <c r="O143"/>
      <c r="P143"/>
      <c r="Q143"/>
      <c r="R143"/>
      <c r="S143"/>
      <c r="T143"/>
      <c r="U143"/>
      <c r="V143"/>
      <c r="W143"/>
      <c r="X143"/>
      <c r="Y143"/>
      <c r="Z143"/>
      <c r="AA143"/>
      <c r="AB143"/>
      <c r="AC143"/>
      <c r="AD143"/>
      <c r="AE143"/>
      <c r="AF143"/>
      <c r="AG143"/>
      <c r="AH143"/>
      <c r="AI143"/>
    </row>
    <row r="144" spans="1:35" s="8" customFormat="1" ht="14.25">
      <c r="A144" s="44" t="s">
        <v>55</v>
      </c>
      <c r="B144" s="204">
        <f>SUM(B135:B143)</f>
        <v>45050</v>
      </c>
      <c r="C144"/>
      <c r="D144"/>
      <c r="E144"/>
      <c r="F144"/>
      <c r="G144"/>
      <c r="H144"/>
      <c r="I144"/>
      <c r="J144"/>
      <c r="K144"/>
      <c r="L144"/>
      <c r="M144"/>
      <c r="N144"/>
      <c r="O144"/>
      <c r="P144"/>
      <c r="Q144"/>
      <c r="R144"/>
      <c r="S144"/>
      <c r="T144"/>
      <c r="U144"/>
      <c r="V144"/>
      <c r="W144"/>
      <c r="X144"/>
      <c r="Y144"/>
      <c r="Z144"/>
      <c r="AA144"/>
      <c r="AB144"/>
      <c r="AC144"/>
      <c r="AD144"/>
      <c r="AE144"/>
      <c r="AF144"/>
      <c r="AG144"/>
      <c r="AH144"/>
      <c r="AI144"/>
    </row>
    <row r="145" spans="1:35" s="42" customFormat="1" ht="27">
      <c r="A145" s="40" t="s">
        <v>56</v>
      </c>
      <c r="B145" s="43"/>
      <c r="C145"/>
      <c r="D145"/>
      <c r="E145"/>
      <c r="F145"/>
      <c r="G145"/>
      <c r="H145"/>
      <c r="I145"/>
      <c r="J145"/>
      <c r="K145"/>
      <c r="L145"/>
      <c r="M145"/>
      <c r="N145"/>
      <c r="O145"/>
      <c r="P145"/>
      <c r="Q145"/>
      <c r="R145"/>
      <c r="S145"/>
      <c r="T145"/>
      <c r="U145"/>
      <c r="V145"/>
      <c r="W145"/>
      <c r="X145"/>
      <c r="Y145"/>
      <c r="Z145"/>
      <c r="AA145"/>
      <c r="AB145"/>
      <c r="AC145"/>
      <c r="AD145"/>
      <c r="AE145"/>
      <c r="AF145"/>
      <c r="AG145"/>
      <c r="AH145"/>
      <c r="AI145"/>
    </row>
    <row r="146" spans="1:35" s="8" customFormat="1" ht="12.75">
      <c r="A146" s="18" t="s">
        <v>13</v>
      </c>
      <c r="B146" s="203">
        <v>1500</v>
      </c>
      <c r="C146"/>
      <c r="D146"/>
      <c r="E146"/>
      <c r="F146"/>
      <c r="G146"/>
      <c r="H146"/>
      <c r="I146"/>
      <c r="J146"/>
      <c r="K146"/>
      <c r="L146"/>
      <c r="M146"/>
      <c r="N146"/>
      <c r="O146"/>
      <c r="P146"/>
      <c r="Q146"/>
      <c r="R146"/>
      <c r="S146"/>
      <c r="T146"/>
      <c r="U146"/>
      <c r="V146"/>
      <c r="W146"/>
      <c r="X146"/>
      <c r="Y146"/>
      <c r="Z146"/>
      <c r="AA146"/>
      <c r="AB146"/>
      <c r="AC146"/>
      <c r="AD146"/>
      <c r="AE146"/>
      <c r="AF146"/>
      <c r="AG146"/>
      <c r="AH146"/>
      <c r="AI146"/>
    </row>
    <row r="147" spans="1:35" s="8" customFormat="1" ht="12.75">
      <c r="A147" s="18" t="s">
        <v>14</v>
      </c>
      <c r="B147" s="203">
        <v>500</v>
      </c>
      <c r="C147"/>
      <c r="D147"/>
      <c r="E147"/>
      <c r="F147"/>
      <c r="G147"/>
      <c r="H147"/>
      <c r="I147"/>
      <c r="J147"/>
      <c r="K147"/>
      <c r="L147"/>
      <c r="M147"/>
      <c r="N147"/>
      <c r="O147"/>
      <c r="P147"/>
      <c r="Q147"/>
      <c r="R147"/>
      <c r="S147"/>
      <c r="T147"/>
      <c r="U147"/>
      <c r="V147"/>
      <c r="W147"/>
      <c r="X147"/>
      <c r="Y147"/>
      <c r="Z147"/>
      <c r="AA147"/>
      <c r="AB147"/>
      <c r="AC147"/>
      <c r="AD147"/>
      <c r="AE147"/>
      <c r="AF147"/>
      <c r="AG147"/>
      <c r="AH147"/>
      <c r="AI147"/>
    </row>
    <row r="148" spans="1:35" s="8" customFormat="1" ht="12.75">
      <c r="A148" s="18" t="s">
        <v>15</v>
      </c>
      <c r="B148" s="203">
        <v>0</v>
      </c>
      <c r="C148"/>
      <c r="D148"/>
      <c r="E148"/>
      <c r="F148"/>
      <c r="G148"/>
      <c r="H148"/>
      <c r="I148"/>
      <c r="J148"/>
      <c r="K148"/>
      <c r="L148"/>
      <c r="M148"/>
      <c r="N148"/>
      <c r="O148"/>
      <c r="P148"/>
      <c r="Q148"/>
      <c r="R148"/>
      <c r="S148"/>
      <c r="T148"/>
      <c r="U148"/>
      <c r="V148"/>
      <c r="W148"/>
      <c r="X148"/>
      <c r="Y148"/>
      <c r="Z148"/>
      <c r="AA148"/>
      <c r="AB148"/>
      <c r="AC148"/>
      <c r="AD148"/>
      <c r="AE148"/>
      <c r="AF148"/>
      <c r="AG148"/>
      <c r="AH148"/>
      <c r="AI148"/>
    </row>
    <row r="149" spans="1:35" s="8" customFormat="1" ht="12.75">
      <c r="A149" s="18" t="s">
        <v>54</v>
      </c>
      <c r="B149" s="203">
        <v>0</v>
      </c>
      <c r="C149"/>
      <c r="D149"/>
      <c r="E149"/>
      <c r="F149"/>
      <c r="G149"/>
      <c r="H149"/>
      <c r="I149"/>
      <c r="J149"/>
      <c r="K149"/>
      <c r="L149"/>
      <c r="M149"/>
      <c r="N149"/>
      <c r="O149"/>
      <c r="P149"/>
      <c r="Q149"/>
      <c r="R149"/>
      <c r="S149"/>
      <c r="T149"/>
      <c r="U149"/>
      <c r="V149"/>
      <c r="W149"/>
      <c r="X149"/>
      <c r="Y149"/>
      <c r="Z149"/>
      <c r="AA149"/>
      <c r="AB149"/>
      <c r="AC149"/>
      <c r="AD149"/>
      <c r="AE149"/>
      <c r="AF149"/>
      <c r="AG149"/>
      <c r="AH149"/>
      <c r="AI149"/>
    </row>
    <row r="150" spans="1:35" s="42" customFormat="1" ht="27">
      <c r="A150" s="40" t="s">
        <v>57</v>
      </c>
      <c r="B150" s="43"/>
      <c r="C150"/>
      <c r="D150"/>
      <c r="E150"/>
      <c r="F150"/>
      <c r="G150"/>
      <c r="H150"/>
      <c r="I150"/>
      <c r="J150"/>
      <c r="K150"/>
      <c r="L150"/>
      <c r="M150"/>
      <c r="N150"/>
      <c r="O150"/>
      <c r="P150"/>
      <c r="Q150"/>
      <c r="R150"/>
      <c r="S150"/>
      <c r="T150"/>
      <c r="U150"/>
      <c r="V150"/>
      <c r="W150"/>
      <c r="X150"/>
      <c r="Y150"/>
      <c r="Z150"/>
      <c r="AA150"/>
      <c r="AB150"/>
      <c r="AC150"/>
      <c r="AD150"/>
      <c r="AE150"/>
      <c r="AF150"/>
      <c r="AG150"/>
      <c r="AH150"/>
      <c r="AI150"/>
    </row>
    <row r="151" spans="1:35" s="8" customFormat="1" ht="12.75">
      <c r="A151" s="25" t="s">
        <v>13</v>
      </c>
      <c r="B151" s="203">
        <v>1250</v>
      </c>
      <c r="C151"/>
      <c r="D151"/>
      <c r="E151"/>
      <c r="F151"/>
      <c r="G151"/>
      <c r="H151"/>
      <c r="I151"/>
      <c r="J151"/>
      <c r="K151"/>
      <c r="L151"/>
      <c r="M151"/>
      <c r="N151"/>
      <c r="O151"/>
      <c r="P151"/>
      <c r="Q151"/>
      <c r="R151"/>
      <c r="S151"/>
      <c r="T151"/>
      <c r="U151"/>
      <c r="V151"/>
      <c r="W151"/>
      <c r="X151"/>
      <c r="Y151"/>
      <c r="Z151"/>
      <c r="AA151"/>
      <c r="AB151"/>
      <c r="AC151"/>
      <c r="AD151"/>
      <c r="AE151"/>
      <c r="AF151"/>
      <c r="AG151"/>
      <c r="AH151"/>
      <c r="AI151"/>
    </row>
    <row r="152" spans="1:35" s="8" customFormat="1" ht="12.75">
      <c r="A152" s="25" t="s">
        <v>14</v>
      </c>
      <c r="B152" s="203">
        <v>350</v>
      </c>
      <c r="C152"/>
      <c r="D152"/>
      <c r="E152"/>
      <c r="F152"/>
      <c r="G152"/>
      <c r="H152"/>
      <c r="I152"/>
      <c r="J152"/>
      <c r="K152"/>
      <c r="L152"/>
      <c r="M152"/>
      <c r="N152"/>
      <c r="O152"/>
      <c r="P152"/>
      <c r="Q152"/>
      <c r="R152"/>
      <c r="S152"/>
      <c r="T152"/>
      <c r="U152"/>
      <c r="V152"/>
      <c r="W152"/>
      <c r="X152"/>
      <c r="Y152"/>
      <c r="Z152"/>
      <c r="AA152"/>
      <c r="AB152"/>
      <c r="AC152"/>
      <c r="AD152"/>
      <c r="AE152"/>
      <c r="AF152"/>
      <c r="AG152"/>
      <c r="AH152"/>
      <c r="AI152"/>
    </row>
    <row r="153" spans="1:35" s="8" customFormat="1" ht="12.75">
      <c r="A153" s="25" t="s">
        <v>15</v>
      </c>
      <c r="B153" s="203">
        <v>0</v>
      </c>
      <c r="C153"/>
      <c r="D153"/>
      <c r="E153"/>
      <c r="F153"/>
      <c r="G153"/>
      <c r="H153"/>
      <c r="I153"/>
      <c r="J153"/>
      <c r="K153"/>
      <c r="L153"/>
      <c r="M153"/>
      <c r="N153"/>
      <c r="O153"/>
      <c r="P153"/>
      <c r="Q153"/>
      <c r="R153"/>
      <c r="S153"/>
      <c r="T153"/>
      <c r="U153"/>
      <c r="V153"/>
      <c r="W153"/>
      <c r="X153"/>
      <c r="Y153"/>
      <c r="Z153"/>
      <c r="AA153"/>
      <c r="AB153"/>
      <c r="AC153"/>
      <c r="AD153"/>
      <c r="AE153"/>
      <c r="AF153"/>
      <c r="AG153"/>
      <c r="AH153"/>
      <c r="AI153"/>
    </row>
    <row r="154" spans="1:35" s="8" customFormat="1" ht="12.75">
      <c r="A154" s="25" t="s">
        <v>54</v>
      </c>
      <c r="B154" s="203">
        <v>0</v>
      </c>
      <c r="C154"/>
      <c r="D154"/>
      <c r="E154"/>
      <c r="F154"/>
      <c r="G154"/>
      <c r="H154"/>
      <c r="I154"/>
      <c r="J154"/>
      <c r="K154"/>
      <c r="L154"/>
      <c r="M154"/>
      <c r="N154"/>
      <c r="O154"/>
      <c r="P154"/>
      <c r="Q154"/>
      <c r="R154"/>
      <c r="S154"/>
      <c r="T154"/>
      <c r="U154"/>
      <c r="V154"/>
      <c r="W154"/>
      <c r="X154"/>
      <c r="Y154"/>
      <c r="Z154"/>
      <c r="AA154"/>
      <c r="AB154"/>
      <c r="AC154"/>
      <c r="AD154"/>
      <c r="AE154"/>
      <c r="AF154"/>
      <c r="AG154"/>
      <c r="AH154"/>
      <c r="AI154"/>
    </row>
    <row r="156" spans="1:35" s="8" customFormat="1" ht="15.75">
      <c r="A156" s="483" t="s">
        <v>401</v>
      </c>
      <c r="B156" s="4"/>
      <c r="C156"/>
      <c r="D156"/>
      <c r="E156"/>
      <c r="F156"/>
      <c r="G156"/>
      <c r="H156"/>
      <c r="I156"/>
      <c r="J156"/>
      <c r="K156"/>
      <c r="L156"/>
      <c r="M156"/>
      <c r="N156"/>
      <c r="O156"/>
      <c r="P156"/>
      <c r="Q156"/>
      <c r="R156"/>
      <c r="S156"/>
      <c r="T156"/>
      <c r="U156"/>
      <c r="V156"/>
      <c r="W156"/>
      <c r="X156"/>
      <c r="Y156"/>
      <c r="Z156"/>
      <c r="AA156"/>
      <c r="AB156"/>
      <c r="AC156"/>
      <c r="AD156"/>
      <c r="AE156"/>
      <c r="AF156"/>
      <c r="AG156"/>
      <c r="AH156"/>
      <c r="AI156"/>
    </row>
    <row r="157" spans="1:35" s="237" customFormat="1" ht="12.75">
      <c r="A157" s="234"/>
      <c r="B157" s="235">
        <f>B29</f>
        <v>2011</v>
      </c>
      <c r="C157" s="182">
        <f>B157+1</f>
        <v>2012</v>
      </c>
      <c r="D157" s="182">
        <f>C157+1</f>
        <v>2013</v>
      </c>
      <c r="E157" s="182">
        <f aca="true" t="shared" si="2" ref="E157:AG157">D157+1</f>
        <v>2014</v>
      </c>
      <c r="F157" s="182">
        <f t="shared" si="2"/>
        <v>2015</v>
      </c>
      <c r="G157" s="182">
        <f t="shared" si="2"/>
        <v>2016</v>
      </c>
      <c r="H157" s="182">
        <f t="shared" si="2"/>
        <v>2017</v>
      </c>
      <c r="I157" s="182">
        <f t="shared" si="2"/>
        <v>2018</v>
      </c>
      <c r="J157" s="182">
        <f t="shared" si="2"/>
        <v>2019</v>
      </c>
      <c r="K157" s="182">
        <f t="shared" si="2"/>
        <v>2020</v>
      </c>
      <c r="L157" s="182">
        <f t="shared" si="2"/>
        <v>2021</v>
      </c>
      <c r="M157" s="182">
        <f t="shared" si="2"/>
        <v>2022</v>
      </c>
      <c r="N157" s="182">
        <f t="shared" si="2"/>
        <v>2023</v>
      </c>
      <c r="O157" s="182">
        <f t="shared" si="2"/>
        <v>2024</v>
      </c>
      <c r="P157" s="182">
        <f t="shared" si="2"/>
        <v>2025</v>
      </c>
      <c r="Q157" s="182">
        <f t="shared" si="2"/>
        <v>2026</v>
      </c>
      <c r="R157" s="182">
        <f t="shared" si="2"/>
        <v>2027</v>
      </c>
      <c r="S157" s="182">
        <f t="shared" si="2"/>
        <v>2028</v>
      </c>
      <c r="T157" s="182">
        <f t="shared" si="2"/>
        <v>2029</v>
      </c>
      <c r="U157" s="182">
        <f t="shared" si="2"/>
        <v>2030</v>
      </c>
      <c r="V157" s="182">
        <f t="shared" si="2"/>
        <v>2031</v>
      </c>
      <c r="W157" s="182">
        <f t="shared" si="2"/>
        <v>2032</v>
      </c>
      <c r="X157" s="182">
        <f t="shared" si="2"/>
        <v>2033</v>
      </c>
      <c r="Y157" s="182">
        <f t="shared" si="2"/>
        <v>2034</v>
      </c>
      <c r="Z157" s="182">
        <f t="shared" si="2"/>
        <v>2035</v>
      </c>
      <c r="AA157" s="182">
        <f t="shared" si="2"/>
        <v>2036</v>
      </c>
      <c r="AB157" s="182">
        <f t="shared" si="2"/>
        <v>2037</v>
      </c>
      <c r="AC157" s="182">
        <f t="shared" si="2"/>
        <v>2038</v>
      </c>
      <c r="AD157" s="182">
        <f t="shared" si="2"/>
        <v>2039</v>
      </c>
      <c r="AE157" s="182">
        <f t="shared" si="2"/>
        <v>2040</v>
      </c>
      <c r="AF157" s="182">
        <f t="shared" si="2"/>
        <v>2041</v>
      </c>
      <c r="AG157" s="182">
        <f t="shared" si="2"/>
        <v>2042</v>
      </c>
      <c r="AH157" s="236"/>
      <c r="AI157" s="236"/>
    </row>
    <row r="158" spans="1:35" s="8" customFormat="1" ht="14.25">
      <c r="A158" s="15" t="s">
        <v>58</v>
      </c>
      <c r="B158" s="225"/>
      <c r="C158"/>
      <c r="D158"/>
      <c r="E158"/>
      <c r="F158"/>
      <c r="G158"/>
      <c r="H158"/>
      <c r="I158"/>
      <c r="J158"/>
      <c r="K158"/>
      <c r="L158"/>
      <c r="M158"/>
      <c r="N158"/>
      <c r="O158"/>
      <c r="P158"/>
      <c r="Q158"/>
      <c r="R158"/>
      <c r="S158"/>
      <c r="T158"/>
      <c r="U158"/>
      <c r="V158"/>
      <c r="W158"/>
      <c r="X158"/>
      <c r="Y158"/>
      <c r="Z158"/>
      <c r="AA158"/>
      <c r="AB158"/>
      <c r="AC158"/>
      <c r="AD158"/>
      <c r="AE158"/>
      <c r="AF158"/>
      <c r="AG158"/>
      <c r="AH158"/>
      <c r="AI158"/>
    </row>
    <row r="159" spans="1:35" s="8" customFormat="1" ht="13.5">
      <c r="A159" s="45" t="s">
        <v>59</v>
      </c>
      <c r="B159" s="22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c r="AI159"/>
    </row>
    <row r="160" spans="1:35" s="8" customFormat="1" ht="12.75">
      <c r="A160" s="18" t="s">
        <v>60</v>
      </c>
      <c r="B160" s="85"/>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c r="AI160"/>
    </row>
    <row r="161" spans="1:35" s="8" customFormat="1" ht="12.75">
      <c r="A161" s="18" t="s">
        <v>61</v>
      </c>
      <c r="B161" s="227">
        <v>5500</v>
      </c>
      <c r="C161" s="233">
        <f aca="true" t="shared" si="3" ref="C161:AG161">$B161*HLOOKUP(C$157,$C$421:$AG$426,4)</f>
        <v>5610</v>
      </c>
      <c r="D161" s="233">
        <f t="shared" si="3"/>
        <v>5720</v>
      </c>
      <c r="E161" s="233">
        <f t="shared" si="3"/>
        <v>5830</v>
      </c>
      <c r="F161" s="233">
        <f t="shared" si="3"/>
        <v>5940</v>
      </c>
      <c r="G161" s="233">
        <f t="shared" si="3"/>
        <v>6050.000000000001</v>
      </c>
      <c r="H161" s="233">
        <f t="shared" si="3"/>
        <v>6160.000000000001</v>
      </c>
      <c r="I161" s="233">
        <f t="shared" si="3"/>
        <v>6269.999999999999</v>
      </c>
      <c r="J161" s="233">
        <f t="shared" si="3"/>
        <v>6380</v>
      </c>
      <c r="K161" s="233">
        <f t="shared" si="3"/>
        <v>6490</v>
      </c>
      <c r="L161" s="233">
        <f t="shared" si="3"/>
        <v>6600</v>
      </c>
      <c r="M161" s="233">
        <f t="shared" si="3"/>
        <v>6710</v>
      </c>
      <c r="N161" s="233">
        <f t="shared" si="3"/>
        <v>6820</v>
      </c>
      <c r="O161" s="233">
        <f t="shared" si="3"/>
        <v>6930</v>
      </c>
      <c r="P161" s="233">
        <f t="shared" si="3"/>
        <v>7095</v>
      </c>
      <c r="Q161" s="233">
        <f t="shared" si="3"/>
        <v>7260</v>
      </c>
      <c r="R161" s="233">
        <f t="shared" si="3"/>
        <v>7425.000000000001</v>
      </c>
      <c r="S161" s="233">
        <f t="shared" si="3"/>
        <v>7589.999999999999</v>
      </c>
      <c r="T161" s="233">
        <f t="shared" si="3"/>
        <v>7755</v>
      </c>
      <c r="U161" s="233">
        <f t="shared" si="3"/>
        <v>7920</v>
      </c>
      <c r="V161" s="233">
        <f t="shared" si="3"/>
        <v>8085</v>
      </c>
      <c r="W161" s="233">
        <f t="shared" si="3"/>
        <v>8250</v>
      </c>
      <c r="X161" s="233">
        <f t="shared" si="3"/>
        <v>8415</v>
      </c>
      <c r="Y161" s="233">
        <f t="shared" si="3"/>
        <v>8580</v>
      </c>
      <c r="Z161" s="233">
        <f t="shared" si="3"/>
        <v>8745</v>
      </c>
      <c r="AA161" s="233">
        <f t="shared" si="3"/>
        <v>8910</v>
      </c>
      <c r="AB161" s="233">
        <f t="shared" si="3"/>
        <v>9075</v>
      </c>
      <c r="AC161" s="233">
        <f t="shared" si="3"/>
        <v>9240</v>
      </c>
      <c r="AD161" s="233">
        <f t="shared" si="3"/>
        <v>9405</v>
      </c>
      <c r="AE161" s="233">
        <f t="shared" si="3"/>
        <v>9570</v>
      </c>
      <c r="AF161" s="233">
        <f t="shared" si="3"/>
        <v>9735</v>
      </c>
      <c r="AG161" s="233">
        <f t="shared" si="3"/>
        <v>9955</v>
      </c>
      <c r="AH161" s="238"/>
      <c r="AI161" s="238"/>
    </row>
    <row r="162" spans="1:35" s="8" customFormat="1" ht="12.75">
      <c r="A162" s="18" t="s">
        <v>62</v>
      </c>
      <c r="B162" s="227">
        <v>3500</v>
      </c>
      <c r="C162" s="233">
        <f>$B162*HLOOKUP(C$157,'Datu ievade'!$C$421:$AG$426,4)</f>
        <v>3570</v>
      </c>
      <c r="D162" s="233">
        <f>$B162*HLOOKUP(D$157,'Datu ievade'!$C$421:$AG$426,4)</f>
        <v>3640</v>
      </c>
      <c r="E162" s="233">
        <f>$B162*HLOOKUP(E$157,'Datu ievade'!$C$421:$AG$426,4)</f>
        <v>3710</v>
      </c>
      <c r="F162" s="233">
        <f>$B162*HLOOKUP(F$157,'Datu ievade'!$C$421:$AG$426,4)</f>
        <v>3780.0000000000005</v>
      </c>
      <c r="G162" s="233">
        <f>$B162*HLOOKUP(G$157,'Datu ievade'!$C$421:$AG$426,4)</f>
        <v>3850.0000000000005</v>
      </c>
      <c r="H162" s="233">
        <f>$B162*HLOOKUP(H$157,'Datu ievade'!$C$421:$AG$426,4)</f>
        <v>3920.0000000000005</v>
      </c>
      <c r="I162" s="233">
        <f>$B162*HLOOKUP(I$157,'Datu ievade'!$C$421:$AG$426,4)</f>
        <v>3989.9999999999995</v>
      </c>
      <c r="J162" s="233">
        <f>$B162*HLOOKUP(J$157,'Datu ievade'!$C$421:$AG$426,4)</f>
        <v>4059.9999999999995</v>
      </c>
      <c r="K162" s="233">
        <f>$B162*HLOOKUP(K$157,'Datu ievade'!$C$421:$AG$426,4)</f>
        <v>4130</v>
      </c>
      <c r="L162" s="233">
        <f>$B162*HLOOKUP(L$157,'Datu ievade'!$C$421:$AG$426,4)</f>
        <v>4200</v>
      </c>
      <c r="M162" s="233">
        <f>$B162*HLOOKUP(M$157,'Datu ievade'!$C$421:$AG$426,4)</f>
        <v>4270</v>
      </c>
      <c r="N162" s="233">
        <f>$B162*HLOOKUP(N$157,'Datu ievade'!$C$421:$AG$426,4)</f>
        <v>4340</v>
      </c>
      <c r="O162" s="233">
        <f>$B162*HLOOKUP(O$157,'Datu ievade'!$C$421:$AG$426,4)</f>
        <v>4410</v>
      </c>
      <c r="P162" s="233">
        <f>$B162*HLOOKUP(P$157,'Datu ievade'!$C$421:$AG$426,4)</f>
        <v>4515</v>
      </c>
      <c r="Q162" s="233">
        <f>$B162*HLOOKUP(Q$157,'Datu ievade'!$C$421:$AG$426,4)</f>
        <v>4620</v>
      </c>
      <c r="R162" s="233">
        <f>$B162*HLOOKUP(R$157,'Datu ievade'!$C$421:$AG$426,4)</f>
        <v>4725</v>
      </c>
      <c r="S162" s="233">
        <f>$B162*HLOOKUP(S$157,'Datu ievade'!$C$421:$AG$426,4)</f>
        <v>4830</v>
      </c>
      <c r="T162" s="233">
        <f>$B162*HLOOKUP(T$157,'Datu ievade'!$C$421:$AG$426,4)</f>
        <v>4935</v>
      </c>
      <c r="U162" s="233">
        <f>$B162*HLOOKUP(U$157,'Datu ievade'!$C$421:$AG$426,4)</f>
        <v>5040</v>
      </c>
      <c r="V162" s="233">
        <f>$B162*HLOOKUP(V$157,'Datu ievade'!$C$421:$AG$426,4)</f>
        <v>5145</v>
      </c>
      <c r="W162" s="233">
        <f>$B162*HLOOKUP(W$157,'Datu ievade'!$C$421:$AG$426,4)</f>
        <v>5250</v>
      </c>
      <c r="X162" s="233">
        <f>$B162*HLOOKUP(X$157,'Datu ievade'!$C$421:$AG$426,4)</f>
        <v>5355</v>
      </c>
      <c r="Y162" s="233">
        <f>$B162*HLOOKUP(Y$157,'Datu ievade'!$C$421:$AG$426,4)</f>
        <v>5460</v>
      </c>
      <c r="Z162" s="233">
        <f>$B162*HLOOKUP(Z$157,'Datu ievade'!$C$421:$AG$426,4)</f>
        <v>5565</v>
      </c>
      <c r="AA162" s="233">
        <f>$B162*HLOOKUP(AA$157,'Datu ievade'!$C$421:$AG$426,4)</f>
        <v>5670</v>
      </c>
      <c r="AB162" s="233">
        <f>$B162*HLOOKUP(AB$157,'Datu ievade'!$C$421:$AG$426,4)</f>
        <v>5775</v>
      </c>
      <c r="AC162" s="233">
        <f>$B162*HLOOKUP(AC$157,'Datu ievade'!$C$421:$AG$426,4)</f>
        <v>5880</v>
      </c>
      <c r="AD162" s="233">
        <f>$B162*HLOOKUP(AD$157,'Datu ievade'!$C$421:$AG$426,4)</f>
        <v>5985</v>
      </c>
      <c r="AE162" s="233">
        <f>$B162*HLOOKUP(AE$157,'Datu ievade'!$C$421:$AG$426,4)</f>
        <v>6090</v>
      </c>
      <c r="AF162" s="233">
        <f>$B162*HLOOKUP(AF$157,'Datu ievade'!$C$421:$AG$426,4)</f>
        <v>6195</v>
      </c>
      <c r="AG162" s="233">
        <f>$B162*HLOOKUP(AG$157,'Datu ievade'!$C$421:$AG$426,4)</f>
        <v>6335</v>
      </c>
      <c r="AH162" s="238"/>
      <c r="AI162" s="238"/>
    </row>
    <row r="163" spans="1:35" s="8" customFormat="1" ht="12.75">
      <c r="A163" s="18" t="s">
        <v>63</v>
      </c>
      <c r="B163" s="227">
        <v>750</v>
      </c>
      <c r="C163" s="233">
        <f>$B163*HLOOKUP(C$157,'Datu ievade'!$C$421:$AG$426,4)</f>
        <v>765</v>
      </c>
      <c r="D163" s="233">
        <f>$B163*HLOOKUP(D$157,'Datu ievade'!$C$421:$AG$426,4)</f>
        <v>780</v>
      </c>
      <c r="E163" s="233">
        <f>$B163*HLOOKUP(E$157,'Datu ievade'!$C$421:$AG$426,4)</f>
        <v>795</v>
      </c>
      <c r="F163" s="233">
        <f>$B163*HLOOKUP(F$157,'Datu ievade'!$C$421:$AG$426,4)</f>
        <v>810</v>
      </c>
      <c r="G163" s="233">
        <f>$B163*HLOOKUP(G$157,'Datu ievade'!$C$421:$AG$426,4)</f>
        <v>825.0000000000001</v>
      </c>
      <c r="H163" s="233">
        <f>$B163*HLOOKUP(H$157,'Datu ievade'!$C$421:$AG$426,4)</f>
        <v>840.0000000000001</v>
      </c>
      <c r="I163" s="233">
        <f>$B163*HLOOKUP(I$157,'Datu ievade'!$C$421:$AG$426,4)</f>
        <v>854.9999999999999</v>
      </c>
      <c r="J163" s="233">
        <f>$B163*HLOOKUP(J$157,'Datu ievade'!$C$421:$AG$426,4)</f>
        <v>869.9999999999999</v>
      </c>
      <c r="K163" s="233">
        <f>$B163*HLOOKUP(K$157,'Datu ievade'!$C$421:$AG$426,4)</f>
        <v>885</v>
      </c>
      <c r="L163" s="233">
        <f>$B163*HLOOKUP(L$157,'Datu ievade'!$C$421:$AG$426,4)</f>
        <v>900</v>
      </c>
      <c r="M163" s="233">
        <f>$B163*HLOOKUP(M$157,'Datu ievade'!$C$421:$AG$426,4)</f>
        <v>915</v>
      </c>
      <c r="N163" s="233">
        <f>$B163*HLOOKUP(N$157,'Datu ievade'!$C$421:$AG$426,4)</f>
        <v>930</v>
      </c>
      <c r="O163" s="233">
        <f>$B163*HLOOKUP(O$157,'Datu ievade'!$C$421:$AG$426,4)</f>
        <v>945</v>
      </c>
      <c r="P163" s="233">
        <f>$B163*HLOOKUP(P$157,'Datu ievade'!$C$421:$AG$426,4)</f>
        <v>967.5</v>
      </c>
      <c r="Q163" s="233">
        <f>$B163*HLOOKUP(Q$157,'Datu ievade'!$C$421:$AG$426,4)</f>
        <v>990</v>
      </c>
      <c r="R163" s="233">
        <f>$B163*HLOOKUP(R$157,'Datu ievade'!$C$421:$AG$426,4)</f>
        <v>1012.5000000000001</v>
      </c>
      <c r="S163" s="233">
        <f>$B163*HLOOKUP(S$157,'Datu ievade'!$C$421:$AG$426,4)</f>
        <v>1035</v>
      </c>
      <c r="T163" s="233">
        <f>$B163*HLOOKUP(T$157,'Datu ievade'!$C$421:$AG$426,4)</f>
        <v>1057.5</v>
      </c>
      <c r="U163" s="233">
        <f>$B163*HLOOKUP(U$157,'Datu ievade'!$C$421:$AG$426,4)</f>
        <v>1080</v>
      </c>
      <c r="V163" s="233">
        <f>$B163*HLOOKUP(V$157,'Datu ievade'!$C$421:$AG$426,4)</f>
        <v>1102.5</v>
      </c>
      <c r="W163" s="233">
        <f>$B163*HLOOKUP(W$157,'Datu ievade'!$C$421:$AG$426,4)</f>
        <v>1125</v>
      </c>
      <c r="X163" s="233">
        <f>$B163*HLOOKUP(X$157,'Datu ievade'!$C$421:$AG$426,4)</f>
        <v>1147.5</v>
      </c>
      <c r="Y163" s="233">
        <f>$B163*HLOOKUP(Y$157,'Datu ievade'!$C$421:$AG$426,4)</f>
        <v>1170</v>
      </c>
      <c r="Z163" s="233">
        <f>$B163*HLOOKUP(Z$157,'Datu ievade'!$C$421:$AG$426,4)</f>
        <v>1192.5</v>
      </c>
      <c r="AA163" s="233">
        <f>$B163*HLOOKUP(AA$157,'Datu ievade'!$C$421:$AG$426,4)</f>
        <v>1215</v>
      </c>
      <c r="AB163" s="233">
        <f>$B163*HLOOKUP(AB$157,'Datu ievade'!$C$421:$AG$426,4)</f>
        <v>1237.5</v>
      </c>
      <c r="AC163" s="233">
        <f>$B163*HLOOKUP(AC$157,'Datu ievade'!$C$421:$AG$426,4)</f>
        <v>1260</v>
      </c>
      <c r="AD163" s="233">
        <f>$B163*HLOOKUP(AD$157,'Datu ievade'!$C$421:$AG$426,4)</f>
        <v>1282.5</v>
      </c>
      <c r="AE163" s="233">
        <f>$B163*HLOOKUP(AE$157,'Datu ievade'!$C$421:$AG$426,4)</f>
        <v>1305</v>
      </c>
      <c r="AF163" s="233">
        <f>$B163*HLOOKUP(AF$157,'Datu ievade'!$C$421:$AG$426,4)</f>
        <v>1327.5</v>
      </c>
      <c r="AG163" s="233">
        <f>$B163*HLOOKUP(AG$157,'Datu ievade'!$C$421:$AG$426,4)</f>
        <v>1357.5</v>
      </c>
      <c r="AH163" s="238"/>
      <c r="AI163" s="238"/>
    </row>
    <row r="164" spans="1:35" s="8" customFormat="1" ht="12.75">
      <c r="A164" s="18" t="s">
        <v>64</v>
      </c>
      <c r="B164" s="227">
        <v>100</v>
      </c>
      <c r="C164" s="233">
        <f>$B164*HLOOKUP(C$157,'Datu ievade'!$C$421:$AG$426,4)</f>
        <v>102</v>
      </c>
      <c r="D164" s="233">
        <f>$B164*HLOOKUP(D$157,'Datu ievade'!$C$421:$AG$426,4)</f>
        <v>104</v>
      </c>
      <c r="E164" s="233">
        <f>$B164*HLOOKUP(E$157,'Datu ievade'!$C$421:$AG$426,4)</f>
        <v>106</v>
      </c>
      <c r="F164" s="233">
        <f>$B164*HLOOKUP(F$157,'Datu ievade'!$C$421:$AG$426,4)</f>
        <v>108</v>
      </c>
      <c r="G164" s="233">
        <f>$B164*HLOOKUP(G$157,'Datu ievade'!$C$421:$AG$426,4)</f>
        <v>110.00000000000001</v>
      </c>
      <c r="H164" s="233">
        <f>$B164*HLOOKUP(H$157,'Datu ievade'!$C$421:$AG$426,4)</f>
        <v>112.00000000000001</v>
      </c>
      <c r="I164" s="233">
        <f>$B164*HLOOKUP(I$157,'Datu ievade'!$C$421:$AG$426,4)</f>
        <v>113.99999999999999</v>
      </c>
      <c r="J164" s="233">
        <f>$B164*HLOOKUP(J$157,'Datu ievade'!$C$421:$AG$426,4)</f>
        <v>115.99999999999999</v>
      </c>
      <c r="K164" s="233">
        <f>$B164*HLOOKUP(K$157,'Datu ievade'!$C$421:$AG$426,4)</f>
        <v>118</v>
      </c>
      <c r="L164" s="233">
        <f>$B164*HLOOKUP(L$157,'Datu ievade'!$C$421:$AG$426,4)</f>
        <v>120</v>
      </c>
      <c r="M164" s="233">
        <f>$B164*HLOOKUP(M$157,'Datu ievade'!$C$421:$AG$426,4)</f>
        <v>122</v>
      </c>
      <c r="N164" s="233">
        <f>$B164*HLOOKUP(N$157,'Datu ievade'!$C$421:$AG$426,4)</f>
        <v>124</v>
      </c>
      <c r="O164" s="233">
        <f>$B164*HLOOKUP(O$157,'Datu ievade'!$C$421:$AG$426,4)</f>
        <v>126</v>
      </c>
      <c r="P164" s="233">
        <f>$B164*HLOOKUP(P$157,'Datu ievade'!$C$421:$AG$426,4)</f>
        <v>129</v>
      </c>
      <c r="Q164" s="233">
        <f>$B164*HLOOKUP(Q$157,'Datu ievade'!$C$421:$AG$426,4)</f>
        <v>132</v>
      </c>
      <c r="R164" s="233">
        <f>$B164*HLOOKUP(R$157,'Datu ievade'!$C$421:$AG$426,4)</f>
        <v>135</v>
      </c>
      <c r="S164" s="233">
        <f>$B164*HLOOKUP(S$157,'Datu ievade'!$C$421:$AG$426,4)</f>
        <v>138</v>
      </c>
      <c r="T164" s="233">
        <f>$B164*HLOOKUP(T$157,'Datu ievade'!$C$421:$AG$426,4)</f>
        <v>141</v>
      </c>
      <c r="U164" s="233">
        <f>$B164*HLOOKUP(U$157,'Datu ievade'!$C$421:$AG$426,4)</f>
        <v>144</v>
      </c>
      <c r="V164" s="233">
        <f>$B164*HLOOKUP(V$157,'Datu ievade'!$C$421:$AG$426,4)</f>
        <v>147</v>
      </c>
      <c r="W164" s="233">
        <f>$B164*HLOOKUP(W$157,'Datu ievade'!$C$421:$AG$426,4)</f>
        <v>150</v>
      </c>
      <c r="X164" s="233">
        <f>$B164*HLOOKUP(X$157,'Datu ievade'!$C$421:$AG$426,4)</f>
        <v>153</v>
      </c>
      <c r="Y164" s="233">
        <f>$B164*HLOOKUP(Y$157,'Datu ievade'!$C$421:$AG$426,4)</f>
        <v>156</v>
      </c>
      <c r="Z164" s="233">
        <f>$B164*HLOOKUP(Z$157,'Datu ievade'!$C$421:$AG$426,4)</f>
        <v>159</v>
      </c>
      <c r="AA164" s="233">
        <f>$B164*HLOOKUP(AA$157,'Datu ievade'!$C$421:$AG$426,4)</f>
        <v>162</v>
      </c>
      <c r="AB164" s="233">
        <f>$B164*HLOOKUP(AB$157,'Datu ievade'!$C$421:$AG$426,4)</f>
        <v>165</v>
      </c>
      <c r="AC164" s="233">
        <f>$B164*HLOOKUP(AC$157,'Datu ievade'!$C$421:$AG$426,4)</f>
        <v>168</v>
      </c>
      <c r="AD164" s="233">
        <f>$B164*HLOOKUP(AD$157,'Datu ievade'!$C$421:$AG$426,4)</f>
        <v>171</v>
      </c>
      <c r="AE164" s="233">
        <f>$B164*HLOOKUP(AE$157,'Datu ievade'!$C$421:$AG$426,4)</f>
        <v>174</v>
      </c>
      <c r="AF164" s="233">
        <f>$B164*HLOOKUP(AF$157,'Datu ievade'!$C$421:$AG$426,4)</f>
        <v>177</v>
      </c>
      <c r="AG164" s="233">
        <f>$B164*HLOOKUP(AG$157,'Datu ievade'!$C$421:$AG$426,4)</f>
        <v>181</v>
      </c>
      <c r="AH164" s="238"/>
      <c r="AI164" s="238"/>
    </row>
    <row r="165" spans="1:35" s="8" customFormat="1" ht="12.75">
      <c r="A165" s="18" t="s">
        <v>65</v>
      </c>
      <c r="B165" s="227">
        <v>0</v>
      </c>
      <c r="C165" s="233">
        <f>$B165*HLOOKUP(C$157,'Datu ievade'!$C$421:$AG$426,4)</f>
        <v>0</v>
      </c>
      <c r="D165" s="233">
        <f>$B165*HLOOKUP(D$157,'Datu ievade'!$C$421:$AG$426,4)</f>
        <v>0</v>
      </c>
      <c r="E165" s="233">
        <f>$B165*HLOOKUP(E$157,'Datu ievade'!$C$421:$AG$426,4)</f>
        <v>0</v>
      </c>
      <c r="F165" s="233">
        <f>$B165*HLOOKUP(F$157,'Datu ievade'!$C$421:$AG$426,4)</f>
        <v>0</v>
      </c>
      <c r="G165" s="233">
        <f>$B165*HLOOKUP(G$157,'Datu ievade'!$C$421:$AG$426,4)</f>
        <v>0</v>
      </c>
      <c r="H165" s="233">
        <f>$B165*HLOOKUP(H$157,'Datu ievade'!$C$421:$AG$426,4)</f>
        <v>0</v>
      </c>
      <c r="I165" s="233">
        <f>$B165*HLOOKUP(I$157,'Datu ievade'!$C$421:$AG$426,4)</f>
        <v>0</v>
      </c>
      <c r="J165" s="233">
        <f>$B165*HLOOKUP(J$157,'Datu ievade'!$C$421:$AG$426,4)</f>
        <v>0</v>
      </c>
      <c r="K165" s="233">
        <f>$B165*HLOOKUP(K$157,'Datu ievade'!$C$421:$AG$426,4)</f>
        <v>0</v>
      </c>
      <c r="L165" s="233">
        <f>$B165*HLOOKUP(L$157,'Datu ievade'!$C$421:$AG$426,4)</f>
        <v>0</v>
      </c>
      <c r="M165" s="233">
        <f>$B165*HLOOKUP(M$157,'Datu ievade'!$C$421:$AG$426,4)</f>
        <v>0</v>
      </c>
      <c r="N165" s="233">
        <f>$B165*HLOOKUP(N$157,'Datu ievade'!$C$421:$AG$426,4)</f>
        <v>0</v>
      </c>
      <c r="O165" s="233">
        <f>$B165*HLOOKUP(O$157,'Datu ievade'!$C$421:$AG$426,4)</f>
        <v>0</v>
      </c>
      <c r="P165" s="233">
        <f>$B165*HLOOKUP(P$157,'Datu ievade'!$C$421:$AG$426,4)</f>
        <v>0</v>
      </c>
      <c r="Q165" s="233">
        <f>$B165*HLOOKUP(Q$157,'Datu ievade'!$C$421:$AG$426,4)</f>
        <v>0</v>
      </c>
      <c r="R165" s="233">
        <f>$B165*HLOOKUP(R$157,'Datu ievade'!$C$421:$AG$426,4)</f>
        <v>0</v>
      </c>
      <c r="S165" s="233">
        <f>$B165*HLOOKUP(S$157,'Datu ievade'!$C$421:$AG$426,4)</f>
        <v>0</v>
      </c>
      <c r="T165" s="233">
        <f>$B165*HLOOKUP(T$157,'Datu ievade'!$C$421:$AG$426,4)</f>
        <v>0</v>
      </c>
      <c r="U165" s="233">
        <f>$B165*HLOOKUP(U$157,'Datu ievade'!$C$421:$AG$426,4)</f>
        <v>0</v>
      </c>
      <c r="V165" s="233">
        <f>$B165*HLOOKUP(V$157,'Datu ievade'!$C$421:$AG$426,4)</f>
        <v>0</v>
      </c>
      <c r="W165" s="233">
        <f>$B165*HLOOKUP(W$157,'Datu ievade'!$C$421:$AG$426,4)</f>
        <v>0</v>
      </c>
      <c r="X165" s="233">
        <f>$B165*HLOOKUP(X$157,'Datu ievade'!$C$421:$AG$426,4)</f>
        <v>0</v>
      </c>
      <c r="Y165" s="233">
        <f>$B165*HLOOKUP(Y$157,'Datu ievade'!$C$421:$AG$426,4)</f>
        <v>0</v>
      </c>
      <c r="Z165" s="233">
        <f>$B165*HLOOKUP(Z$157,'Datu ievade'!$C$421:$AG$426,4)</f>
        <v>0</v>
      </c>
      <c r="AA165" s="233">
        <f>$B165*HLOOKUP(AA$157,'Datu ievade'!$C$421:$AG$426,4)</f>
        <v>0</v>
      </c>
      <c r="AB165" s="233">
        <f>$B165*HLOOKUP(AB$157,'Datu ievade'!$C$421:$AG$426,4)</f>
        <v>0</v>
      </c>
      <c r="AC165" s="233">
        <f>$B165*HLOOKUP(AC$157,'Datu ievade'!$C$421:$AG$426,4)</f>
        <v>0</v>
      </c>
      <c r="AD165" s="233">
        <f>$B165*HLOOKUP(AD$157,'Datu ievade'!$C$421:$AG$426,4)</f>
        <v>0</v>
      </c>
      <c r="AE165" s="233">
        <f>$B165*HLOOKUP(AE$157,'Datu ievade'!$C$421:$AG$426,4)</f>
        <v>0</v>
      </c>
      <c r="AF165" s="233">
        <f>$B165*HLOOKUP(AF$157,'Datu ievade'!$C$421:$AG$426,4)</f>
        <v>0</v>
      </c>
      <c r="AG165" s="233">
        <f>$B165*HLOOKUP(AG$157,'Datu ievade'!$C$421:$AG$426,4)</f>
        <v>0</v>
      </c>
      <c r="AH165" s="238"/>
      <c r="AI165" s="238"/>
    </row>
    <row r="166" spans="1:35" s="8" customFormat="1" ht="12.75">
      <c r="A166" s="18" t="s">
        <v>66</v>
      </c>
      <c r="B166" s="22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c r="AI166"/>
    </row>
    <row r="167" spans="1:35" s="8" customFormat="1" ht="12.75">
      <c r="A167" s="18" t="s">
        <v>67</v>
      </c>
      <c r="B167" s="227">
        <v>2750</v>
      </c>
      <c r="C167" s="48">
        <f>$B167*HLOOKUP(C$157,'Datu ievade'!$C$421:$AG$426,6)</f>
        <v>2832.5</v>
      </c>
      <c r="D167" s="48">
        <f>$B167*HLOOKUP(D$157,'Datu ievade'!$C$421:$AG$426,6)</f>
        <v>2942.5</v>
      </c>
      <c r="E167" s="48">
        <f>$B167*HLOOKUP(E$157,'Datu ievade'!$C$421:$AG$426,6)</f>
        <v>3052.5000000000005</v>
      </c>
      <c r="F167" s="48">
        <f>$B167*HLOOKUP(F$157,'Datu ievade'!$C$421:$AG$426,6)</f>
        <v>3162.4999999999995</v>
      </c>
      <c r="G167" s="48">
        <f>$B167*HLOOKUP(G$157,'Datu ievade'!$C$421:$AG$426,6)</f>
        <v>3245</v>
      </c>
      <c r="H167" s="48">
        <f>$B167*HLOOKUP(H$157,'Datu ievade'!$C$421:$AG$426,6)</f>
        <v>3327.5</v>
      </c>
      <c r="I167" s="48">
        <f>$B167*HLOOKUP(I$157,'Datu ievade'!$C$421:$AG$426,6)</f>
        <v>3410</v>
      </c>
      <c r="J167" s="48">
        <f>$B167*HLOOKUP(J$157,'Datu ievade'!$C$421:$AG$426,6)</f>
        <v>3492.5</v>
      </c>
      <c r="K167" s="48">
        <f>$B167*HLOOKUP(K$157,'Datu ievade'!$C$421:$AG$426,6)</f>
        <v>3575</v>
      </c>
      <c r="L167" s="48">
        <f>$B167*HLOOKUP(L$157,'Datu ievade'!$C$421:$AG$426,6)</f>
        <v>3657.5</v>
      </c>
      <c r="M167" s="48">
        <f>$B167*HLOOKUP(M$157,'Datu ievade'!$C$421:$AG$426,6)</f>
        <v>3740.0000000000005</v>
      </c>
      <c r="N167" s="48">
        <f>$B167*HLOOKUP(N$157,'Datu ievade'!$C$421:$AG$426,6)</f>
        <v>3822.4999999999995</v>
      </c>
      <c r="O167" s="48">
        <f>$B167*HLOOKUP(O$157,'Datu ievade'!$C$421:$AG$426,6)</f>
        <v>3905</v>
      </c>
      <c r="P167" s="48">
        <f>$B167*HLOOKUP(P$157,'Datu ievade'!$C$421:$AG$426,6)</f>
        <v>3987.5</v>
      </c>
      <c r="Q167" s="48">
        <f>$B167*HLOOKUP(Q$157,'Datu ievade'!$C$421:$AG$426,6)</f>
        <v>4070</v>
      </c>
      <c r="R167" s="48">
        <f>$B167*HLOOKUP(R$157,'Datu ievade'!$C$421:$AG$426,6)</f>
        <v>4152.5</v>
      </c>
      <c r="S167" s="48">
        <f>$B167*HLOOKUP(S$157,'Datu ievade'!$C$421:$AG$426,6)</f>
        <v>4235</v>
      </c>
      <c r="T167" s="48">
        <f>$B167*HLOOKUP(T$157,'Datu ievade'!$C$421:$AG$426,6)</f>
        <v>4317.5</v>
      </c>
      <c r="U167" s="48">
        <f>$B167*HLOOKUP(U$157,'Datu ievade'!$C$421:$AG$426,6)</f>
        <v>4400</v>
      </c>
      <c r="V167" s="48">
        <f>$B167*HLOOKUP(V$157,'Datu ievade'!$C$421:$AG$426,6)</f>
        <v>4510</v>
      </c>
      <c r="W167" s="48">
        <f>$B167*HLOOKUP(W$157,'Datu ievade'!$C$421:$AG$426,6)</f>
        <v>4620</v>
      </c>
      <c r="X167" s="48">
        <f>$B167*HLOOKUP(X$157,'Datu ievade'!$C$421:$AG$426,6)</f>
        <v>4730</v>
      </c>
      <c r="Y167" s="48">
        <f>$B167*HLOOKUP(Y$157,'Datu ievade'!$C$421:$AG$426,6)</f>
        <v>4840</v>
      </c>
      <c r="Z167" s="48">
        <f>$B167*HLOOKUP(Z$157,'Datu ievade'!$C$421:$AG$426,6)</f>
        <v>4950</v>
      </c>
      <c r="AA167" s="48">
        <f>$B167*HLOOKUP(AA$157,'Datu ievade'!$C$421:$AG$426,6)</f>
        <v>5060</v>
      </c>
      <c r="AB167" s="48">
        <f>$B167*HLOOKUP(AB$157,'Datu ievade'!$C$421:$AG$426,6)</f>
        <v>5170</v>
      </c>
      <c r="AC167" s="48">
        <f>$B167*HLOOKUP(AC$157,'Datu ievade'!$C$421:$AG$426,6)</f>
        <v>5280</v>
      </c>
      <c r="AD167" s="48">
        <f>$B167*HLOOKUP(AD$157,'Datu ievade'!$C$421:$AG$426,6)</f>
        <v>5390</v>
      </c>
      <c r="AE167" s="48">
        <f>$B167*HLOOKUP(AE$157,'Datu ievade'!$C$421:$AG$426,6)</f>
        <v>5500</v>
      </c>
      <c r="AF167" s="48">
        <f>$B167*HLOOKUP(AF$157,'Datu ievade'!$C$421:$AG$426,6)</f>
        <v>5610</v>
      </c>
      <c r="AG167" s="48">
        <f>$B167*HLOOKUP(AG$157,'Datu ievade'!$C$421:$AG$426,6)</f>
        <v>5720</v>
      </c>
      <c r="AH167"/>
      <c r="AI167"/>
    </row>
    <row r="168" spans="1:35" s="8" customFormat="1" ht="12.75">
      <c r="A168" s="18" t="s">
        <v>68</v>
      </c>
      <c r="B168" s="229">
        <f>B167*0.2409</f>
        <v>662.475</v>
      </c>
      <c r="C168" s="48">
        <f aca="true" t="shared" si="4" ref="C168:AG168">C167*0.2409</f>
        <v>682.34925</v>
      </c>
      <c r="D168" s="48">
        <f t="shared" si="4"/>
        <v>708.84825</v>
      </c>
      <c r="E168" s="48">
        <f t="shared" si="4"/>
        <v>735.3472500000001</v>
      </c>
      <c r="F168" s="48">
        <f t="shared" si="4"/>
        <v>761.8462499999999</v>
      </c>
      <c r="G168" s="48">
        <f t="shared" si="4"/>
        <v>781.7205</v>
      </c>
      <c r="H168" s="48">
        <f t="shared" si="4"/>
        <v>801.59475</v>
      </c>
      <c r="I168" s="48">
        <f t="shared" si="4"/>
        <v>821.469</v>
      </c>
      <c r="J168" s="48">
        <f t="shared" si="4"/>
        <v>841.34325</v>
      </c>
      <c r="K168" s="48">
        <f t="shared" si="4"/>
        <v>861.2175</v>
      </c>
      <c r="L168" s="48">
        <f t="shared" si="4"/>
        <v>881.09175</v>
      </c>
      <c r="M168" s="48">
        <f t="shared" si="4"/>
        <v>900.9660000000001</v>
      </c>
      <c r="N168" s="48">
        <f t="shared" si="4"/>
        <v>920.8402499999999</v>
      </c>
      <c r="O168" s="48">
        <f t="shared" si="4"/>
        <v>940.7145</v>
      </c>
      <c r="P168" s="48">
        <f t="shared" si="4"/>
        <v>960.58875</v>
      </c>
      <c r="Q168" s="48">
        <f t="shared" si="4"/>
        <v>980.463</v>
      </c>
      <c r="R168" s="48">
        <f t="shared" si="4"/>
        <v>1000.33725</v>
      </c>
      <c r="S168" s="48">
        <f t="shared" si="4"/>
        <v>1020.2115</v>
      </c>
      <c r="T168" s="48">
        <f t="shared" si="4"/>
        <v>1040.08575</v>
      </c>
      <c r="U168" s="48">
        <f t="shared" si="4"/>
        <v>1059.96</v>
      </c>
      <c r="V168" s="48">
        <f t="shared" si="4"/>
        <v>1086.459</v>
      </c>
      <c r="W168" s="48">
        <f t="shared" si="4"/>
        <v>1112.958</v>
      </c>
      <c r="X168" s="48">
        <f t="shared" si="4"/>
        <v>1139.457</v>
      </c>
      <c r="Y168" s="48">
        <f t="shared" si="4"/>
        <v>1165.956</v>
      </c>
      <c r="Z168" s="48">
        <f t="shared" si="4"/>
        <v>1192.455</v>
      </c>
      <c r="AA168" s="48">
        <f t="shared" si="4"/>
        <v>1218.954</v>
      </c>
      <c r="AB168" s="48">
        <f t="shared" si="4"/>
        <v>1245.453</v>
      </c>
      <c r="AC168" s="48">
        <f t="shared" si="4"/>
        <v>1271.952</v>
      </c>
      <c r="AD168" s="48">
        <f t="shared" si="4"/>
        <v>1298.451</v>
      </c>
      <c r="AE168" s="48">
        <f t="shared" si="4"/>
        <v>1324.95</v>
      </c>
      <c r="AF168" s="48">
        <f t="shared" si="4"/>
        <v>1351.449</v>
      </c>
      <c r="AG168" s="48">
        <f t="shared" si="4"/>
        <v>1377.948</v>
      </c>
      <c r="AH168"/>
      <c r="AI168"/>
    </row>
    <row r="169" spans="1:35" s="8" customFormat="1" ht="12.75">
      <c r="A169" s="18" t="s">
        <v>69</v>
      </c>
      <c r="B169" s="227">
        <v>0</v>
      </c>
      <c r="C169" s="48">
        <f>$B169*HLOOKUP(C$157,'Datu ievade'!$C$421:$AG$426,4)</f>
        <v>0</v>
      </c>
      <c r="D169" s="48">
        <f>$B169*HLOOKUP(D$157,'Datu ievade'!$C$421:$AG$426,4)</f>
        <v>0</v>
      </c>
      <c r="E169" s="48">
        <f>$B169*HLOOKUP(E$157,'Datu ievade'!$C$421:$AG$426,4)</f>
        <v>0</v>
      </c>
      <c r="F169" s="48">
        <f>$B169*HLOOKUP(F$157,'Datu ievade'!$C$421:$AG$426,4)</f>
        <v>0</v>
      </c>
      <c r="G169" s="48">
        <f>$B169*HLOOKUP(G$157,'Datu ievade'!$C$421:$AG$426,4)</f>
        <v>0</v>
      </c>
      <c r="H169" s="48">
        <f>$B169*HLOOKUP(H$157,'Datu ievade'!$C$421:$AG$426,4)</f>
        <v>0</v>
      </c>
      <c r="I169" s="48">
        <f>$B169*HLOOKUP(I$157,'Datu ievade'!$C$421:$AG$426,4)</f>
        <v>0</v>
      </c>
      <c r="J169" s="48">
        <f>$B169*HLOOKUP(J$157,'Datu ievade'!$C$421:$AG$426,4)</f>
        <v>0</v>
      </c>
      <c r="K169" s="48">
        <f>$B169*HLOOKUP(K$157,'Datu ievade'!$C$421:$AG$426,4)</f>
        <v>0</v>
      </c>
      <c r="L169" s="48">
        <f>$B169*HLOOKUP(L$157,'Datu ievade'!$C$421:$AG$426,4)</f>
        <v>0</v>
      </c>
      <c r="M169" s="48">
        <f>$B169*HLOOKUP(M$157,'Datu ievade'!$C$421:$AG$426,4)</f>
        <v>0</v>
      </c>
      <c r="N169" s="48">
        <f>$B169*HLOOKUP(N$157,'Datu ievade'!$C$421:$AG$426,4)</f>
        <v>0</v>
      </c>
      <c r="O169" s="48">
        <f>$B169*HLOOKUP(O$157,'Datu ievade'!$C$421:$AG$426,4)</f>
        <v>0</v>
      </c>
      <c r="P169" s="48">
        <f>$B169*HLOOKUP(P$157,'Datu ievade'!$C$421:$AG$426,4)</f>
        <v>0</v>
      </c>
      <c r="Q169" s="48">
        <f>$B169*HLOOKUP(Q$157,'Datu ievade'!$C$421:$AG$426,4)</f>
        <v>0</v>
      </c>
      <c r="R169" s="48">
        <f>$B169*HLOOKUP(R$157,'Datu ievade'!$C$421:$AG$426,4)</f>
        <v>0</v>
      </c>
      <c r="S169" s="48">
        <f>$B169*HLOOKUP(S$157,'Datu ievade'!$C$421:$AG$426,4)</f>
        <v>0</v>
      </c>
      <c r="T169" s="48">
        <f>$B169*HLOOKUP(T$157,'Datu ievade'!$C$421:$AG$426,4)</f>
        <v>0</v>
      </c>
      <c r="U169" s="48">
        <f>$B169*HLOOKUP(U$157,'Datu ievade'!$C$421:$AG$426,4)</f>
        <v>0</v>
      </c>
      <c r="V169" s="48">
        <f>$B169*HLOOKUP(V$157,'Datu ievade'!$C$421:$AG$426,4)</f>
        <v>0</v>
      </c>
      <c r="W169" s="48">
        <f>$B169*HLOOKUP(W$157,'Datu ievade'!$C$421:$AG$426,4)</f>
        <v>0</v>
      </c>
      <c r="X169" s="48">
        <f>$B169*HLOOKUP(X$157,'Datu ievade'!$C$421:$AG$426,4)</f>
        <v>0</v>
      </c>
      <c r="Y169" s="48">
        <f>$B169*HLOOKUP(Y$157,'Datu ievade'!$C$421:$AG$426,4)</f>
        <v>0</v>
      </c>
      <c r="Z169" s="48">
        <f>$B169*HLOOKUP(Z$157,'Datu ievade'!$C$421:$AG$426,4)</f>
        <v>0</v>
      </c>
      <c r="AA169" s="48">
        <f>$B169*HLOOKUP(AA$157,'Datu ievade'!$C$421:$AG$426,4)</f>
        <v>0</v>
      </c>
      <c r="AB169" s="48">
        <f>$B169*HLOOKUP(AB$157,'Datu ievade'!$C$421:$AG$426,4)</f>
        <v>0</v>
      </c>
      <c r="AC169" s="48">
        <f>$B169*HLOOKUP(AC$157,'Datu ievade'!$C$421:$AG$426,4)</f>
        <v>0</v>
      </c>
      <c r="AD169" s="48">
        <f>$B169*HLOOKUP(AD$157,'Datu ievade'!$C$421:$AG$426,4)</f>
        <v>0</v>
      </c>
      <c r="AE169" s="48">
        <f>$B169*HLOOKUP(AE$157,'Datu ievade'!$C$421:$AG$426,4)</f>
        <v>0</v>
      </c>
      <c r="AF169" s="48">
        <f>$B169*HLOOKUP(AF$157,'Datu ievade'!$C$421:$AG$426,4)</f>
        <v>0</v>
      </c>
      <c r="AG169" s="48">
        <f>$B169*HLOOKUP(AG$157,'Datu ievade'!$C$421:$AG$426,4)</f>
        <v>0</v>
      </c>
      <c r="AH169"/>
      <c r="AI169"/>
    </row>
    <row r="170" spans="1:35" s="8" customFormat="1" ht="13.5">
      <c r="A170" s="49" t="s">
        <v>70</v>
      </c>
      <c r="B170" s="230"/>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c r="AI170"/>
    </row>
    <row r="171" spans="1:35" s="8" customFormat="1" ht="12.75">
      <c r="A171" s="18" t="s">
        <v>60</v>
      </c>
      <c r="B171" s="22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c r="AI171"/>
    </row>
    <row r="172" spans="1:35" s="8" customFormat="1" ht="12.75">
      <c r="A172" s="18" t="s">
        <v>61</v>
      </c>
      <c r="B172" s="227">
        <v>5570</v>
      </c>
      <c r="C172" s="48">
        <f>$B172*HLOOKUP(C$157,'Datu ievade'!$C$421:$AG$426,4)</f>
        <v>5681.400000000001</v>
      </c>
      <c r="D172" s="48">
        <f>$B172*HLOOKUP(D$157,'Datu ievade'!$C$421:$AG$426,4)</f>
        <v>5792.8</v>
      </c>
      <c r="E172" s="48">
        <f>$B172*HLOOKUP(E$157,'Datu ievade'!$C$421:$AG$426,4)</f>
        <v>5904.200000000001</v>
      </c>
      <c r="F172" s="48">
        <f>$B172*HLOOKUP(F$157,'Datu ievade'!$C$421:$AG$426,4)</f>
        <v>6015.6</v>
      </c>
      <c r="G172" s="48">
        <f>$B172*HLOOKUP(G$157,'Datu ievade'!$C$421:$AG$426,4)</f>
        <v>6127.000000000001</v>
      </c>
      <c r="H172" s="48">
        <f>$B172*HLOOKUP(H$157,'Datu ievade'!$C$421:$AG$426,4)</f>
        <v>6238.400000000001</v>
      </c>
      <c r="I172" s="48">
        <f>$B172*HLOOKUP(I$157,'Datu ievade'!$C$421:$AG$426,4)</f>
        <v>6349.799999999999</v>
      </c>
      <c r="J172" s="48">
        <f>$B172*HLOOKUP(J$157,'Datu ievade'!$C$421:$AG$426,4)</f>
        <v>6461.2</v>
      </c>
      <c r="K172" s="48">
        <f>$B172*HLOOKUP(K$157,'Datu ievade'!$C$421:$AG$426,4)</f>
        <v>6572.599999999999</v>
      </c>
      <c r="L172" s="48">
        <f>$B172*HLOOKUP(L$157,'Datu ievade'!$C$421:$AG$426,4)</f>
        <v>6684</v>
      </c>
      <c r="M172" s="48">
        <f>$B172*HLOOKUP(M$157,'Datu ievade'!$C$421:$AG$426,4)</f>
        <v>6795.4</v>
      </c>
      <c r="N172" s="48">
        <f>$B172*HLOOKUP(N$157,'Datu ievade'!$C$421:$AG$426,4)</f>
        <v>6906.8</v>
      </c>
      <c r="O172" s="48">
        <f>$B172*HLOOKUP(O$157,'Datu ievade'!$C$421:$AG$426,4)</f>
        <v>7018.2</v>
      </c>
      <c r="P172" s="48">
        <f>$B172*HLOOKUP(P$157,'Datu ievade'!$C$421:$AG$426,4)</f>
        <v>7185.3</v>
      </c>
      <c r="Q172" s="48">
        <f>$B172*HLOOKUP(Q$157,'Datu ievade'!$C$421:$AG$426,4)</f>
        <v>7352.400000000001</v>
      </c>
      <c r="R172" s="48">
        <f>$B172*HLOOKUP(R$157,'Datu ievade'!$C$421:$AG$426,4)</f>
        <v>7519.500000000001</v>
      </c>
      <c r="S172" s="48">
        <f>$B172*HLOOKUP(S$157,'Datu ievade'!$C$421:$AG$426,4)</f>
        <v>7686.599999999999</v>
      </c>
      <c r="T172" s="48">
        <f>$B172*HLOOKUP(T$157,'Datu ievade'!$C$421:$AG$426,4)</f>
        <v>7853.7</v>
      </c>
      <c r="U172" s="48">
        <f>$B172*HLOOKUP(U$157,'Datu ievade'!$C$421:$AG$426,4)</f>
        <v>8020.799999999999</v>
      </c>
      <c r="V172" s="48">
        <f>$B172*HLOOKUP(V$157,'Datu ievade'!$C$421:$AG$426,4)</f>
        <v>8187.9</v>
      </c>
      <c r="W172" s="48">
        <f>$B172*HLOOKUP(W$157,'Datu ievade'!$C$421:$AG$426,4)</f>
        <v>8355</v>
      </c>
      <c r="X172" s="48">
        <f>$B172*HLOOKUP(X$157,'Datu ievade'!$C$421:$AG$426,4)</f>
        <v>8522.1</v>
      </c>
      <c r="Y172" s="48">
        <f>$B172*HLOOKUP(Y$157,'Datu ievade'!$C$421:$AG$426,4)</f>
        <v>8689.2</v>
      </c>
      <c r="Z172" s="48">
        <f>$B172*HLOOKUP(Z$157,'Datu ievade'!$C$421:$AG$426,4)</f>
        <v>8856.300000000001</v>
      </c>
      <c r="AA172" s="48">
        <f>$B172*HLOOKUP(AA$157,'Datu ievade'!$C$421:$AG$426,4)</f>
        <v>9023.400000000001</v>
      </c>
      <c r="AB172" s="48">
        <f>$B172*HLOOKUP(AB$157,'Datu ievade'!$C$421:$AG$426,4)</f>
        <v>9190.5</v>
      </c>
      <c r="AC172" s="48">
        <f>$B172*HLOOKUP(AC$157,'Datu ievade'!$C$421:$AG$426,4)</f>
        <v>9357.6</v>
      </c>
      <c r="AD172" s="48">
        <f>$B172*HLOOKUP(AD$157,'Datu ievade'!$C$421:$AG$426,4)</f>
        <v>9524.699999999999</v>
      </c>
      <c r="AE172" s="48">
        <f>$B172*HLOOKUP(AE$157,'Datu ievade'!$C$421:$AG$426,4)</f>
        <v>9691.8</v>
      </c>
      <c r="AF172" s="48">
        <f>$B172*HLOOKUP(AF$157,'Datu ievade'!$C$421:$AG$426,4)</f>
        <v>9858.9</v>
      </c>
      <c r="AG172" s="48">
        <f>$B172*HLOOKUP(AG$157,'Datu ievade'!$C$421:$AG$426,4)</f>
        <v>10081.7</v>
      </c>
      <c r="AH172"/>
      <c r="AI172"/>
    </row>
    <row r="173" spans="1:35" s="8" customFormat="1" ht="12.75">
      <c r="A173" s="18" t="s">
        <v>62</v>
      </c>
      <c r="B173" s="227">
        <v>4400</v>
      </c>
      <c r="C173" s="48">
        <f>$B173*HLOOKUP(C$157,'Datu ievade'!$C$421:$AG$426,4)</f>
        <v>4488</v>
      </c>
      <c r="D173" s="48">
        <f>$B173*HLOOKUP(D$157,'Datu ievade'!$C$421:$AG$426,4)</f>
        <v>4576</v>
      </c>
      <c r="E173" s="48">
        <f>$B173*HLOOKUP(E$157,'Datu ievade'!$C$421:$AG$426,4)</f>
        <v>4664</v>
      </c>
      <c r="F173" s="48">
        <f>$B173*HLOOKUP(F$157,'Datu ievade'!$C$421:$AG$426,4)</f>
        <v>4752</v>
      </c>
      <c r="G173" s="48">
        <f>$B173*HLOOKUP(G$157,'Datu ievade'!$C$421:$AG$426,4)</f>
        <v>4840</v>
      </c>
      <c r="H173" s="48">
        <f>$B173*HLOOKUP(H$157,'Datu ievade'!$C$421:$AG$426,4)</f>
        <v>4928.000000000001</v>
      </c>
      <c r="I173" s="48">
        <f>$B173*HLOOKUP(I$157,'Datu ievade'!$C$421:$AG$426,4)</f>
        <v>5016</v>
      </c>
      <c r="J173" s="48">
        <f>$B173*HLOOKUP(J$157,'Datu ievade'!$C$421:$AG$426,4)</f>
        <v>5104</v>
      </c>
      <c r="K173" s="48">
        <f>$B173*HLOOKUP(K$157,'Datu ievade'!$C$421:$AG$426,4)</f>
        <v>5192</v>
      </c>
      <c r="L173" s="48">
        <f>$B173*HLOOKUP(L$157,'Datu ievade'!$C$421:$AG$426,4)</f>
        <v>5280</v>
      </c>
      <c r="M173" s="48">
        <f>$B173*HLOOKUP(M$157,'Datu ievade'!$C$421:$AG$426,4)</f>
        <v>5368</v>
      </c>
      <c r="N173" s="48">
        <f>$B173*HLOOKUP(N$157,'Datu ievade'!$C$421:$AG$426,4)</f>
        <v>5456</v>
      </c>
      <c r="O173" s="48">
        <f>$B173*HLOOKUP(O$157,'Datu ievade'!$C$421:$AG$426,4)</f>
        <v>5544</v>
      </c>
      <c r="P173" s="48">
        <f>$B173*HLOOKUP(P$157,'Datu ievade'!$C$421:$AG$426,4)</f>
        <v>5676</v>
      </c>
      <c r="Q173" s="48">
        <f>$B173*HLOOKUP(Q$157,'Datu ievade'!$C$421:$AG$426,4)</f>
        <v>5808</v>
      </c>
      <c r="R173" s="48">
        <f>$B173*HLOOKUP(R$157,'Datu ievade'!$C$421:$AG$426,4)</f>
        <v>5940</v>
      </c>
      <c r="S173" s="48">
        <f>$B173*HLOOKUP(S$157,'Datu ievade'!$C$421:$AG$426,4)</f>
        <v>6071.999999999999</v>
      </c>
      <c r="T173" s="48">
        <f>$B173*HLOOKUP(T$157,'Datu ievade'!$C$421:$AG$426,4)</f>
        <v>6204</v>
      </c>
      <c r="U173" s="48">
        <f>$B173*HLOOKUP(U$157,'Datu ievade'!$C$421:$AG$426,4)</f>
        <v>6336</v>
      </c>
      <c r="V173" s="48">
        <f>$B173*HLOOKUP(V$157,'Datu ievade'!$C$421:$AG$426,4)</f>
        <v>6468</v>
      </c>
      <c r="W173" s="48">
        <f>$B173*HLOOKUP(W$157,'Datu ievade'!$C$421:$AG$426,4)</f>
        <v>6600</v>
      </c>
      <c r="X173" s="48">
        <f>$B173*HLOOKUP(X$157,'Datu ievade'!$C$421:$AG$426,4)</f>
        <v>6732</v>
      </c>
      <c r="Y173" s="48">
        <f>$B173*HLOOKUP(Y$157,'Datu ievade'!$C$421:$AG$426,4)</f>
        <v>6864</v>
      </c>
      <c r="Z173" s="48">
        <f>$B173*HLOOKUP(Z$157,'Datu ievade'!$C$421:$AG$426,4)</f>
        <v>6996</v>
      </c>
      <c r="AA173" s="48">
        <f>$B173*HLOOKUP(AA$157,'Datu ievade'!$C$421:$AG$426,4)</f>
        <v>7128.000000000001</v>
      </c>
      <c r="AB173" s="48">
        <f>$B173*HLOOKUP(AB$157,'Datu ievade'!$C$421:$AG$426,4)</f>
        <v>7260</v>
      </c>
      <c r="AC173" s="48">
        <f>$B173*HLOOKUP(AC$157,'Datu ievade'!$C$421:$AG$426,4)</f>
        <v>7392</v>
      </c>
      <c r="AD173" s="48">
        <f>$B173*HLOOKUP(AD$157,'Datu ievade'!$C$421:$AG$426,4)</f>
        <v>7524</v>
      </c>
      <c r="AE173" s="48">
        <f>$B173*HLOOKUP(AE$157,'Datu ievade'!$C$421:$AG$426,4)</f>
        <v>7656</v>
      </c>
      <c r="AF173" s="48">
        <f>$B173*HLOOKUP(AF$157,'Datu ievade'!$C$421:$AG$426,4)</f>
        <v>7788</v>
      </c>
      <c r="AG173" s="48">
        <f>$B173*HLOOKUP(AG$157,'Datu ievade'!$C$421:$AG$426,4)</f>
        <v>7964</v>
      </c>
      <c r="AH173"/>
      <c r="AI173"/>
    </row>
    <row r="174" spans="1:35" s="8" customFormat="1" ht="12.75">
      <c r="A174" s="18" t="s">
        <v>63</v>
      </c>
      <c r="B174" s="227">
        <v>450</v>
      </c>
      <c r="C174" s="48">
        <f>$B174*HLOOKUP(C$157,'Datu ievade'!$C$421:$AG$426,4)</f>
        <v>459</v>
      </c>
      <c r="D174" s="48">
        <f>$B174*HLOOKUP(D$157,'Datu ievade'!$C$421:$AG$426,4)</f>
        <v>468</v>
      </c>
      <c r="E174" s="48">
        <f>$B174*HLOOKUP(E$157,'Datu ievade'!$C$421:$AG$426,4)</f>
        <v>477</v>
      </c>
      <c r="F174" s="48">
        <f>$B174*HLOOKUP(F$157,'Datu ievade'!$C$421:$AG$426,4)</f>
        <v>486.00000000000006</v>
      </c>
      <c r="G174" s="48">
        <f>$B174*HLOOKUP(G$157,'Datu ievade'!$C$421:$AG$426,4)</f>
        <v>495.00000000000006</v>
      </c>
      <c r="H174" s="48">
        <f>$B174*HLOOKUP(H$157,'Datu ievade'!$C$421:$AG$426,4)</f>
        <v>504.00000000000006</v>
      </c>
      <c r="I174" s="48">
        <f>$B174*HLOOKUP(I$157,'Datu ievade'!$C$421:$AG$426,4)</f>
        <v>513</v>
      </c>
      <c r="J174" s="48">
        <f>$B174*HLOOKUP(J$157,'Datu ievade'!$C$421:$AG$426,4)</f>
        <v>522</v>
      </c>
      <c r="K174" s="48">
        <f>$B174*HLOOKUP(K$157,'Datu ievade'!$C$421:$AG$426,4)</f>
        <v>531</v>
      </c>
      <c r="L174" s="48">
        <f>$B174*HLOOKUP(L$157,'Datu ievade'!$C$421:$AG$426,4)</f>
        <v>540</v>
      </c>
      <c r="M174" s="48">
        <f>$B174*HLOOKUP(M$157,'Datu ievade'!$C$421:$AG$426,4)</f>
        <v>549</v>
      </c>
      <c r="N174" s="48">
        <f>$B174*HLOOKUP(N$157,'Datu ievade'!$C$421:$AG$426,4)</f>
        <v>558</v>
      </c>
      <c r="O174" s="48">
        <f>$B174*HLOOKUP(O$157,'Datu ievade'!$C$421:$AG$426,4)</f>
        <v>567</v>
      </c>
      <c r="P174" s="48">
        <f>$B174*HLOOKUP(P$157,'Datu ievade'!$C$421:$AG$426,4)</f>
        <v>580.5</v>
      </c>
      <c r="Q174" s="48">
        <f>$B174*HLOOKUP(Q$157,'Datu ievade'!$C$421:$AG$426,4)</f>
        <v>594</v>
      </c>
      <c r="R174" s="48">
        <f>$B174*HLOOKUP(R$157,'Datu ievade'!$C$421:$AG$426,4)</f>
        <v>607.5</v>
      </c>
      <c r="S174" s="48">
        <f>$B174*HLOOKUP(S$157,'Datu ievade'!$C$421:$AG$426,4)</f>
        <v>621</v>
      </c>
      <c r="T174" s="48">
        <f>$B174*HLOOKUP(T$157,'Datu ievade'!$C$421:$AG$426,4)</f>
        <v>634.5</v>
      </c>
      <c r="U174" s="48">
        <f>$B174*HLOOKUP(U$157,'Datu ievade'!$C$421:$AG$426,4)</f>
        <v>648</v>
      </c>
      <c r="V174" s="48">
        <f>$B174*HLOOKUP(V$157,'Datu ievade'!$C$421:$AG$426,4)</f>
        <v>661.5</v>
      </c>
      <c r="W174" s="48">
        <f>$B174*HLOOKUP(W$157,'Datu ievade'!$C$421:$AG$426,4)</f>
        <v>675</v>
      </c>
      <c r="X174" s="48">
        <f>$B174*HLOOKUP(X$157,'Datu ievade'!$C$421:$AG$426,4)</f>
        <v>688.5</v>
      </c>
      <c r="Y174" s="48">
        <f>$B174*HLOOKUP(Y$157,'Datu ievade'!$C$421:$AG$426,4)</f>
        <v>702</v>
      </c>
      <c r="Z174" s="48">
        <f>$B174*HLOOKUP(Z$157,'Datu ievade'!$C$421:$AG$426,4)</f>
        <v>715.5</v>
      </c>
      <c r="AA174" s="48">
        <f>$B174*HLOOKUP(AA$157,'Datu ievade'!$C$421:$AG$426,4)</f>
        <v>729</v>
      </c>
      <c r="AB174" s="48">
        <f>$B174*HLOOKUP(AB$157,'Datu ievade'!$C$421:$AG$426,4)</f>
        <v>742.5</v>
      </c>
      <c r="AC174" s="48">
        <f>$B174*HLOOKUP(AC$157,'Datu ievade'!$C$421:$AG$426,4)</f>
        <v>756</v>
      </c>
      <c r="AD174" s="48">
        <f>$B174*HLOOKUP(AD$157,'Datu ievade'!$C$421:$AG$426,4)</f>
        <v>769.5</v>
      </c>
      <c r="AE174" s="48">
        <f>$B174*HLOOKUP(AE$157,'Datu ievade'!$C$421:$AG$426,4)</f>
        <v>783</v>
      </c>
      <c r="AF174" s="48">
        <f>$B174*HLOOKUP(AF$157,'Datu ievade'!$C$421:$AG$426,4)</f>
        <v>796.5</v>
      </c>
      <c r="AG174" s="48">
        <f>$B174*HLOOKUP(AG$157,'Datu ievade'!$C$421:$AG$426,4)</f>
        <v>814.5</v>
      </c>
      <c r="AH174"/>
      <c r="AI174"/>
    </row>
    <row r="175" spans="1:35" s="8" customFormat="1" ht="12.75">
      <c r="A175" s="18" t="s">
        <v>64</v>
      </c>
      <c r="B175" s="227">
        <v>100</v>
      </c>
      <c r="C175" s="48">
        <f>$B175*HLOOKUP(C$157,'Datu ievade'!$C$421:$AG$426,4)</f>
        <v>102</v>
      </c>
      <c r="D175" s="48">
        <f>$B175*HLOOKUP(D$157,'Datu ievade'!$C$421:$AG$426,4)</f>
        <v>104</v>
      </c>
      <c r="E175" s="48">
        <f>$B175*HLOOKUP(E$157,'Datu ievade'!$C$421:$AG$426,4)</f>
        <v>106</v>
      </c>
      <c r="F175" s="48">
        <f>$B175*HLOOKUP(F$157,'Datu ievade'!$C$421:$AG$426,4)</f>
        <v>108</v>
      </c>
      <c r="G175" s="48">
        <f>$B175*HLOOKUP(G$157,'Datu ievade'!$C$421:$AG$426,4)</f>
        <v>110.00000000000001</v>
      </c>
      <c r="H175" s="48">
        <f>$B175*HLOOKUP(H$157,'Datu ievade'!$C$421:$AG$426,4)</f>
        <v>112.00000000000001</v>
      </c>
      <c r="I175" s="48">
        <f>$B175*HLOOKUP(I$157,'Datu ievade'!$C$421:$AG$426,4)</f>
        <v>113.99999999999999</v>
      </c>
      <c r="J175" s="48">
        <f>$B175*HLOOKUP(J$157,'Datu ievade'!$C$421:$AG$426,4)</f>
        <v>115.99999999999999</v>
      </c>
      <c r="K175" s="48">
        <f>$B175*HLOOKUP(K$157,'Datu ievade'!$C$421:$AG$426,4)</f>
        <v>118</v>
      </c>
      <c r="L175" s="48">
        <f>$B175*HLOOKUP(L$157,'Datu ievade'!$C$421:$AG$426,4)</f>
        <v>120</v>
      </c>
      <c r="M175" s="48">
        <f>$B175*HLOOKUP(M$157,'Datu ievade'!$C$421:$AG$426,4)</f>
        <v>122</v>
      </c>
      <c r="N175" s="48">
        <f>$B175*HLOOKUP(N$157,'Datu ievade'!$C$421:$AG$426,4)</f>
        <v>124</v>
      </c>
      <c r="O175" s="48">
        <f>$B175*HLOOKUP(O$157,'Datu ievade'!$C$421:$AG$426,4)</f>
        <v>126</v>
      </c>
      <c r="P175" s="48">
        <f>$B175*HLOOKUP(P$157,'Datu ievade'!$C$421:$AG$426,4)</f>
        <v>129</v>
      </c>
      <c r="Q175" s="48">
        <f>$B175*HLOOKUP(Q$157,'Datu ievade'!$C$421:$AG$426,4)</f>
        <v>132</v>
      </c>
      <c r="R175" s="48">
        <f>$B175*HLOOKUP(R$157,'Datu ievade'!$C$421:$AG$426,4)</f>
        <v>135</v>
      </c>
      <c r="S175" s="48">
        <f>$B175*HLOOKUP(S$157,'Datu ievade'!$C$421:$AG$426,4)</f>
        <v>138</v>
      </c>
      <c r="T175" s="48">
        <f>$B175*HLOOKUP(T$157,'Datu ievade'!$C$421:$AG$426,4)</f>
        <v>141</v>
      </c>
      <c r="U175" s="48">
        <f>$B175*HLOOKUP(U$157,'Datu ievade'!$C$421:$AG$426,4)</f>
        <v>144</v>
      </c>
      <c r="V175" s="48">
        <f>$B175*HLOOKUP(V$157,'Datu ievade'!$C$421:$AG$426,4)</f>
        <v>147</v>
      </c>
      <c r="W175" s="48">
        <f>$B175*HLOOKUP(W$157,'Datu ievade'!$C$421:$AG$426,4)</f>
        <v>150</v>
      </c>
      <c r="X175" s="48">
        <f>$B175*HLOOKUP(X$157,'Datu ievade'!$C$421:$AG$426,4)</f>
        <v>153</v>
      </c>
      <c r="Y175" s="48">
        <f>$B175*HLOOKUP(Y$157,'Datu ievade'!$C$421:$AG$426,4)</f>
        <v>156</v>
      </c>
      <c r="Z175" s="48">
        <f>$B175*HLOOKUP(Z$157,'Datu ievade'!$C$421:$AG$426,4)</f>
        <v>159</v>
      </c>
      <c r="AA175" s="48">
        <f>$B175*HLOOKUP(AA$157,'Datu ievade'!$C$421:$AG$426,4)</f>
        <v>162</v>
      </c>
      <c r="AB175" s="48">
        <f>$B175*HLOOKUP(AB$157,'Datu ievade'!$C$421:$AG$426,4)</f>
        <v>165</v>
      </c>
      <c r="AC175" s="48">
        <f>$B175*HLOOKUP(AC$157,'Datu ievade'!$C$421:$AG$426,4)</f>
        <v>168</v>
      </c>
      <c r="AD175" s="48">
        <f>$B175*HLOOKUP(AD$157,'Datu ievade'!$C$421:$AG$426,4)</f>
        <v>171</v>
      </c>
      <c r="AE175" s="48">
        <f>$B175*HLOOKUP(AE$157,'Datu ievade'!$C$421:$AG$426,4)</f>
        <v>174</v>
      </c>
      <c r="AF175" s="48">
        <f>$B175*HLOOKUP(AF$157,'Datu ievade'!$C$421:$AG$426,4)</f>
        <v>177</v>
      </c>
      <c r="AG175" s="48">
        <f>$B175*HLOOKUP(AG$157,'Datu ievade'!$C$421:$AG$426,4)</f>
        <v>181</v>
      </c>
      <c r="AH175"/>
      <c r="AI175"/>
    </row>
    <row r="176" spans="1:35" s="8" customFormat="1" ht="12.75">
      <c r="A176" s="18" t="s">
        <v>65</v>
      </c>
      <c r="B176" s="227">
        <v>0</v>
      </c>
      <c r="C176" s="48">
        <f>$B176*HLOOKUP(C$157,'Datu ievade'!$C$421:$AG$426,4)</f>
        <v>0</v>
      </c>
      <c r="D176" s="48">
        <f>$B176*HLOOKUP(D$157,'Datu ievade'!$C$421:$AG$426,4)</f>
        <v>0</v>
      </c>
      <c r="E176" s="48">
        <f>$B176*HLOOKUP(E$157,'Datu ievade'!$C$421:$AG$426,4)</f>
        <v>0</v>
      </c>
      <c r="F176" s="48">
        <f>$B176*HLOOKUP(F$157,'Datu ievade'!$C$421:$AG$426,4)</f>
        <v>0</v>
      </c>
      <c r="G176" s="48">
        <f>$B176*HLOOKUP(G$157,'Datu ievade'!$C$421:$AG$426,4)</f>
        <v>0</v>
      </c>
      <c r="H176" s="48">
        <f>$B176*HLOOKUP(H$157,'Datu ievade'!$C$421:$AG$426,4)</f>
        <v>0</v>
      </c>
      <c r="I176" s="48">
        <f>$B176*HLOOKUP(I$157,'Datu ievade'!$C$421:$AG$426,4)</f>
        <v>0</v>
      </c>
      <c r="J176" s="48">
        <f>$B176*HLOOKUP(J$157,'Datu ievade'!$C$421:$AG$426,4)</f>
        <v>0</v>
      </c>
      <c r="K176" s="48">
        <f>$B176*HLOOKUP(K$157,'Datu ievade'!$C$421:$AG$426,4)</f>
        <v>0</v>
      </c>
      <c r="L176" s="48">
        <f>$B176*HLOOKUP(L$157,'Datu ievade'!$C$421:$AG$426,4)</f>
        <v>0</v>
      </c>
      <c r="M176" s="48">
        <f>$B176*HLOOKUP(M$157,'Datu ievade'!$C$421:$AG$426,4)</f>
        <v>0</v>
      </c>
      <c r="N176" s="48">
        <f>$B176*HLOOKUP(N$157,'Datu ievade'!$C$421:$AG$426,4)</f>
        <v>0</v>
      </c>
      <c r="O176" s="48">
        <f>$B176*HLOOKUP(O$157,'Datu ievade'!$C$421:$AG$426,4)</f>
        <v>0</v>
      </c>
      <c r="P176" s="48">
        <f>$B176*HLOOKUP(P$157,'Datu ievade'!$C$421:$AG$426,4)</f>
        <v>0</v>
      </c>
      <c r="Q176" s="48">
        <f>$B176*HLOOKUP(Q$157,'Datu ievade'!$C$421:$AG$426,4)</f>
        <v>0</v>
      </c>
      <c r="R176" s="48">
        <f>$B176*HLOOKUP(R$157,'Datu ievade'!$C$421:$AG$426,4)</f>
        <v>0</v>
      </c>
      <c r="S176" s="48">
        <f>$B176*HLOOKUP(S$157,'Datu ievade'!$C$421:$AG$426,4)</f>
        <v>0</v>
      </c>
      <c r="T176" s="48">
        <f>$B176*HLOOKUP(T$157,'Datu ievade'!$C$421:$AG$426,4)</f>
        <v>0</v>
      </c>
      <c r="U176" s="48">
        <f>$B176*HLOOKUP(U$157,'Datu ievade'!$C$421:$AG$426,4)</f>
        <v>0</v>
      </c>
      <c r="V176" s="48">
        <f>$B176*HLOOKUP(V$157,'Datu ievade'!$C$421:$AG$426,4)</f>
        <v>0</v>
      </c>
      <c r="W176" s="48">
        <f>$B176*HLOOKUP(W$157,'Datu ievade'!$C$421:$AG$426,4)</f>
        <v>0</v>
      </c>
      <c r="X176" s="48">
        <f>$B176*HLOOKUP(X$157,'Datu ievade'!$C$421:$AG$426,4)</f>
        <v>0</v>
      </c>
      <c r="Y176" s="48">
        <f>$B176*HLOOKUP(Y$157,'Datu ievade'!$C$421:$AG$426,4)</f>
        <v>0</v>
      </c>
      <c r="Z176" s="48">
        <f>$B176*HLOOKUP(Z$157,'Datu ievade'!$C$421:$AG$426,4)</f>
        <v>0</v>
      </c>
      <c r="AA176" s="48">
        <f>$B176*HLOOKUP(AA$157,'Datu ievade'!$C$421:$AG$426,4)</f>
        <v>0</v>
      </c>
      <c r="AB176" s="48">
        <f>$B176*HLOOKUP(AB$157,'Datu ievade'!$C$421:$AG$426,4)</f>
        <v>0</v>
      </c>
      <c r="AC176" s="48">
        <f>$B176*HLOOKUP(AC$157,'Datu ievade'!$C$421:$AG$426,4)</f>
        <v>0</v>
      </c>
      <c r="AD176" s="48">
        <f>$B176*HLOOKUP(AD$157,'Datu ievade'!$C$421:$AG$426,4)</f>
        <v>0</v>
      </c>
      <c r="AE176" s="48">
        <f>$B176*HLOOKUP(AE$157,'Datu ievade'!$C$421:$AG$426,4)</f>
        <v>0</v>
      </c>
      <c r="AF176" s="48">
        <f>$B176*HLOOKUP(AF$157,'Datu ievade'!$C$421:$AG$426,4)</f>
        <v>0</v>
      </c>
      <c r="AG176" s="48">
        <f>$B176*HLOOKUP(AG$157,'Datu ievade'!$C$421:$AG$426,4)</f>
        <v>0</v>
      </c>
      <c r="AH176"/>
      <c r="AI176"/>
    </row>
    <row r="177" spans="1:35" s="8" customFormat="1" ht="12.75">
      <c r="A177" s="18" t="s">
        <v>66</v>
      </c>
      <c r="B177" s="22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c r="AI177"/>
    </row>
    <row r="178" spans="1:35" s="8" customFormat="1" ht="12.75">
      <c r="A178" s="18" t="s">
        <v>67</v>
      </c>
      <c r="B178" s="227">
        <v>2850</v>
      </c>
      <c r="C178" s="48">
        <f>$B178*HLOOKUP(C$157,'Datu ievade'!$C$421:$AG$426,6)</f>
        <v>2935.5</v>
      </c>
      <c r="D178" s="48">
        <f>$B178*HLOOKUP(D$157,'Datu ievade'!$C$421:$AG$426,6)</f>
        <v>3049.5</v>
      </c>
      <c r="E178" s="48">
        <f>$B178*HLOOKUP(E$157,'Datu ievade'!$C$421:$AG$426,6)</f>
        <v>3163.5000000000005</v>
      </c>
      <c r="F178" s="48">
        <f>$B178*HLOOKUP(F$157,'Datu ievade'!$C$421:$AG$426,6)</f>
        <v>3277.4999999999995</v>
      </c>
      <c r="G178" s="48">
        <f>$B178*HLOOKUP(G$157,'Datu ievade'!$C$421:$AG$426,6)</f>
        <v>3363</v>
      </c>
      <c r="H178" s="48">
        <f>$B178*HLOOKUP(H$157,'Datu ievade'!$C$421:$AG$426,6)</f>
        <v>3448.5</v>
      </c>
      <c r="I178" s="48">
        <f>$B178*HLOOKUP(I$157,'Datu ievade'!$C$421:$AG$426,6)</f>
        <v>3534</v>
      </c>
      <c r="J178" s="48">
        <f>$B178*HLOOKUP(J$157,'Datu ievade'!$C$421:$AG$426,6)</f>
        <v>3619.5</v>
      </c>
      <c r="K178" s="48">
        <f>$B178*HLOOKUP(K$157,'Datu ievade'!$C$421:$AG$426,6)</f>
        <v>3705</v>
      </c>
      <c r="L178" s="48">
        <f>$B178*HLOOKUP(L$157,'Datu ievade'!$C$421:$AG$426,6)</f>
        <v>3790.5</v>
      </c>
      <c r="M178" s="48">
        <f>$B178*HLOOKUP(M$157,'Datu ievade'!$C$421:$AG$426,6)</f>
        <v>3876.0000000000005</v>
      </c>
      <c r="N178" s="48">
        <f>$B178*HLOOKUP(N$157,'Datu ievade'!$C$421:$AG$426,6)</f>
        <v>3961.4999999999995</v>
      </c>
      <c r="O178" s="48">
        <f>$B178*HLOOKUP(O$157,'Datu ievade'!$C$421:$AG$426,6)</f>
        <v>4047</v>
      </c>
      <c r="P178" s="48">
        <f>$B178*HLOOKUP(P$157,'Datu ievade'!$C$421:$AG$426,6)</f>
        <v>4132.5</v>
      </c>
      <c r="Q178" s="48">
        <f>$B178*HLOOKUP(Q$157,'Datu ievade'!$C$421:$AG$426,6)</f>
        <v>4218</v>
      </c>
      <c r="R178" s="48">
        <f>$B178*HLOOKUP(R$157,'Datu ievade'!$C$421:$AG$426,6)</f>
        <v>4303.5</v>
      </c>
      <c r="S178" s="48">
        <f>$B178*HLOOKUP(S$157,'Datu ievade'!$C$421:$AG$426,6)</f>
        <v>4389</v>
      </c>
      <c r="T178" s="48">
        <f>$B178*HLOOKUP(T$157,'Datu ievade'!$C$421:$AG$426,6)</f>
        <v>4474.5</v>
      </c>
      <c r="U178" s="48">
        <f>$B178*HLOOKUP(U$157,'Datu ievade'!$C$421:$AG$426,6)</f>
        <v>4560</v>
      </c>
      <c r="V178" s="48">
        <f>$B178*HLOOKUP(V$157,'Datu ievade'!$C$421:$AG$426,6)</f>
        <v>4674</v>
      </c>
      <c r="W178" s="48">
        <f>$B178*HLOOKUP(W$157,'Datu ievade'!$C$421:$AG$426,6)</f>
        <v>4788</v>
      </c>
      <c r="X178" s="48">
        <f>$B178*HLOOKUP(X$157,'Datu ievade'!$C$421:$AG$426,6)</f>
        <v>4902</v>
      </c>
      <c r="Y178" s="48">
        <f>$B178*HLOOKUP(Y$157,'Datu ievade'!$C$421:$AG$426,6)</f>
        <v>5016</v>
      </c>
      <c r="Z178" s="48">
        <f>$B178*HLOOKUP(Z$157,'Datu ievade'!$C$421:$AG$426,6)</f>
        <v>5130</v>
      </c>
      <c r="AA178" s="48">
        <f>$B178*HLOOKUP(AA$157,'Datu ievade'!$C$421:$AG$426,6)</f>
        <v>5244</v>
      </c>
      <c r="AB178" s="48">
        <f>$B178*HLOOKUP(AB$157,'Datu ievade'!$C$421:$AG$426,6)</f>
        <v>5358</v>
      </c>
      <c r="AC178" s="48">
        <f>$B178*HLOOKUP(AC$157,'Datu ievade'!$C$421:$AG$426,6)</f>
        <v>5472</v>
      </c>
      <c r="AD178" s="48">
        <f>$B178*HLOOKUP(AD$157,'Datu ievade'!$C$421:$AG$426,6)</f>
        <v>5586</v>
      </c>
      <c r="AE178" s="48">
        <f>$B178*HLOOKUP(AE$157,'Datu ievade'!$C$421:$AG$426,6)</f>
        <v>5700</v>
      </c>
      <c r="AF178" s="48">
        <f>$B178*HLOOKUP(AF$157,'Datu ievade'!$C$421:$AG$426,6)</f>
        <v>5814</v>
      </c>
      <c r="AG178" s="48">
        <f>$B178*HLOOKUP(AG$157,'Datu ievade'!$C$421:$AG$426,6)</f>
        <v>5928</v>
      </c>
      <c r="AH178"/>
      <c r="AI178"/>
    </row>
    <row r="179" spans="1:35" s="8" customFormat="1" ht="12.75">
      <c r="A179" s="18" t="s">
        <v>68</v>
      </c>
      <c r="B179" s="229">
        <f aca="true" t="shared" si="5" ref="B179:AG179">B178*0.2409</f>
        <v>686.565</v>
      </c>
      <c r="C179" s="48">
        <f t="shared" si="5"/>
        <v>707.16195</v>
      </c>
      <c r="D179" s="48">
        <f t="shared" si="5"/>
        <v>734.62455</v>
      </c>
      <c r="E179" s="48">
        <f t="shared" si="5"/>
        <v>762.0871500000001</v>
      </c>
      <c r="F179" s="48">
        <f t="shared" si="5"/>
        <v>789.5497499999999</v>
      </c>
      <c r="G179" s="48">
        <f t="shared" si="5"/>
        <v>810.1467</v>
      </c>
      <c r="H179" s="48">
        <f t="shared" si="5"/>
        <v>830.74365</v>
      </c>
      <c r="I179" s="48">
        <f t="shared" si="5"/>
        <v>851.3406</v>
      </c>
      <c r="J179" s="48">
        <f t="shared" si="5"/>
        <v>871.93755</v>
      </c>
      <c r="K179" s="48">
        <f t="shared" si="5"/>
        <v>892.5345</v>
      </c>
      <c r="L179" s="48">
        <f t="shared" si="5"/>
        <v>913.13145</v>
      </c>
      <c r="M179" s="48">
        <f t="shared" si="5"/>
        <v>933.7284000000001</v>
      </c>
      <c r="N179" s="48">
        <f t="shared" si="5"/>
        <v>954.32535</v>
      </c>
      <c r="O179" s="48">
        <f t="shared" si="5"/>
        <v>974.9223000000001</v>
      </c>
      <c r="P179" s="48">
        <f t="shared" si="5"/>
        <v>995.51925</v>
      </c>
      <c r="Q179" s="48">
        <f t="shared" si="5"/>
        <v>1016.1162</v>
      </c>
      <c r="R179" s="48">
        <f t="shared" si="5"/>
        <v>1036.71315</v>
      </c>
      <c r="S179" s="48">
        <f t="shared" si="5"/>
        <v>1057.3101</v>
      </c>
      <c r="T179" s="48">
        <f t="shared" si="5"/>
        <v>1077.90705</v>
      </c>
      <c r="U179" s="48">
        <f t="shared" si="5"/>
        <v>1098.504</v>
      </c>
      <c r="V179" s="48">
        <f t="shared" si="5"/>
        <v>1125.9666</v>
      </c>
      <c r="W179" s="48">
        <f t="shared" si="5"/>
        <v>1153.4292</v>
      </c>
      <c r="X179" s="48">
        <f t="shared" si="5"/>
        <v>1180.8918</v>
      </c>
      <c r="Y179" s="48">
        <f t="shared" si="5"/>
        <v>1208.3544</v>
      </c>
      <c r="Z179" s="48">
        <f t="shared" si="5"/>
        <v>1235.817</v>
      </c>
      <c r="AA179" s="48">
        <f t="shared" si="5"/>
        <v>1263.2796</v>
      </c>
      <c r="AB179" s="48">
        <f t="shared" si="5"/>
        <v>1290.7422</v>
      </c>
      <c r="AC179" s="48">
        <f t="shared" si="5"/>
        <v>1318.2048</v>
      </c>
      <c r="AD179" s="48">
        <f t="shared" si="5"/>
        <v>1345.6674</v>
      </c>
      <c r="AE179" s="48">
        <f t="shared" si="5"/>
        <v>1373.13</v>
      </c>
      <c r="AF179" s="48">
        <f t="shared" si="5"/>
        <v>1400.5926</v>
      </c>
      <c r="AG179" s="48">
        <f t="shared" si="5"/>
        <v>1428.0552</v>
      </c>
      <c r="AH179"/>
      <c r="AI179"/>
    </row>
    <row r="180" spans="1:35" s="8" customFormat="1" ht="12.75">
      <c r="A180" s="18" t="s">
        <v>69</v>
      </c>
      <c r="B180" s="227">
        <v>0</v>
      </c>
      <c r="C180" s="48">
        <f>$B180*HLOOKUP(C$157,'Datu ievade'!$C$421:$AG$426,4)</f>
        <v>0</v>
      </c>
      <c r="D180" s="48">
        <f>$B180*HLOOKUP(D$157,'Datu ievade'!$C$421:$AG$426,4)</f>
        <v>0</v>
      </c>
      <c r="E180" s="48">
        <f>$B180*HLOOKUP(E$157,'Datu ievade'!$C$421:$AG$426,4)</f>
        <v>0</v>
      </c>
      <c r="F180" s="48">
        <f>$B180*HLOOKUP(F$157,'Datu ievade'!$C$421:$AG$426,4)</f>
        <v>0</v>
      </c>
      <c r="G180" s="48">
        <f>$B180*HLOOKUP(G$157,'Datu ievade'!$C$421:$AG$426,4)</f>
        <v>0</v>
      </c>
      <c r="H180" s="48">
        <f>$B180*HLOOKUP(H$157,'Datu ievade'!$C$421:$AG$426,4)</f>
        <v>0</v>
      </c>
      <c r="I180" s="48">
        <f>$B180*HLOOKUP(I$157,'Datu ievade'!$C$421:$AG$426,4)</f>
        <v>0</v>
      </c>
      <c r="J180" s="48">
        <f>$B180*HLOOKUP(J$157,'Datu ievade'!$C$421:$AG$426,4)</f>
        <v>0</v>
      </c>
      <c r="K180" s="48">
        <f>$B180*HLOOKUP(K$157,'Datu ievade'!$C$421:$AG$426,4)</f>
        <v>0</v>
      </c>
      <c r="L180" s="48">
        <f>$B180*HLOOKUP(L$157,'Datu ievade'!$C$421:$AG$426,4)</f>
        <v>0</v>
      </c>
      <c r="M180" s="48">
        <f>$B180*HLOOKUP(M$157,'Datu ievade'!$C$421:$AG$426,4)</f>
        <v>0</v>
      </c>
      <c r="N180" s="48">
        <f>$B180*HLOOKUP(N$157,'Datu ievade'!$C$421:$AG$426,4)</f>
        <v>0</v>
      </c>
      <c r="O180" s="48">
        <f>$B180*HLOOKUP(O$157,'Datu ievade'!$C$421:$AG$426,4)</f>
        <v>0</v>
      </c>
      <c r="P180" s="48">
        <f>$B180*HLOOKUP(P$157,'Datu ievade'!$C$421:$AG$426,4)</f>
        <v>0</v>
      </c>
      <c r="Q180" s="48">
        <f>$B180*HLOOKUP(Q$157,'Datu ievade'!$C$421:$AG$426,4)</f>
        <v>0</v>
      </c>
      <c r="R180" s="48">
        <f>$B180*HLOOKUP(R$157,'Datu ievade'!$C$421:$AG$426,4)</f>
        <v>0</v>
      </c>
      <c r="S180" s="48">
        <f>$B180*HLOOKUP(S$157,'Datu ievade'!$C$421:$AG$426,4)</f>
        <v>0</v>
      </c>
      <c r="T180" s="48">
        <f>$B180*HLOOKUP(T$157,'Datu ievade'!$C$421:$AG$426,4)</f>
        <v>0</v>
      </c>
      <c r="U180" s="48">
        <f>$B180*HLOOKUP(U$157,'Datu ievade'!$C$421:$AG$426,4)</f>
        <v>0</v>
      </c>
      <c r="V180" s="48">
        <f>$B180*HLOOKUP(V$157,'Datu ievade'!$C$421:$AG$426,4)</f>
        <v>0</v>
      </c>
      <c r="W180" s="48">
        <f>$B180*HLOOKUP(W$157,'Datu ievade'!$C$421:$AG$426,4)</f>
        <v>0</v>
      </c>
      <c r="X180" s="48">
        <f>$B180*HLOOKUP(X$157,'Datu ievade'!$C$421:$AG$426,4)</f>
        <v>0</v>
      </c>
      <c r="Y180" s="48">
        <f>$B180*HLOOKUP(Y$157,'Datu ievade'!$C$421:$AG$426,4)</f>
        <v>0</v>
      </c>
      <c r="Z180" s="48">
        <f>$B180*HLOOKUP(Z$157,'Datu ievade'!$C$421:$AG$426,4)</f>
        <v>0</v>
      </c>
      <c r="AA180" s="48">
        <f>$B180*HLOOKUP(AA$157,'Datu ievade'!$C$421:$AG$426,4)</f>
        <v>0</v>
      </c>
      <c r="AB180" s="48">
        <f>$B180*HLOOKUP(AB$157,'Datu ievade'!$C$421:$AG$426,4)</f>
        <v>0</v>
      </c>
      <c r="AC180" s="48">
        <f>$B180*HLOOKUP(AC$157,'Datu ievade'!$C$421:$AG$426,4)</f>
        <v>0</v>
      </c>
      <c r="AD180" s="48">
        <f>$B180*HLOOKUP(AD$157,'Datu ievade'!$C$421:$AG$426,4)</f>
        <v>0</v>
      </c>
      <c r="AE180" s="48">
        <f>$B180*HLOOKUP(AE$157,'Datu ievade'!$C$421:$AG$426,4)</f>
        <v>0</v>
      </c>
      <c r="AF180" s="48">
        <f>$B180*HLOOKUP(AF$157,'Datu ievade'!$C$421:$AG$426,4)</f>
        <v>0</v>
      </c>
      <c r="AG180" s="48">
        <f>$B180*HLOOKUP(AG$157,'Datu ievade'!$C$421:$AG$426,4)</f>
        <v>0</v>
      </c>
      <c r="AH180"/>
      <c r="AI180"/>
    </row>
    <row r="181" spans="1:35" s="8" customFormat="1" ht="42.75">
      <c r="A181" s="15" t="s">
        <v>71</v>
      </c>
      <c r="B181" s="231"/>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c r="AI181"/>
    </row>
    <row r="182" spans="1:35" s="8" customFormat="1" ht="13.5">
      <c r="A182" s="45" t="s">
        <v>59</v>
      </c>
      <c r="B182" s="232"/>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c r="AI182"/>
    </row>
    <row r="183" spans="1:35" s="8" customFormat="1" ht="12.75">
      <c r="A183" s="18" t="s">
        <v>60</v>
      </c>
      <c r="B183" s="20"/>
      <c r="C183" s="951"/>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c r="AI183"/>
    </row>
    <row r="184" spans="1:35" s="8" customFormat="1" ht="12.75">
      <c r="A184" s="25" t="s">
        <v>61</v>
      </c>
      <c r="B184" s="456"/>
      <c r="C184" s="952"/>
      <c r="D184" s="46">
        <v>-1500</v>
      </c>
      <c r="E184" s="439">
        <v>-4500</v>
      </c>
      <c r="F184" s="48">
        <f>$E184*'Datu ievade'!G$424</f>
        <v>-4950</v>
      </c>
      <c r="G184" s="48">
        <f>$E184*'Datu ievade'!H$424</f>
        <v>-5040.000000000001</v>
      </c>
      <c r="H184" s="48">
        <f>$E184*'Datu ievade'!I$424</f>
        <v>-5130</v>
      </c>
      <c r="I184" s="48">
        <f>$E184*'Datu ievade'!J$424</f>
        <v>-5220</v>
      </c>
      <c r="J184" s="48">
        <f>$E184*'Datu ievade'!K$424</f>
        <v>-5310</v>
      </c>
      <c r="K184" s="48">
        <f>$E184*'Datu ievade'!L$424</f>
        <v>-5400</v>
      </c>
      <c r="L184" s="48">
        <f>$E184*'Datu ievade'!M$424</f>
        <v>-5490</v>
      </c>
      <c r="M184" s="48">
        <f>$E184*'Datu ievade'!N$424</f>
        <v>-5580</v>
      </c>
      <c r="N184" s="48">
        <f>$E184*'Datu ievade'!O$424</f>
        <v>-5670</v>
      </c>
      <c r="O184" s="48">
        <f>$E184*'Datu ievade'!P$424</f>
        <v>-5805</v>
      </c>
      <c r="P184" s="48">
        <f>$E184*'Datu ievade'!Q$424</f>
        <v>-5940</v>
      </c>
      <c r="Q184" s="48">
        <f>$E184*'Datu ievade'!R$424</f>
        <v>-6075</v>
      </c>
      <c r="R184" s="48">
        <f>$E184*'Datu ievade'!S$424</f>
        <v>-6209.999999999999</v>
      </c>
      <c r="S184" s="48">
        <f>$E184*'Datu ievade'!T$424</f>
        <v>-6345</v>
      </c>
      <c r="T184" s="48">
        <f>$E184*'Datu ievade'!U$424</f>
        <v>-6480</v>
      </c>
      <c r="U184" s="48">
        <f>$E184*'Datu ievade'!V$424</f>
        <v>-6615</v>
      </c>
      <c r="V184" s="48">
        <f>$E184*'Datu ievade'!W$424</f>
        <v>-6750</v>
      </c>
      <c r="W184" s="48">
        <f>$E184*'Datu ievade'!X$424</f>
        <v>-6885</v>
      </c>
      <c r="X184" s="48">
        <f>$E184*'Datu ievade'!Y$424</f>
        <v>-7020</v>
      </c>
      <c r="Y184" s="48">
        <f>$E184*'Datu ievade'!Z$424</f>
        <v>-7155</v>
      </c>
      <c r="Z184" s="48">
        <f>$E184*'Datu ievade'!AA$424</f>
        <v>-7290.000000000001</v>
      </c>
      <c r="AA184" s="48">
        <f>$E184*'Datu ievade'!AB$424</f>
        <v>-7425</v>
      </c>
      <c r="AB184" s="48">
        <f>$E184*'Datu ievade'!AC$424</f>
        <v>-7560</v>
      </c>
      <c r="AC184" s="48">
        <f>$E184*'Datu ievade'!AD$424</f>
        <v>-7695</v>
      </c>
      <c r="AD184" s="48">
        <f>$E184*'Datu ievade'!AE$424</f>
        <v>-7830</v>
      </c>
      <c r="AE184" s="48">
        <f>$E184*'Datu ievade'!AF$424</f>
        <v>-7965</v>
      </c>
      <c r="AF184" s="48">
        <f>$E184*'Datu ievade'!AG$424</f>
        <v>-8145</v>
      </c>
      <c r="AG184" s="48">
        <f>$E184*'Datu ievade'!AH$424</f>
        <v>-8325</v>
      </c>
      <c r="AH184"/>
      <c r="AI184"/>
    </row>
    <row r="185" spans="1:35" s="8" customFormat="1" ht="12.75">
      <c r="A185" s="25" t="s">
        <v>62</v>
      </c>
      <c r="B185" s="456"/>
      <c r="C185" s="952"/>
      <c r="D185" s="46"/>
      <c r="E185" s="439">
        <v>100</v>
      </c>
      <c r="F185" s="48">
        <f>$E185*HLOOKUP(F$157,'Datu ievade'!$C$421:$AG$426,4)</f>
        <v>108</v>
      </c>
      <c r="G185" s="48">
        <f>$E185*HLOOKUP(G$157,'Datu ievade'!$C$421:$AG$426,4)</f>
        <v>110.00000000000001</v>
      </c>
      <c r="H185" s="48">
        <f>$E185*HLOOKUP(H$157,'Datu ievade'!$C$421:$AG$426,4)</f>
        <v>112.00000000000001</v>
      </c>
      <c r="I185" s="48">
        <f>$E185*HLOOKUP(I$157,'Datu ievade'!$C$421:$AG$426,4)</f>
        <v>113.99999999999999</v>
      </c>
      <c r="J185" s="48">
        <f>$E185*HLOOKUP(J$157,'Datu ievade'!$C$421:$AG$426,4)</f>
        <v>115.99999999999999</v>
      </c>
      <c r="K185" s="48">
        <f>$E185*HLOOKUP(K$157,'Datu ievade'!$C$421:$AG$426,4)</f>
        <v>118</v>
      </c>
      <c r="L185" s="48">
        <f>$E185*HLOOKUP(L$157,'Datu ievade'!$C$421:$AG$426,4)</f>
        <v>120</v>
      </c>
      <c r="M185" s="48">
        <f>$E185*HLOOKUP(M$157,'Datu ievade'!$C$421:$AG$426,4)</f>
        <v>122</v>
      </c>
      <c r="N185" s="48">
        <f>$E185*HLOOKUP(N$157,'Datu ievade'!$C$421:$AG$426,4)</f>
        <v>124</v>
      </c>
      <c r="O185" s="48">
        <f>$E185*HLOOKUP(O$157,'Datu ievade'!$C$421:$AG$426,4)</f>
        <v>126</v>
      </c>
      <c r="P185" s="48">
        <f>$E185*HLOOKUP(P$157,'Datu ievade'!$C$421:$AG$426,4)</f>
        <v>129</v>
      </c>
      <c r="Q185" s="48">
        <f>$E185*HLOOKUP(Q$157,'Datu ievade'!$C$421:$AG$426,4)</f>
        <v>132</v>
      </c>
      <c r="R185" s="48">
        <f>$E185*HLOOKUP(R$157,'Datu ievade'!$C$421:$AG$426,4)</f>
        <v>135</v>
      </c>
      <c r="S185" s="48">
        <f>$E185*HLOOKUP(S$157,'Datu ievade'!$C$421:$AG$426,4)</f>
        <v>138</v>
      </c>
      <c r="T185" s="48">
        <f>$E185*HLOOKUP(T$157,'Datu ievade'!$C$421:$AG$426,4)</f>
        <v>141</v>
      </c>
      <c r="U185" s="48">
        <f>$E185*HLOOKUP(U$157,'Datu ievade'!$C$421:$AG$426,4)</f>
        <v>144</v>
      </c>
      <c r="V185" s="48">
        <f>$E185*HLOOKUP(V$157,'Datu ievade'!$C$421:$AG$426,4)</f>
        <v>147</v>
      </c>
      <c r="W185" s="48">
        <f>$E185*HLOOKUP(W$157,'Datu ievade'!$C$421:$AG$426,4)</f>
        <v>150</v>
      </c>
      <c r="X185" s="48">
        <f>$E185*HLOOKUP(X$157,'Datu ievade'!$C$421:$AG$426,4)</f>
        <v>153</v>
      </c>
      <c r="Y185" s="48">
        <f>$E185*HLOOKUP(Y$157,'Datu ievade'!$C$421:$AG$426,4)</f>
        <v>156</v>
      </c>
      <c r="Z185" s="48">
        <f>$E185*HLOOKUP(Z$157,'Datu ievade'!$C$421:$AG$426,4)</f>
        <v>159</v>
      </c>
      <c r="AA185" s="48">
        <f>$E185*HLOOKUP(AA$157,'Datu ievade'!$C$421:$AG$426,4)</f>
        <v>162</v>
      </c>
      <c r="AB185" s="48">
        <f>$E185*HLOOKUP(AB$157,'Datu ievade'!$C$421:$AG$426,4)</f>
        <v>165</v>
      </c>
      <c r="AC185" s="48">
        <f>$E185*HLOOKUP(AC$157,'Datu ievade'!$C$421:$AG$426,4)</f>
        <v>168</v>
      </c>
      <c r="AD185" s="48">
        <f>$E185*HLOOKUP(AD$157,'Datu ievade'!$C$421:$AG$426,4)</f>
        <v>171</v>
      </c>
      <c r="AE185" s="48">
        <f>$E185*HLOOKUP(AE$157,'Datu ievade'!$C$421:$AG$426,4)</f>
        <v>174</v>
      </c>
      <c r="AF185" s="48">
        <f>$E185*HLOOKUP(AF$157,'Datu ievade'!$C$421:$AG$426,4)</f>
        <v>177</v>
      </c>
      <c r="AG185" s="48">
        <f>$E185*HLOOKUP(AG$157,'Datu ievade'!$C$421:$AG$426,4)</f>
        <v>181</v>
      </c>
      <c r="AH185"/>
      <c r="AI185"/>
    </row>
    <row r="186" spans="1:35" s="8" customFormat="1" ht="12.75">
      <c r="A186" s="25" t="s">
        <v>63</v>
      </c>
      <c r="B186" s="456"/>
      <c r="C186" s="952"/>
      <c r="D186" s="46"/>
      <c r="E186" s="439">
        <v>250</v>
      </c>
      <c r="F186" s="48">
        <f>$E186*HLOOKUP(F$157,'Datu ievade'!$C$421:$AG$426,4)</f>
        <v>270</v>
      </c>
      <c r="G186" s="48">
        <f>$E186*HLOOKUP(G$157,'Datu ievade'!$C$421:$AG$426,4)</f>
        <v>275</v>
      </c>
      <c r="H186" s="48">
        <f>$E186*HLOOKUP(H$157,'Datu ievade'!$C$421:$AG$426,4)</f>
        <v>280</v>
      </c>
      <c r="I186" s="48">
        <f>$E186*HLOOKUP(I$157,'Datu ievade'!$C$421:$AG$426,4)</f>
        <v>285</v>
      </c>
      <c r="J186" s="48">
        <f>$E186*HLOOKUP(J$157,'Datu ievade'!$C$421:$AG$426,4)</f>
        <v>290</v>
      </c>
      <c r="K186" s="48">
        <f>$E186*HLOOKUP(K$157,'Datu ievade'!$C$421:$AG$426,4)</f>
        <v>295</v>
      </c>
      <c r="L186" s="48">
        <f>$E186*HLOOKUP(L$157,'Datu ievade'!$C$421:$AG$426,4)</f>
        <v>300</v>
      </c>
      <c r="M186" s="48">
        <f>$E186*HLOOKUP(M$157,'Datu ievade'!$C$421:$AG$426,4)</f>
        <v>305</v>
      </c>
      <c r="N186" s="48">
        <f>$E186*HLOOKUP(N$157,'Datu ievade'!$C$421:$AG$426,4)</f>
        <v>310</v>
      </c>
      <c r="O186" s="48">
        <f>$E186*HLOOKUP(O$157,'Datu ievade'!$C$421:$AG$426,4)</f>
        <v>315</v>
      </c>
      <c r="P186" s="48">
        <f>$E186*HLOOKUP(P$157,'Datu ievade'!$C$421:$AG$426,4)</f>
        <v>322.5</v>
      </c>
      <c r="Q186" s="48">
        <f>$E186*HLOOKUP(Q$157,'Datu ievade'!$C$421:$AG$426,4)</f>
        <v>330</v>
      </c>
      <c r="R186" s="48">
        <f>$E186*HLOOKUP(R$157,'Datu ievade'!$C$421:$AG$426,4)</f>
        <v>337.5</v>
      </c>
      <c r="S186" s="48">
        <f>$E186*HLOOKUP(S$157,'Datu ievade'!$C$421:$AG$426,4)</f>
        <v>345</v>
      </c>
      <c r="T186" s="48">
        <f>$E186*HLOOKUP(T$157,'Datu ievade'!$C$421:$AG$426,4)</f>
        <v>352.5</v>
      </c>
      <c r="U186" s="48">
        <f>$E186*HLOOKUP(U$157,'Datu ievade'!$C$421:$AG$426,4)</f>
        <v>360</v>
      </c>
      <c r="V186" s="48">
        <f>$E186*HLOOKUP(V$157,'Datu ievade'!$C$421:$AG$426,4)</f>
        <v>367.5</v>
      </c>
      <c r="W186" s="48">
        <f>$E186*HLOOKUP(W$157,'Datu ievade'!$C$421:$AG$426,4)</f>
        <v>375</v>
      </c>
      <c r="X186" s="48">
        <f>$E186*HLOOKUP(X$157,'Datu ievade'!$C$421:$AG$426,4)</f>
        <v>382.5</v>
      </c>
      <c r="Y186" s="48">
        <f>$E186*HLOOKUP(Y$157,'Datu ievade'!$C$421:$AG$426,4)</f>
        <v>390</v>
      </c>
      <c r="Z186" s="48">
        <f>$E186*HLOOKUP(Z$157,'Datu ievade'!$C$421:$AG$426,4)</f>
        <v>397.5</v>
      </c>
      <c r="AA186" s="48">
        <f>$E186*HLOOKUP(AA$157,'Datu ievade'!$C$421:$AG$426,4)</f>
        <v>405</v>
      </c>
      <c r="AB186" s="48">
        <f>$E186*HLOOKUP(AB$157,'Datu ievade'!$C$421:$AG$426,4)</f>
        <v>412.5</v>
      </c>
      <c r="AC186" s="48">
        <f>$E186*HLOOKUP(AC$157,'Datu ievade'!$C$421:$AG$426,4)</f>
        <v>420</v>
      </c>
      <c r="AD186" s="48">
        <f>$E186*HLOOKUP(AD$157,'Datu ievade'!$C$421:$AG$426,4)</f>
        <v>427.5</v>
      </c>
      <c r="AE186" s="48">
        <f>$E186*HLOOKUP(AE$157,'Datu ievade'!$C$421:$AG$426,4)</f>
        <v>435</v>
      </c>
      <c r="AF186" s="48">
        <f>$E186*HLOOKUP(AF$157,'Datu ievade'!$C$421:$AG$426,4)</f>
        <v>442.5</v>
      </c>
      <c r="AG186" s="48">
        <f>$E186*HLOOKUP(AG$157,'Datu ievade'!$C$421:$AG$426,4)</f>
        <v>452.5</v>
      </c>
      <c r="AH186"/>
      <c r="AI186"/>
    </row>
    <row r="187" spans="1:35" s="8" customFormat="1" ht="12.75">
      <c r="A187" s="25" t="s">
        <v>64</v>
      </c>
      <c r="B187" s="456"/>
      <c r="C187" s="952"/>
      <c r="D187" s="46"/>
      <c r="E187" s="439">
        <v>0</v>
      </c>
      <c r="F187" s="48">
        <f>$E187*HLOOKUP(F$157,'Datu ievade'!$C$421:$AG$426,4)</f>
        <v>0</v>
      </c>
      <c r="G187" s="48">
        <f>$E187*HLOOKUP(G$157,'Datu ievade'!$C$421:$AG$426,4)</f>
        <v>0</v>
      </c>
      <c r="H187" s="48">
        <f>$E187*HLOOKUP(H$157,'Datu ievade'!$C$421:$AG$426,4)</f>
        <v>0</v>
      </c>
      <c r="I187" s="48">
        <f>$E187*HLOOKUP(I$157,'Datu ievade'!$C$421:$AG$426,4)</f>
        <v>0</v>
      </c>
      <c r="J187" s="48">
        <f>$E187*HLOOKUP(J$157,'Datu ievade'!$C$421:$AG$426,4)</f>
        <v>0</v>
      </c>
      <c r="K187" s="48">
        <f>$E187*HLOOKUP(K$157,'Datu ievade'!$C$421:$AG$426,4)</f>
        <v>0</v>
      </c>
      <c r="L187" s="48">
        <f>$E187*HLOOKUP(L$157,'Datu ievade'!$C$421:$AG$426,4)</f>
        <v>0</v>
      </c>
      <c r="M187" s="48">
        <f>$E187*HLOOKUP(M$157,'Datu ievade'!$C$421:$AG$426,4)</f>
        <v>0</v>
      </c>
      <c r="N187" s="48">
        <f>$E187*HLOOKUP(N$157,'Datu ievade'!$C$421:$AG$426,4)</f>
        <v>0</v>
      </c>
      <c r="O187" s="48">
        <f>$E187*HLOOKUP(O$157,'Datu ievade'!$C$421:$AG$426,4)</f>
        <v>0</v>
      </c>
      <c r="P187" s="48">
        <f>$E187*HLOOKUP(P$157,'Datu ievade'!$C$421:$AG$426,4)</f>
        <v>0</v>
      </c>
      <c r="Q187" s="48">
        <f>$E187*HLOOKUP(Q$157,'Datu ievade'!$C$421:$AG$426,4)</f>
        <v>0</v>
      </c>
      <c r="R187" s="48">
        <f>$E187*HLOOKUP(R$157,'Datu ievade'!$C$421:$AG$426,4)</f>
        <v>0</v>
      </c>
      <c r="S187" s="48">
        <f>$E187*HLOOKUP(S$157,'Datu ievade'!$C$421:$AG$426,4)</f>
        <v>0</v>
      </c>
      <c r="T187" s="48">
        <f>$E187*HLOOKUP(T$157,'Datu ievade'!$C$421:$AG$426,4)</f>
        <v>0</v>
      </c>
      <c r="U187" s="48">
        <f>$E187*HLOOKUP(U$157,'Datu ievade'!$C$421:$AG$426,4)</f>
        <v>0</v>
      </c>
      <c r="V187" s="48">
        <f>$E187*HLOOKUP(V$157,'Datu ievade'!$C$421:$AG$426,4)</f>
        <v>0</v>
      </c>
      <c r="W187" s="48">
        <f>$E187*HLOOKUP(W$157,'Datu ievade'!$C$421:$AG$426,4)</f>
        <v>0</v>
      </c>
      <c r="X187" s="48">
        <f>$E187*HLOOKUP(X$157,'Datu ievade'!$C$421:$AG$426,4)</f>
        <v>0</v>
      </c>
      <c r="Y187" s="48">
        <f>$E187*HLOOKUP(Y$157,'Datu ievade'!$C$421:$AG$426,4)</f>
        <v>0</v>
      </c>
      <c r="Z187" s="48">
        <f>$E187*HLOOKUP(Z$157,'Datu ievade'!$C$421:$AG$426,4)</f>
        <v>0</v>
      </c>
      <c r="AA187" s="48">
        <f>$E187*HLOOKUP(AA$157,'Datu ievade'!$C$421:$AG$426,4)</f>
        <v>0</v>
      </c>
      <c r="AB187" s="48">
        <f>$E187*HLOOKUP(AB$157,'Datu ievade'!$C$421:$AG$426,4)</f>
        <v>0</v>
      </c>
      <c r="AC187" s="48">
        <f>$E187*HLOOKUP(AC$157,'Datu ievade'!$C$421:$AG$426,4)</f>
        <v>0</v>
      </c>
      <c r="AD187" s="48">
        <f>$E187*HLOOKUP(AD$157,'Datu ievade'!$C$421:$AG$426,4)</f>
        <v>0</v>
      </c>
      <c r="AE187" s="48">
        <f>$E187*HLOOKUP(AE$157,'Datu ievade'!$C$421:$AG$426,4)</f>
        <v>0</v>
      </c>
      <c r="AF187" s="48">
        <f>$E187*HLOOKUP(AF$157,'Datu ievade'!$C$421:$AG$426,4)</f>
        <v>0</v>
      </c>
      <c r="AG187" s="48">
        <f>$E187*HLOOKUP(AG$157,'Datu ievade'!$C$421:$AG$426,4)</f>
        <v>0</v>
      </c>
      <c r="AH187"/>
      <c r="AI187"/>
    </row>
    <row r="188" spans="1:35" s="8" customFormat="1" ht="12.75">
      <c r="A188" s="25" t="s">
        <v>65</v>
      </c>
      <c r="B188" s="456"/>
      <c r="C188" s="952"/>
      <c r="D188" s="46">
        <v>-200</v>
      </c>
      <c r="E188" s="439">
        <v>-400</v>
      </c>
      <c r="F188" s="48">
        <f>$E188*HLOOKUP(F$157,'Datu ievade'!$C$421:$AG$426,4)</f>
        <v>-432</v>
      </c>
      <c r="G188" s="48">
        <f>$E188*HLOOKUP(G$157,'Datu ievade'!$C$421:$AG$426,4)</f>
        <v>-440.00000000000006</v>
      </c>
      <c r="H188" s="48">
        <f>$E188*HLOOKUP(H$157,'Datu ievade'!$C$421:$AG$426,4)</f>
        <v>-448.00000000000006</v>
      </c>
      <c r="I188" s="48">
        <f>$E188*HLOOKUP(I$157,'Datu ievade'!$C$421:$AG$426,4)</f>
        <v>-455.99999999999994</v>
      </c>
      <c r="J188" s="48">
        <f>$E188*HLOOKUP(J$157,'Datu ievade'!$C$421:$AG$426,4)</f>
        <v>-463.99999999999994</v>
      </c>
      <c r="K188" s="48">
        <f>$E188*HLOOKUP(K$157,'Datu ievade'!$C$421:$AG$426,4)</f>
        <v>-472</v>
      </c>
      <c r="L188" s="48">
        <f>$E188*HLOOKUP(L$157,'Datu ievade'!$C$421:$AG$426,4)</f>
        <v>-480</v>
      </c>
      <c r="M188" s="48">
        <f>$E188*HLOOKUP(M$157,'Datu ievade'!$C$421:$AG$426,4)</f>
        <v>-488</v>
      </c>
      <c r="N188" s="48">
        <f>$E188*HLOOKUP(N$157,'Datu ievade'!$C$421:$AG$426,4)</f>
        <v>-496</v>
      </c>
      <c r="O188" s="48">
        <f>$E188*HLOOKUP(O$157,'Datu ievade'!$C$421:$AG$426,4)</f>
        <v>-504</v>
      </c>
      <c r="P188" s="48">
        <f>$E188*HLOOKUP(P$157,'Datu ievade'!$C$421:$AG$426,4)</f>
        <v>-516</v>
      </c>
      <c r="Q188" s="48">
        <f>$E188*HLOOKUP(Q$157,'Datu ievade'!$C$421:$AG$426,4)</f>
        <v>-528</v>
      </c>
      <c r="R188" s="48">
        <f>$E188*HLOOKUP(R$157,'Datu ievade'!$C$421:$AG$426,4)</f>
        <v>-540</v>
      </c>
      <c r="S188" s="48">
        <f>$E188*HLOOKUP(S$157,'Datu ievade'!$C$421:$AG$426,4)</f>
        <v>-552</v>
      </c>
      <c r="T188" s="48">
        <f>$E188*HLOOKUP(T$157,'Datu ievade'!$C$421:$AG$426,4)</f>
        <v>-564</v>
      </c>
      <c r="U188" s="48">
        <f>$E188*HLOOKUP(U$157,'Datu ievade'!$C$421:$AG$426,4)</f>
        <v>-576</v>
      </c>
      <c r="V188" s="48">
        <f>$E188*HLOOKUP(V$157,'Datu ievade'!$C$421:$AG$426,4)</f>
        <v>-588</v>
      </c>
      <c r="W188" s="48">
        <f>$E188*HLOOKUP(W$157,'Datu ievade'!$C$421:$AG$426,4)</f>
        <v>-600</v>
      </c>
      <c r="X188" s="48">
        <f>$E188*HLOOKUP(X$157,'Datu ievade'!$C$421:$AG$426,4)</f>
        <v>-612</v>
      </c>
      <c r="Y188" s="48">
        <f>$E188*HLOOKUP(Y$157,'Datu ievade'!$C$421:$AG$426,4)</f>
        <v>-624</v>
      </c>
      <c r="Z188" s="48">
        <f>$E188*HLOOKUP(Z$157,'Datu ievade'!$C$421:$AG$426,4)</f>
        <v>-636</v>
      </c>
      <c r="AA188" s="48">
        <f>$E188*HLOOKUP(AA$157,'Datu ievade'!$C$421:$AG$426,4)</f>
        <v>-648</v>
      </c>
      <c r="AB188" s="48">
        <f>$E188*HLOOKUP(AB$157,'Datu ievade'!$C$421:$AG$426,4)</f>
        <v>-660</v>
      </c>
      <c r="AC188" s="48">
        <f>$E188*HLOOKUP(AC$157,'Datu ievade'!$C$421:$AG$426,4)</f>
        <v>-672</v>
      </c>
      <c r="AD188" s="48">
        <f>$E188*HLOOKUP(AD$157,'Datu ievade'!$C$421:$AG$426,4)</f>
        <v>-684</v>
      </c>
      <c r="AE188" s="48">
        <f>$E188*HLOOKUP(AE$157,'Datu ievade'!$C$421:$AG$426,4)</f>
        <v>-696</v>
      </c>
      <c r="AF188" s="48">
        <f>$E188*HLOOKUP(AF$157,'Datu ievade'!$C$421:$AG$426,4)</f>
        <v>-708</v>
      </c>
      <c r="AG188" s="48">
        <f>$E188*HLOOKUP(AG$157,'Datu ievade'!$C$421:$AG$426,4)</f>
        <v>-724</v>
      </c>
      <c r="AH188"/>
      <c r="AI188"/>
    </row>
    <row r="189" spans="1:35" s="8" customFormat="1" ht="12.75">
      <c r="A189" s="25" t="s">
        <v>66</v>
      </c>
      <c r="B189" s="456"/>
      <c r="C189" s="953"/>
      <c r="D189" s="47"/>
      <c r="E189"/>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c r="AI189"/>
    </row>
    <row r="190" spans="1:35" s="8" customFormat="1" ht="12.75">
      <c r="A190" s="25" t="s">
        <v>67</v>
      </c>
      <c r="B190" s="456"/>
      <c r="C190" s="952"/>
      <c r="D190" s="46"/>
      <c r="E190" s="439">
        <v>250</v>
      </c>
      <c r="F190" s="48">
        <f>$E190*HLOOKUP(F$157,'Datu ievade'!$C$421:$AG$426,4)</f>
        <v>270</v>
      </c>
      <c r="G190" s="48">
        <f>$E190*HLOOKUP(G$157,'Datu ievade'!$C$421:$AG$426,4)</f>
        <v>275</v>
      </c>
      <c r="H190" s="48">
        <f>$E190*HLOOKUP(H$157,'Datu ievade'!$C$421:$AG$426,4)</f>
        <v>280</v>
      </c>
      <c r="I190" s="48">
        <f>$E190*HLOOKUP(I$157,'Datu ievade'!$C$421:$AG$426,4)</f>
        <v>285</v>
      </c>
      <c r="J190" s="48">
        <f>$E190*HLOOKUP(J$157,'Datu ievade'!$C$421:$AG$426,4)</f>
        <v>290</v>
      </c>
      <c r="K190" s="48">
        <f>$E190*HLOOKUP(K$157,'Datu ievade'!$C$421:$AG$426,4)</f>
        <v>295</v>
      </c>
      <c r="L190" s="48">
        <f>$E190*HLOOKUP(L$157,'Datu ievade'!$C$421:$AG$426,4)</f>
        <v>300</v>
      </c>
      <c r="M190" s="48">
        <f>$E190*HLOOKUP(M$157,'Datu ievade'!$C$421:$AG$426,4)</f>
        <v>305</v>
      </c>
      <c r="N190" s="48">
        <f>$E190*HLOOKUP(N$157,'Datu ievade'!$C$421:$AG$426,4)</f>
        <v>310</v>
      </c>
      <c r="O190" s="48">
        <f>$E190*HLOOKUP(O$157,'Datu ievade'!$C$421:$AG$426,4)</f>
        <v>315</v>
      </c>
      <c r="P190" s="48">
        <f>$E190*HLOOKUP(P$157,'Datu ievade'!$C$421:$AG$426,4)</f>
        <v>322.5</v>
      </c>
      <c r="Q190" s="48">
        <f>$E190*HLOOKUP(Q$157,'Datu ievade'!$C$421:$AG$426,4)</f>
        <v>330</v>
      </c>
      <c r="R190" s="48">
        <f>$E190*HLOOKUP(R$157,'Datu ievade'!$C$421:$AG$426,4)</f>
        <v>337.5</v>
      </c>
      <c r="S190" s="48">
        <f>$E190*HLOOKUP(S$157,'Datu ievade'!$C$421:$AG$426,4)</f>
        <v>345</v>
      </c>
      <c r="T190" s="48">
        <f>$E190*HLOOKUP(T$157,'Datu ievade'!$C$421:$AG$426,4)</f>
        <v>352.5</v>
      </c>
      <c r="U190" s="48">
        <f>$E190*HLOOKUP(U$157,'Datu ievade'!$C$421:$AG$426,4)</f>
        <v>360</v>
      </c>
      <c r="V190" s="48">
        <f>$E190*HLOOKUP(V$157,'Datu ievade'!$C$421:$AG$426,4)</f>
        <v>367.5</v>
      </c>
      <c r="W190" s="48">
        <f>$E190*HLOOKUP(W$157,'Datu ievade'!$C$421:$AG$426,4)</f>
        <v>375</v>
      </c>
      <c r="X190" s="48">
        <f>$E190*HLOOKUP(X$157,'Datu ievade'!$C$421:$AG$426,4)</f>
        <v>382.5</v>
      </c>
      <c r="Y190" s="48">
        <f>$E190*HLOOKUP(Y$157,'Datu ievade'!$C$421:$AG$426,4)</f>
        <v>390</v>
      </c>
      <c r="Z190" s="48">
        <f>$E190*HLOOKUP(Z$157,'Datu ievade'!$C$421:$AG$426,4)</f>
        <v>397.5</v>
      </c>
      <c r="AA190" s="48">
        <f>$E190*HLOOKUP(AA$157,'Datu ievade'!$C$421:$AG$426,4)</f>
        <v>405</v>
      </c>
      <c r="AB190" s="48">
        <f>$E190*HLOOKUP(AB$157,'Datu ievade'!$C$421:$AG$426,4)</f>
        <v>412.5</v>
      </c>
      <c r="AC190" s="48">
        <f>$E190*HLOOKUP(AC$157,'Datu ievade'!$C$421:$AG$426,4)</f>
        <v>420</v>
      </c>
      <c r="AD190" s="48">
        <f>$E190*HLOOKUP(AD$157,'Datu ievade'!$C$421:$AG$426,4)</f>
        <v>427.5</v>
      </c>
      <c r="AE190" s="48">
        <f>$E190*HLOOKUP(AE$157,'Datu ievade'!$C$421:$AG$426,4)</f>
        <v>435</v>
      </c>
      <c r="AF190" s="48">
        <f>$E190*HLOOKUP(AF$157,'Datu ievade'!$C$421:$AG$426,4)</f>
        <v>442.5</v>
      </c>
      <c r="AG190" s="48">
        <f>$E190*HLOOKUP(AG$157,'Datu ievade'!$C$421:$AG$426,4)</f>
        <v>452.5</v>
      </c>
      <c r="AH190"/>
      <c r="AI190"/>
    </row>
    <row r="191" spans="1:35" s="8" customFormat="1" ht="12.75">
      <c r="A191" s="25" t="s">
        <v>68</v>
      </c>
      <c r="B191" s="456"/>
      <c r="C191" s="577"/>
      <c r="D191" s="48">
        <f aca="true" t="shared" si="6" ref="D191:AG191">D190*0.2409</f>
        <v>0</v>
      </c>
      <c r="E191" s="48">
        <f t="shared" si="6"/>
        <v>60.225</v>
      </c>
      <c r="F191" s="48">
        <f t="shared" si="6"/>
        <v>65.043</v>
      </c>
      <c r="G191" s="48">
        <f t="shared" si="6"/>
        <v>66.2475</v>
      </c>
      <c r="H191" s="48">
        <f t="shared" si="6"/>
        <v>67.452</v>
      </c>
      <c r="I191" s="48">
        <f t="shared" si="6"/>
        <v>68.6565</v>
      </c>
      <c r="J191" s="48">
        <f t="shared" si="6"/>
        <v>69.861</v>
      </c>
      <c r="K191" s="48">
        <f t="shared" si="6"/>
        <v>71.0655</v>
      </c>
      <c r="L191" s="48">
        <f t="shared" si="6"/>
        <v>72.27</v>
      </c>
      <c r="M191" s="48">
        <f t="shared" si="6"/>
        <v>73.4745</v>
      </c>
      <c r="N191" s="48">
        <f t="shared" si="6"/>
        <v>74.679</v>
      </c>
      <c r="O191" s="48">
        <f t="shared" si="6"/>
        <v>75.8835</v>
      </c>
      <c r="P191" s="48">
        <f t="shared" si="6"/>
        <v>77.69025</v>
      </c>
      <c r="Q191" s="48">
        <f t="shared" si="6"/>
        <v>79.497</v>
      </c>
      <c r="R191" s="48">
        <f t="shared" si="6"/>
        <v>81.30375000000001</v>
      </c>
      <c r="S191" s="48">
        <f t="shared" si="6"/>
        <v>83.1105</v>
      </c>
      <c r="T191" s="48">
        <f t="shared" si="6"/>
        <v>84.91725</v>
      </c>
      <c r="U191" s="48">
        <f t="shared" si="6"/>
        <v>86.724</v>
      </c>
      <c r="V191" s="48">
        <f t="shared" si="6"/>
        <v>88.53075</v>
      </c>
      <c r="W191" s="48">
        <f t="shared" si="6"/>
        <v>90.3375</v>
      </c>
      <c r="X191" s="48">
        <f t="shared" si="6"/>
        <v>92.14425</v>
      </c>
      <c r="Y191" s="48">
        <f t="shared" si="6"/>
        <v>93.95100000000001</v>
      </c>
      <c r="Z191" s="48">
        <f t="shared" si="6"/>
        <v>95.75775</v>
      </c>
      <c r="AA191" s="48">
        <f t="shared" si="6"/>
        <v>97.5645</v>
      </c>
      <c r="AB191" s="48">
        <f t="shared" si="6"/>
        <v>99.37125</v>
      </c>
      <c r="AC191" s="48">
        <f t="shared" si="6"/>
        <v>101.178</v>
      </c>
      <c r="AD191" s="48">
        <f t="shared" si="6"/>
        <v>102.98475</v>
      </c>
      <c r="AE191" s="48">
        <f t="shared" si="6"/>
        <v>104.7915</v>
      </c>
      <c r="AF191" s="48">
        <f t="shared" si="6"/>
        <v>106.59825000000001</v>
      </c>
      <c r="AG191" s="48">
        <f t="shared" si="6"/>
        <v>109.00725</v>
      </c>
      <c r="AH191"/>
      <c r="AI191"/>
    </row>
    <row r="192" spans="1:35" s="8" customFormat="1" ht="12.75">
      <c r="A192" s="25" t="s">
        <v>69</v>
      </c>
      <c r="B192" s="456"/>
      <c r="C192" s="952"/>
      <c r="D192" s="46"/>
      <c r="E192" s="439">
        <v>0</v>
      </c>
      <c r="F192" s="48">
        <f>$E192*HLOOKUP(F$157,'Datu ievade'!$C$421:$AG$426,4)</f>
        <v>0</v>
      </c>
      <c r="G192" s="48">
        <f>$E192*HLOOKUP(G$157,'Datu ievade'!$C$421:$AG$426,4)</f>
        <v>0</v>
      </c>
      <c r="H192" s="48">
        <f>$E192*HLOOKUP(H$157,'Datu ievade'!$C$421:$AG$426,4)</f>
        <v>0</v>
      </c>
      <c r="I192" s="48">
        <f>$E192*HLOOKUP(I$157,'Datu ievade'!$C$421:$AG$426,4)</f>
        <v>0</v>
      </c>
      <c r="J192" s="48">
        <f>$E192*HLOOKUP(J$157,'Datu ievade'!$C$421:$AG$426,4)</f>
        <v>0</v>
      </c>
      <c r="K192" s="48">
        <f>$E192*HLOOKUP(K$157,'Datu ievade'!$C$421:$AG$426,4)</f>
        <v>0</v>
      </c>
      <c r="L192" s="48">
        <f>$E192*HLOOKUP(L$157,'Datu ievade'!$C$421:$AG$426,4)</f>
        <v>0</v>
      </c>
      <c r="M192" s="48">
        <f>$E192*HLOOKUP(M$157,'Datu ievade'!$C$421:$AG$426,4)</f>
        <v>0</v>
      </c>
      <c r="N192" s="48">
        <f>$E192*HLOOKUP(N$157,'Datu ievade'!$C$421:$AG$426,4)</f>
        <v>0</v>
      </c>
      <c r="O192" s="48">
        <f>$E192*HLOOKUP(O$157,'Datu ievade'!$C$421:$AG$426,4)</f>
        <v>0</v>
      </c>
      <c r="P192" s="48">
        <f>$E192*HLOOKUP(P$157,'Datu ievade'!$C$421:$AG$426,4)</f>
        <v>0</v>
      </c>
      <c r="Q192" s="48">
        <f>$E192*HLOOKUP(Q$157,'Datu ievade'!$C$421:$AG$426,4)</f>
        <v>0</v>
      </c>
      <c r="R192" s="48">
        <f>$E192*HLOOKUP(R$157,'Datu ievade'!$C$421:$AG$426,4)</f>
        <v>0</v>
      </c>
      <c r="S192" s="48">
        <f>$E192*HLOOKUP(S$157,'Datu ievade'!$C$421:$AG$426,4)</f>
        <v>0</v>
      </c>
      <c r="T192" s="48">
        <f>$E192*HLOOKUP(T$157,'Datu ievade'!$C$421:$AG$426,4)</f>
        <v>0</v>
      </c>
      <c r="U192" s="48">
        <f>$E192*HLOOKUP(U$157,'Datu ievade'!$C$421:$AG$426,4)</f>
        <v>0</v>
      </c>
      <c r="V192" s="48">
        <f>$E192*HLOOKUP(V$157,'Datu ievade'!$C$421:$AG$426,4)</f>
        <v>0</v>
      </c>
      <c r="W192" s="48">
        <f>$E192*HLOOKUP(W$157,'Datu ievade'!$C$421:$AG$426,4)</f>
        <v>0</v>
      </c>
      <c r="X192" s="48">
        <f>$E192*HLOOKUP(X$157,'Datu ievade'!$C$421:$AG$426,4)</f>
        <v>0</v>
      </c>
      <c r="Y192" s="48">
        <f>$E192*HLOOKUP(Y$157,'Datu ievade'!$C$421:$AG$426,4)</f>
        <v>0</v>
      </c>
      <c r="Z192" s="48">
        <f>$E192*HLOOKUP(Z$157,'Datu ievade'!$C$421:$AG$426,4)</f>
        <v>0</v>
      </c>
      <c r="AA192" s="48">
        <f>$E192*HLOOKUP(AA$157,'Datu ievade'!$C$421:$AG$426,4)</f>
        <v>0</v>
      </c>
      <c r="AB192" s="48">
        <f>$E192*HLOOKUP(AB$157,'Datu ievade'!$C$421:$AG$426,4)</f>
        <v>0</v>
      </c>
      <c r="AC192" s="48">
        <f>$E192*HLOOKUP(AC$157,'Datu ievade'!$C$421:$AG$426,4)</f>
        <v>0</v>
      </c>
      <c r="AD192" s="48">
        <f>$E192*HLOOKUP(AD$157,'Datu ievade'!$C$421:$AG$426,4)</f>
        <v>0</v>
      </c>
      <c r="AE192" s="48">
        <f>$E192*HLOOKUP(AE$157,'Datu ievade'!$C$421:$AG$426,4)</f>
        <v>0</v>
      </c>
      <c r="AF192" s="48">
        <f>$E192*HLOOKUP(AF$157,'Datu ievade'!$C$421:$AG$426,4)</f>
        <v>0</v>
      </c>
      <c r="AG192" s="48">
        <f>$E192*HLOOKUP(AG$157,'Datu ievade'!$C$421:$AG$426,4)</f>
        <v>0</v>
      </c>
      <c r="AH192"/>
      <c r="AI192"/>
    </row>
    <row r="193" spans="1:35" s="8" customFormat="1" ht="13.5">
      <c r="A193" s="455" t="s">
        <v>70</v>
      </c>
      <c r="B193" s="456"/>
      <c r="C193" s="954"/>
      <c r="D193" s="50"/>
      <c r="E193"/>
      <c r="F193"/>
      <c r="G193"/>
      <c r="H193"/>
      <c r="I193"/>
      <c r="J193"/>
      <c r="K193"/>
      <c r="L193"/>
      <c r="M193"/>
      <c r="N193"/>
      <c r="O193"/>
      <c r="P193"/>
      <c r="Q193"/>
      <c r="R193"/>
      <c r="S193"/>
      <c r="T193"/>
      <c r="U193"/>
      <c r="V193"/>
      <c r="W193"/>
      <c r="X193"/>
      <c r="Y193"/>
      <c r="Z193"/>
      <c r="AA193"/>
      <c r="AB193"/>
      <c r="AC193"/>
      <c r="AD193"/>
      <c r="AE193"/>
      <c r="AF193"/>
      <c r="AG193"/>
      <c r="AH193"/>
      <c r="AI193"/>
    </row>
    <row r="194" spans="1:35" s="8" customFormat="1" ht="12.75">
      <c r="A194" s="25" t="s">
        <v>60</v>
      </c>
      <c r="B194" s="456"/>
      <c r="C194" s="953"/>
      <c r="D194" s="47"/>
      <c r="E194"/>
      <c r="F194"/>
      <c r="G194"/>
      <c r="H194"/>
      <c r="I194"/>
      <c r="J194"/>
      <c r="K194"/>
      <c r="L194"/>
      <c r="M194"/>
      <c r="N194"/>
      <c r="O194"/>
      <c r="P194"/>
      <c r="Q194"/>
      <c r="R194"/>
      <c r="S194"/>
      <c r="T194"/>
      <c r="U194"/>
      <c r="V194"/>
      <c r="W194"/>
      <c r="X194"/>
      <c r="Y194"/>
      <c r="Z194"/>
      <c r="AA194"/>
      <c r="AB194"/>
      <c r="AC194"/>
      <c r="AD194"/>
      <c r="AE194"/>
      <c r="AF194"/>
      <c r="AG194"/>
      <c r="AH194"/>
      <c r="AI194"/>
    </row>
    <row r="195" spans="1:35" s="8" customFormat="1" ht="12.75">
      <c r="A195" s="25" t="s">
        <v>61</v>
      </c>
      <c r="B195" s="456"/>
      <c r="C195" s="952"/>
      <c r="D195" s="46">
        <v>-1000</v>
      </c>
      <c r="E195" s="439">
        <v>-5000</v>
      </c>
      <c r="F195" s="48">
        <f>$E195*HLOOKUP(F$157,'Datu ievade'!$C$421:$AG$426,4)</f>
        <v>-5400</v>
      </c>
      <c r="G195" s="48">
        <f>$E195*HLOOKUP(G$157,'Datu ievade'!$C$421:$AG$426,4)</f>
        <v>-5500</v>
      </c>
      <c r="H195" s="48">
        <f>$E195*HLOOKUP(H$157,'Datu ievade'!$C$421:$AG$426,4)</f>
        <v>-5600.000000000001</v>
      </c>
      <c r="I195" s="48">
        <f>$E195*HLOOKUP(I$157,'Datu ievade'!$C$421:$AG$426,4)</f>
        <v>-5699.999999999999</v>
      </c>
      <c r="J195" s="48">
        <f>$E195*HLOOKUP(J$157,'Datu ievade'!$C$421:$AG$426,4)</f>
        <v>-5800</v>
      </c>
      <c r="K195" s="48">
        <f>$E195*HLOOKUP(K$157,'Datu ievade'!$C$421:$AG$426,4)</f>
        <v>-5900</v>
      </c>
      <c r="L195" s="48">
        <f>$E195*HLOOKUP(L$157,'Datu ievade'!$C$421:$AG$426,4)</f>
        <v>-6000</v>
      </c>
      <c r="M195" s="48">
        <f>$E195*HLOOKUP(M$157,'Datu ievade'!$C$421:$AG$426,4)</f>
        <v>-6100</v>
      </c>
      <c r="N195" s="48">
        <f>$E195*HLOOKUP(N$157,'Datu ievade'!$C$421:$AG$426,4)</f>
        <v>-6200</v>
      </c>
      <c r="O195" s="48">
        <f>$E195*HLOOKUP(O$157,'Datu ievade'!$C$421:$AG$426,4)</f>
        <v>-6300</v>
      </c>
      <c r="P195" s="48">
        <f>$E195*HLOOKUP(P$157,'Datu ievade'!$C$421:$AG$426,4)</f>
        <v>-6450</v>
      </c>
      <c r="Q195" s="48">
        <f>$E195*HLOOKUP(Q$157,'Datu ievade'!$C$421:$AG$426,4)</f>
        <v>-6600</v>
      </c>
      <c r="R195" s="48">
        <f>$E195*HLOOKUP(R$157,'Datu ievade'!$C$421:$AG$426,4)</f>
        <v>-6750</v>
      </c>
      <c r="S195" s="48">
        <f>$E195*HLOOKUP(S$157,'Datu ievade'!$C$421:$AG$426,4)</f>
        <v>-6899.999999999999</v>
      </c>
      <c r="T195" s="48">
        <f>$E195*HLOOKUP(T$157,'Datu ievade'!$C$421:$AG$426,4)</f>
        <v>-7050</v>
      </c>
      <c r="U195" s="48">
        <f>$E195*HLOOKUP(U$157,'Datu ievade'!$C$421:$AG$426,4)</f>
        <v>-7200</v>
      </c>
      <c r="V195" s="48">
        <f>$E195*HLOOKUP(V$157,'Datu ievade'!$C$421:$AG$426,4)</f>
        <v>-7350</v>
      </c>
      <c r="W195" s="48">
        <f>$E195*HLOOKUP(W$157,'Datu ievade'!$C$421:$AG$426,4)</f>
        <v>-7500</v>
      </c>
      <c r="X195" s="48">
        <f>$E195*HLOOKUP(X$157,'Datu ievade'!$C$421:$AG$426,4)</f>
        <v>-7650</v>
      </c>
      <c r="Y195" s="48">
        <f>$E195*HLOOKUP(Y$157,'Datu ievade'!$C$421:$AG$426,4)</f>
        <v>-7800</v>
      </c>
      <c r="Z195" s="48">
        <f>$E195*HLOOKUP(Z$157,'Datu ievade'!$C$421:$AG$426,4)</f>
        <v>-7950</v>
      </c>
      <c r="AA195" s="48">
        <f>$E195*HLOOKUP(AA$157,'Datu ievade'!$C$421:$AG$426,4)</f>
        <v>-8100.000000000001</v>
      </c>
      <c r="AB195" s="48">
        <f>$E195*HLOOKUP(AB$157,'Datu ievade'!$C$421:$AG$426,4)</f>
        <v>-8250</v>
      </c>
      <c r="AC195" s="48">
        <f>$E195*HLOOKUP(AC$157,'Datu ievade'!$C$421:$AG$426,4)</f>
        <v>-8400</v>
      </c>
      <c r="AD195" s="48">
        <f>$E195*HLOOKUP(AD$157,'Datu ievade'!$C$421:$AG$426,4)</f>
        <v>-8550</v>
      </c>
      <c r="AE195" s="48">
        <f>$E195*HLOOKUP(AE$157,'Datu ievade'!$C$421:$AG$426,4)</f>
        <v>-8700</v>
      </c>
      <c r="AF195" s="48">
        <f>$E195*HLOOKUP(AF$157,'Datu ievade'!$C$421:$AG$426,4)</f>
        <v>-8850</v>
      </c>
      <c r="AG195" s="48">
        <f>$E195*HLOOKUP(AG$157,'Datu ievade'!$C$421:$AG$426,4)</f>
        <v>-9050</v>
      </c>
      <c r="AH195"/>
      <c r="AI195"/>
    </row>
    <row r="196" spans="1:35" s="8" customFormat="1" ht="12.75">
      <c r="A196" s="25" t="s">
        <v>62</v>
      </c>
      <c r="B196" s="456"/>
      <c r="C196" s="952"/>
      <c r="D196" s="46"/>
      <c r="E196" s="439">
        <v>100</v>
      </c>
      <c r="F196" s="48">
        <f>$E196*HLOOKUP(F$157,'Datu ievade'!$C$421:$AG$426,4)</f>
        <v>108</v>
      </c>
      <c r="G196" s="48">
        <f>$E196*HLOOKUP(G$157,'Datu ievade'!$C$421:$AG$426,4)</f>
        <v>110.00000000000001</v>
      </c>
      <c r="H196" s="48">
        <f>$E196*HLOOKUP(H$157,'Datu ievade'!$C$421:$AG$426,4)</f>
        <v>112.00000000000001</v>
      </c>
      <c r="I196" s="48">
        <f>$E196*HLOOKUP(I$157,'Datu ievade'!$C$421:$AG$426,4)</f>
        <v>113.99999999999999</v>
      </c>
      <c r="J196" s="48">
        <f>$E196*HLOOKUP(J$157,'Datu ievade'!$C$421:$AG$426,4)</f>
        <v>115.99999999999999</v>
      </c>
      <c r="K196" s="48">
        <f>$E196*HLOOKUP(K$157,'Datu ievade'!$C$421:$AG$426,4)</f>
        <v>118</v>
      </c>
      <c r="L196" s="48">
        <f>$E196*HLOOKUP(L$157,'Datu ievade'!$C$421:$AG$426,4)</f>
        <v>120</v>
      </c>
      <c r="M196" s="48">
        <f>$E196*HLOOKUP(M$157,'Datu ievade'!$C$421:$AG$426,4)</f>
        <v>122</v>
      </c>
      <c r="N196" s="48">
        <f>$E196*HLOOKUP(N$157,'Datu ievade'!$C$421:$AG$426,4)</f>
        <v>124</v>
      </c>
      <c r="O196" s="48">
        <f>$E196*HLOOKUP(O$157,'Datu ievade'!$C$421:$AG$426,4)</f>
        <v>126</v>
      </c>
      <c r="P196" s="48">
        <f>$E196*HLOOKUP(P$157,'Datu ievade'!$C$421:$AG$426,4)</f>
        <v>129</v>
      </c>
      <c r="Q196" s="48">
        <f>$E196*HLOOKUP(Q$157,'Datu ievade'!$C$421:$AG$426,4)</f>
        <v>132</v>
      </c>
      <c r="R196" s="48">
        <f>$E196*HLOOKUP(R$157,'Datu ievade'!$C$421:$AG$426,4)</f>
        <v>135</v>
      </c>
      <c r="S196" s="48">
        <f>$E196*HLOOKUP(S$157,'Datu ievade'!$C$421:$AG$426,4)</f>
        <v>138</v>
      </c>
      <c r="T196" s="48">
        <f>$E196*HLOOKUP(T$157,'Datu ievade'!$C$421:$AG$426,4)</f>
        <v>141</v>
      </c>
      <c r="U196" s="48">
        <f>$E196*HLOOKUP(U$157,'Datu ievade'!$C$421:$AG$426,4)</f>
        <v>144</v>
      </c>
      <c r="V196" s="48">
        <f>$E196*HLOOKUP(V$157,'Datu ievade'!$C$421:$AG$426,4)</f>
        <v>147</v>
      </c>
      <c r="W196" s="48">
        <f>$E196*HLOOKUP(W$157,'Datu ievade'!$C$421:$AG$426,4)</f>
        <v>150</v>
      </c>
      <c r="X196" s="48">
        <f>$E196*HLOOKUP(X$157,'Datu ievade'!$C$421:$AG$426,4)</f>
        <v>153</v>
      </c>
      <c r="Y196" s="48">
        <f>$E196*HLOOKUP(Y$157,'Datu ievade'!$C$421:$AG$426,4)</f>
        <v>156</v>
      </c>
      <c r="Z196" s="48">
        <f>$E196*HLOOKUP(Z$157,'Datu ievade'!$C$421:$AG$426,4)</f>
        <v>159</v>
      </c>
      <c r="AA196" s="48">
        <f>$E196*HLOOKUP(AA$157,'Datu ievade'!$C$421:$AG$426,4)</f>
        <v>162</v>
      </c>
      <c r="AB196" s="48">
        <f>$E196*HLOOKUP(AB$157,'Datu ievade'!$C$421:$AG$426,4)</f>
        <v>165</v>
      </c>
      <c r="AC196" s="48">
        <f>$E196*HLOOKUP(AC$157,'Datu ievade'!$C$421:$AG$426,4)</f>
        <v>168</v>
      </c>
      <c r="AD196" s="48">
        <f>$E196*HLOOKUP(AD$157,'Datu ievade'!$C$421:$AG$426,4)</f>
        <v>171</v>
      </c>
      <c r="AE196" s="48">
        <f>$E196*HLOOKUP(AE$157,'Datu ievade'!$C$421:$AG$426,4)</f>
        <v>174</v>
      </c>
      <c r="AF196" s="48">
        <f>$E196*HLOOKUP(AF$157,'Datu ievade'!$C$421:$AG$426,4)</f>
        <v>177</v>
      </c>
      <c r="AG196" s="48">
        <f>$E196*HLOOKUP(AG$157,'Datu ievade'!$C$421:$AG$426,4)</f>
        <v>181</v>
      </c>
      <c r="AH196"/>
      <c r="AI196"/>
    </row>
    <row r="197" spans="1:35" s="8" customFormat="1" ht="12.75">
      <c r="A197" s="25" t="s">
        <v>63</v>
      </c>
      <c r="B197" s="456"/>
      <c r="C197" s="952"/>
      <c r="D197" s="46"/>
      <c r="E197" s="439">
        <v>150</v>
      </c>
      <c r="F197" s="48">
        <f>$E197*HLOOKUP(F$157,'Datu ievade'!$C$421:$AG$426,4)</f>
        <v>162</v>
      </c>
      <c r="G197" s="48">
        <f>$E197*HLOOKUP(G$157,'Datu ievade'!$C$421:$AG$426,4)</f>
        <v>165</v>
      </c>
      <c r="H197" s="48">
        <f>$E197*HLOOKUP(H$157,'Datu ievade'!$C$421:$AG$426,4)</f>
        <v>168.00000000000003</v>
      </c>
      <c r="I197" s="48">
        <f>$E197*HLOOKUP(I$157,'Datu ievade'!$C$421:$AG$426,4)</f>
        <v>170.99999999999997</v>
      </c>
      <c r="J197" s="48">
        <f>$E197*HLOOKUP(J$157,'Datu ievade'!$C$421:$AG$426,4)</f>
        <v>174</v>
      </c>
      <c r="K197" s="48">
        <f>$E197*HLOOKUP(K$157,'Datu ievade'!$C$421:$AG$426,4)</f>
        <v>177</v>
      </c>
      <c r="L197" s="48">
        <f>$E197*HLOOKUP(L$157,'Datu ievade'!$C$421:$AG$426,4)</f>
        <v>180</v>
      </c>
      <c r="M197" s="48">
        <f>$E197*HLOOKUP(M$157,'Datu ievade'!$C$421:$AG$426,4)</f>
        <v>183</v>
      </c>
      <c r="N197" s="48">
        <f>$E197*HLOOKUP(N$157,'Datu ievade'!$C$421:$AG$426,4)</f>
        <v>186</v>
      </c>
      <c r="O197" s="48">
        <f>$E197*HLOOKUP(O$157,'Datu ievade'!$C$421:$AG$426,4)</f>
        <v>189</v>
      </c>
      <c r="P197" s="48">
        <f>$E197*HLOOKUP(P$157,'Datu ievade'!$C$421:$AG$426,4)</f>
        <v>193.5</v>
      </c>
      <c r="Q197" s="48">
        <f>$E197*HLOOKUP(Q$157,'Datu ievade'!$C$421:$AG$426,4)</f>
        <v>198</v>
      </c>
      <c r="R197" s="48">
        <f>$E197*HLOOKUP(R$157,'Datu ievade'!$C$421:$AG$426,4)</f>
        <v>202.5</v>
      </c>
      <c r="S197" s="48">
        <f>$E197*HLOOKUP(S$157,'Datu ievade'!$C$421:$AG$426,4)</f>
        <v>206.99999999999997</v>
      </c>
      <c r="T197" s="48">
        <f>$E197*HLOOKUP(T$157,'Datu ievade'!$C$421:$AG$426,4)</f>
        <v>211.5</v>
      </c>
      <c r="U197" s="48">
        <f>$E197*HLOOKUP(U$157,'Datu ievade'!$C$421:$AG$426,4)</f>
        <v>216</v>
      </c>
      <c r="V197" s="48">
        <f>$E197*HLOOKUP(V$157,'Datu ievade'!$C$421:$AG$426,4)</f>
        <v>220.5</v>
      </c>
      <c r="W197" s="48">
        <f>$E197*HLOOKUP(W$157,'Datu ievade'!$C$421:$AG$426,4)</f>
        <v>225</v>
      </c>
      <c r="X197" s="48">
        <f>$E197*HLOOKUP(X$157,'Datu ievade'!$C$421:$AG$426,4)</f>
        <v>229.5</v>
      </c>
      <c r="Y197" s="48">
        <f>$E197*HLOOKUP(Y$157,'Datu ievade'!$C$421:$AG$426,4)</f>
        <v>234</v>
      </c>
      <c r="Z197" s="48">
        <f>$E197*HLOOKUP(Z$157,'Datu ievade'!$C$421:$AG$426,4)</f>
        <v>238.5</v>
      </c>
      <c r="AA197" s="48">
        <f>$E197*HLOOKUP(AA$157,'Datu ievade'!$C$421:$AG$426,4)</f>
        <v>243.00000000000003</v>
      </c>
      <c r="AB197" s="48">
        <f>$E197*HLOOKUP(AB$157,'Datu ievade'!$C$421:$AG$426,4)</f>
        <v>247.5</v>
      </c>
      <c r="AC197" s="48">
        <f>$E197*HLOOKUP(AC$157,'Datu ievade'!$C$421:$AG$426,4)</f>
        <v>252</v>
      </c>
      <c r="AD197" s="48">
        <f>$E197*HLOOKUP(AD$157,'Datu ievade'!$C$421:$AG$426,4)</f>
        <v>256.5</v>
      </c>
      <c r="AE197" s="48">
        <f>$E197*HLOOKUP(AE$157,'Datu ievade'!$C$421:$AG$426,4)</f>
        <v>261</v>
      </c>
      <c r="AF197" s="48">
        <f>$E197*HLOOKUP(AF$157,'Datu ievade'!$C$421:$AG$426,4)</f>
        <v>265.5</v>
      </c>
      <c r="AG197" s="48">
        <f>$E197*HLOOKUP(AG$157,'Datu ievade'!$C$421:$AG$426,4)</f>
        <v>271.5</v>
      </c>
      <c r="AH197"/>
      <c r="AI197"/>
    </row>
    <row r="198" spans="1:35" s="8" customFormat="1" ht="12.75">
      <c r="A198" s="25" t="s">
        <v>64</v>
      </c>
      <c r="B198" s="456"/>
      <c r="C198" s="952"/>
      <c r="D198" s="46"/>
      <c r="E198" s="439">
        <v>0</v>
      </c>
      <c r="F198" s="48">
        <f>$E198*HLOOKUP(F$157,'Datu ievade'!$C$421:$AG$426,4)</f>
        <v>0</v>
      </c>
      <c r="G198" s="48">
        <f>$E198*HLOOKUP(G$157,'Datu ievade'!$C$421:$AG$426,4)</f>
        <v>0</v>
      </c>
      <c r="H198" s="48">
        <f>$E198*HLOOKUP(H$157,'Datu ievade'!$C$421:$AG$426,4)</f>
        <v>0</v>
      </c>
      <c r="I198" s="48">
        <f>$E198*HLOOKUP(I$157,'Datu ievade'!$C$421:$AG$426,4)</f>
        <v>0</v>
      </c>
      <c r="J198" s="48">
        <f>$E198*HLOOKUP(J$157,'Datu ievade'!$C$421:$AG$426,4)</f>
        <v>0</v>
      </c>
      <c r="K198" s="48">
        <f>$E198*HLOOKUP(K$157,'Datu ievade'!$C$421:$AG$426,4)</f>
        <v>0</v>
      </c>
      <c r="L198" s="48">
        <f>$E198*HLOOKUP(L$157,'Datu ievade'!$C$421:$AG$426,4)</f>
        <v>0</v>
      </c>
      <c r="M198" s="48">
        <f>$E198*HLOOKUP(M$157,'Datu ievade'!$C$421:$AG$426,4)</f>
        <v>0</v>
      </c>
      <c r="N198" s="48">
        <f>$E198*HLOOKUP(N$157,'Datu ievade'!$C$421:$AG$426,4)</f>
        <v>0</v>
      </c>
      <c r="O198" s="48">
        <f>$E198*HLOOKUP(O$157,'Datu ievade'!$C$421:$AG$426,4)</f>
        <v>0</v>
      </c>
      <c r="P198" s="48">
        <f>$E198*HLOOKUP(P$157,'Datu ievade'!$C$421:$AG$426,4)</f>
        <v>0</v>
      </c>
      <c r="Q198" s="48">
        <f>$E198*HLOOKUP(Q$157,'Datu ievade'!$C$421:$AG$426,4)</f>
        <v>0</v>
      </c>
      <c r="R198" s="48">
        <f>$E198*HLOOKUP(R$157,'Datu ievade'!$C$421:$AG$426,4)</f>
        <v>0</v>
      </c>
      <c r="S198" s="48">
        <f>$E198*HLOOKUP(S$157,'Datu ievade'!$C$421:$AG$426,4)</f>
        <v>0</v>
      </c>
      <c r="T198" s="48">
        <f>$E198*HLOOKUP(T$157,'Datu ievade'!$C$421:$AG$426,4)</f>
        <v>0</v>
      </c>
      <c r="U198" s="48">
        <f>$E198*HLOOKUP(U$157,'Datu ievade'!$C$421:$AG$426,4)</f>
        <v>0</v>
      </c>
      <c r="V198" s="48">
        <f>$E198*HLOOKUP(V$157,'Datu ievade'!$C$421:$AG$426,4)</f>
        <v>0</v>
      </c>
      <c r="W198" s="48">
        <f>$E198*HLOOKUP(W$157,'Datu ievade'!$C$421:$AG$426,4)</f>
        <v>0</v>
      </c>
      <c r="X198" s="48">
        <f>$E198*HLOOKUP(X$157,'Datu ievade'!$C$421:$AG$426,4)</f>
        <v>0</v>
      </c>
      <c r="Y198" s="48">
        <f>$E198*HLOOKUP(Y$157,'Datu ievade'!$C$421:$AG$426,4)</f>
        <v>0</v>
      </c>
      <c r="Z198" s="48">
        <f>$E198*HLOOKUP(Z$157,'Datu ievade'!$C$421:$AG$426,4)</f>
        <v>0</v>
      </c>
      <c r="AA198" s="48">
        <f>$E198*HLOOKUP(AA$157,'Datu ievade'!$C$421:$AG$426,4)</f>
        <v>0</v>
      </c>
      <c r="AB198" s="48">
        <f>$E198*HLOOKUP(AB$157,'Datu ievade'!$C$421:$AG$426,4)</f>
        <v>0</v>
      </c>
      <c r="AC198" s="48">
        <f>$E198*HLOOKUP(AC$157,'Datu ievade'!$C$421:$AG$426,4)</f>
        <v>0</v>
      </c>
      <c r="AD198" s="48">
        <f>$E198*HLOOKUP(AD$157,'Datu ievade'!$C$421:$AG$426,4)</f>
        <v>0</v>
      </c>
      <c r="AE198" s="48">
        <f>$E198*HLOOKUP(AE$157,'Datu ievade'!$C$421:$AG$426,4)</f>
        <v>0</v>
      </c>
      <c r="AF198" s="48">
        <f>$E198*HLOOKUP(AF$157,'Datu ievade'!$C$421:$AG$426,4)</f>
        <v>0</v>
      </c>
      <c r="AG198" s="48">
        <f>$E198*HLOOKUP(AG$157,'Datu ievade'!$C$421:$AG$426,4)</f>
        <v>0</v>
      </c>
      <c r="AH198"/>
      <c r="AI198"/>
    </row>
    <row r="199" spans="1:35" s="8" customFormat="1" ht="12.75">
      <c r="A199" s="25" t="s">
        <v>65</v>
      </c>
      <c r="B199" s="456"/>
      <c r="C199" s="952"/>
      <c r="D199" s="46">
        <v>-50</v>
      </c>
      <c r="E199" s="439">
        <v>-400</v>
      </c>
      <c r="F199" s="48">
        <f>$E199*HLOOKUP(F$157,'Datu ievade'!$C$421:$AG$426,4)</f>
        <v>-432</v>
      </c>
      <c r="G199" s="48">
        <f>$E199*HLOOKUP(G$157,'Datu ievade'!$C$421:$AG$426,4)</f>
        <v>-440.00000000000006</v>
      </c>
      <c r="H199" s="48">
        <f>$E199*HLOOKUP(H$157,'Datu ievade'!$C$421:$AG$426,4)</f>
        <v>-448.00000000000006</v>
      </c>
      <c r="I199" s="48">
        <f>$E199*HLOOKUP(I$157,'Datu ievade'!$C$421:$AG$426,4)</f>
        <v>-455.99999999999994</v>
      </c>
      <c r="J199" s="48">
        <f>$E199*HLOOKUP(J$157,'Datu ievade'!$C$421:$AG$426,4)</f>
        <v>-463.99999999999994</v>
      </c>
      <c r="K199" s="48">
        <f>$E199*HLOOKUP(K$157,'Datu ievade'!$C$421:$AG$426,4)</f>
        <v>-472</v>
      </c>
      <c r="L199" s="48">
        <f>$E199*HLOOKUP(L$157,'Datu ievade'!$C$421:$AG$426,4)</f>
        <v>-480</v>
      </c>
      <c r="M199" s="48">
        <f>$E199*HLOOKUP(M$157,'Datu ievade'!$C$421:$AG$426,4)</f>
        <v>-488</v>
      </c>
      <c r="N199" s="48">
        <f>$E199*HLOOKUP(N$157,'Datu ievade'!$C$421:$AG$426,4)</f>
        <v>-496</v>
      </c>
      <c r="O199" s="48">
        <f>$E199*HLOOKUP(O$157,'Datu ievade'!$C$421:$AG$426,4)</f>
        <v>-504</v>
      </c>
      <c r="P199" s="48">
        <f>$E199*HLOOKUP(P$157,'Datu ievade'!$C$421:$AG$426,4)</f>
        <v>-516</v>
      </c>
      <c r="Q199" s="48">
        <f>$E199*HLOOKUP(Q$157,'Datu ievade'!$C$421:$AG$426,4)</f>
        <v>-528</v>
      </c>
      <c r="R199" s="48">
        <f>$E199*HLOOKUP(R$157,'Datu ievade'!$C$421:$AG$426,4)</f>
        <v>-540</v>
      </c>
      <c r="S199" s="48">
        <f>$E199*HLOOKUP(S$157,'Datu ievade'!$C$421:$AG$426,4)</f>
        <v>-552</v>
      </c>
      <c r="T199" s="48">
        <f>$E199*HLOOKUP(T$157,'Datu ievade'!$C$421:$AG$426,4)</f>
        <v>-564</v>
      </c>
      <c r="U199" s="48">
        <f>$E199*HLOOKUP(U$157,'Datu ievade'!$C$421:$AG$426,4)</f>
        <v>-576</v>
      </c>
      <c r="V199" s="48">
        <f>$E199*HLOOKUP(V$157,'Datu ievade'!$C$421:$AG$426,4)</f>
        <v>-588</v>
      </c>
      <c r="W199" s="48">
        <f>$E199*HLOOKUP(W$157,'Datu ievade'!$C$421:$AG$426,4)</f>
        <v>-600</v>
      </c>
      <c r="X199" s="48">
        <f>$E199*HLOOKUP(X$157,'Datu ievade'!$C$421:$AG$426,4)</f>
        <v>-612</v>
      </c>
      <c r="Y199" s="48">
        <f>$E199*HLOOKUP(Y$157,'Datu ievade'!$C$421:$AG$426,4)</f>
        <v>-624</v>
      </c>
      <c r="Z199" s="48">
        <f>$E199*HLOOKUP(Z$157,'Datu ievade'!$C$421:$AG$426,4)</f>
        <v>-636</v>
      </c>
      <c r="AA199" s="48">
        <f>$E199*HLOOKUP(AA$157,'Datu ievade'!$C$421:$AG$426,4)</f>
        <v>-648</v>
      </c>
      <c r="AB199" s="48">
        <f>$E199*HLOOKUP(AB$157,'Datu ievade'!$C$421:$AG$426,4)</f>
        <v>-660</v>
      </c>
      <c r="AC199" s="48">
        <f>$E199*HLOOKUP(AC$157,'Datu ievade'!$C$421:$AG$426,4)</f>
        <v>-672</v>
      </c>
      <c r="AD199" s="48">
        <f>$E199*HLOOKUP(AD$157,'Datu ievade'!$C$421:$AG$426,4)</f>
        <v>-684</v>
      </c>
      <c r="AE199" s="48">
        <f>$E199*HLOOKUP(AE$157,'Datu ievade'!$C$421:$AG$426,4)</f>
        <v>-696</v>
      </c>
      <c r="AF199" s="48">
        <f>$E199*HLOOKUP(AF$157,'Datu ievade'!$C$421:$AG$426,4)</f>
        <v>-708</v>
      </c>
      <c r="AG199" s="48">
        <f>$E199*HLOOKUP(AG$157,'Datu ievade'!$C$421:$AG$426,4)</f>
        <v>-724</v>
      </c>
      <c r="AH199"/>
      <c r="AI199"/>
    </row>
    <row r="200" spans="1:35" s="8" customFormat="1" ht="12.75">
      <c r="A200" s="25" t="s">
        <v>66</v>
      </c>
      <c r="B200" s="456"/>
      <c r="C200" s="953"/>
      <c r="D200" s="47"/>
      <c r="E200"/>
      <c r="F200" s="577"/>
      <c r="G200" s="577"/>
      <c r="H200" s="577"/>
      <c r="I200" s="577"/>
      <c r="J200" s="577"/>
      <c r="K200" s="577"/>
      <c r="L200" s="577"/>
      <c r="M200" s="577"/>
      <c r="N200" s="577"/>
      <c r="O200" s="577"/>
      <c r="P200" s="577"/>
      <c r="Q200" s="577"/>
      <c r="R200" s="577"/>
      <c r="S200" s="577"/>
      <c r="T200" s="577"/>
      <c r="U200" s="577"/>
      <c r="V200" s="577"/>
      <c r="W200" s="577"/>
      <c r="X200" s="577"/>
      <c r="Y200" s="577"/>
      <c r="Z200" s="577"/>
      <c r="AA200" s="577"/>
      <c r="AB200" s="577"/>
      <c r="AC200" s="577"/>
      <c r="AD200" s="577"/>
      <c r="AE200" s="577"/>
      <c r="AF200" s="577"/>
      <c r="AG200" s="577"/>
      <c r="AH200"/>
      <c r="AI200"/>
    </row>
    <row r="201" spans="1:35" s="8" customFormat="1" ht="12.75">
      <c r="A201" s="25" t="s">
        <v>67</v>
      </c>
      <c r="B201" s="456"/>
      <c r="C201" s="952"/>
      <c r="D201" s="46"/>
      <c r="E201" s="439">
        <v>250</v>
      </c>
      <c r="F201" s="48">
        <f>$E201*HLOOKUP(F$157,'Datu ievade'!$C$421:$AG$426,4)</f>
        <v>270</v>
      </c>
      <c r="G201" s="48">
        <f>$E201*HLOOKUP(G$157,'Datu ievade'!$C$421:$AG$426,4)</f>
        <v>275</v>
      </c>
      <c r="H201" s="48">
        <f>$E201*HLOOKUP(H$157,'Datu ievade'!$C$421:$AG$426,4)</f>
        <v>280</v>
      </c>
      <c r="I201" s="48">
        <f>$E201*HLOOKUP(I$157,'Datu ievade'!$C$421:$AG$426,4)</f>
        <v>285</v>
      </c>
      <c r="J201" s="48">
        <f>$E201*HLOOKUP(J$157,'Datu ievade'!$C$421:$AG$426,4)</f>
        <v>290</v>
      </c>
      <c r="K201" s="48">
        <f>$E201*HLOOKUP(K$157,'Datu ievade'!$C$421:$AG$426,4)</f>
        <v>295</v>
      </c>
      <c r="L201" s="48">
        <f>$E201*HLOOKUP(L$157,'Datu ievade'!$C$421:$AG$426,4)</f>
        <v>300</v>
      </c>
      <c r="M201" s="48">
        <f>$E201*HLOOKUP(M$157,'Datu ievade'!$C$421:$AG$426,4)</f>
        <v>305</v>
      </c>
      <c r="N201" s="48">
        <f>$E201*HLOOKUP(N$157,'Datu ievade'!$C$421:$AG$426,4)</f>
        <v>310</v>
      </c>
      <c r="O201" s="48">
        <f>$E201*HLOOKUP(O$157,'Datu ievade'!$C$421:$AG$426,4)</f>
        <v>315</v>
      </c>
      <c r="P201" s="48">
        <f>$E201*HLOOKUP(P$157,'Datu ievade'!$C$421:$AG$426,4)</f>
        <v>322.5</v>
      </c>
      <c r="Q201" s="48">
        <f>$E201*HLOOKUP(Q$157,'Datu ievade'!$C$421:$AG$426,4)</f>
        <v>330</v>
      </c>
      <c r="R201" s="48">
        <f>$E201*HLOOKUP(R$157,'Datu ievade'!$C$421:$AG$426,4)</f>
        <v>337.5</v>
      </c>
      <c r="S201" s="48">
        <f>$E201*HLOOKUP(S$157,'Datu ievade'!$C$421:$AG$426,4)</f>
        <v>345</v>
      </c>
      <c r="T201" s="48">
        <f>$E201*HLOOKUP(T$157,'Datu ievade'!$C$421:$AG$426,4)</f>
        <v>352.5</v>
      </c>
      <c r="U201" s="48">
        <f>$E201*HLOOKUP(U$157,'Datu ievade'!$C$421:$AG$426,4)</f>
        <v>360</v>
      </c>
      <c r="V201" s="48">
        <f>$E201*HLOOKUP(V$157,'Datu ievade'!$C$421:$AG$426,4)</f>
        <v>367.5</v>
      </c>
      <c r="W201" s="48">
        <f>$E201*HLOOKUP(W$157,'Datu ievade'!$C$421:$AG$426,4)</f>
        <v>375</v>
      </c>
      <c r="X201" s="48">
        <f>$E201*HLOOKUP(X$157,'Datu ievade'!$C$421:$AG$426,4)</f>
        <v>382.5</v>
      </c>
      <c r="Y201" s="48">
        <f>$E201*HLOOKUP(Y$157,'Datu ievade'!$C$421:$AG$426,4)</f>
        <v>390</v>
      </c>
      <c r="Z201" s="48">
        <f>$E201*HLOOKUP(Z$157,'Datu ievade'!$C$421:$AG$426,4)</f>
        <v>397.5</v>
      </c>
      <c r="AA201" s="48">
        <f>$E201*HLOOKUP(AA$157,'Datu ievade'!$C$421:$AG$426,4)</f>
        <v>405</v>
      </c>
      <c r="AB201" s="48">
        <f>$E201*HLOOKUP(AB$157,'Datu ievade'!$C$421:$AG$426,4)</f>
        <v>412.5</v>
      </c>
      <c r="AC201" s="48">
        <f>$E201*HLOOKUP(AC$157,'Datu ievade'!$C$421:$AG$426,4)</f>
        <v>420</v>
      </c>
      <c r="AD201" s="48">
        <f>$E201*HLOOKUP(AD$157,'Datu ievade'!$C$421:$AG$426,4)</f>
        <v>427.5</v>
      </c>
      <c r="AE201" s="48">
        <f>$E201*HLOOKUP(AE$157,'Datu ievade'!$C$421:$AG$426,4)</f>
        <v>435</v>
      </c>
      <c r="AF201" s="48">
        <f>$E201*HLOOKUP(AF$157,'Datu ievade'!$C$421:$AG$426,4)</f>
        <v>442.5</v>
      </c>
      <c r="AG201" s="48">
        <f>$E201*HLOOKUP(AG$157,'Datu ievade'!$C$421:$AG$426,4)</f>
        <v>452.5</v>
      </c>
      <c r="AH201" s="238"/>
      <c r="AI201" s="238"/>
    </row>
    <row r="202" spans="1:35" s="8" customFormat="1" ht="12.75">
      <c r="A202" s="25" t="s">
        <v>68</v>
      </c>
      <c r="B202" s="456"/>
      <c r="C202" s="577"/>
      <c r="D202" s="48">
        <f aca="true" t="shared" si="7" ref="D202:AG202">D201*0.2409</f>
        <v>0</v>
      </c>
      <c r="E202" s="48">
        <f t="shared" si="7"/>
        <v>60.225</v>
      </c>
      <c r="F202" s="48">
        <f t="shared" si="7"/>
        <v>65.043</v>
      </c>
      <c r="G202" s="48">
        <f t="shared" si="7"/>
        <v>66.2475</v>
      </c>
      <c r="H202" s="48">
        <f t="shared" si="7"/>
        <v>67.452</v>
      </c>
      <c r="I202" s="48">
        <f t="shared" si="7"/>
        <v>68.6565</v>
      </c>
      <c r="J202" s="48">
        <f t="shared" si="7"/>
        <v>69.861</v>
      </c>
      <c r="K202" s="48">
        <f t="shared" si="7"/>
        <v>71.0655</v>
      </c>
      <c r="L202" s="48">
        <f t="shared" si="7"/>
        <v>72.27</v>
      </c>
      <c r="M202" s="48">
        <f t="shared" si="7"/>
        <v>73.4745</v>
      </c>
      <c r="N202" s="48">
        <f t="shared" si="7"/>
        <v>74.679</v>
      </c>
      <c r="O202" s="48">
        <f t="shared" si="7"/>
        <v>75.8835</v>
      </c>
      <c r="P202" s="48">
        <f t="shared" si="7"/>
        <v>77.69025</v>
      </c>
      <c r="Q202" s="48">
        <f t="shared" si="7"/>
        <v>79.497</v>
      </c>
      <c r="R202" s="48">
        <f t="shared" si="7"/>
        <v>81.30375000000001</v>
      </c>
      <c r="S202" s="48">
        <f t="shared" si="7"/>
        <v>83.1105</v>
      </c>
      <c r="T202" s="48">
        <f t="shared" si="7"/>
        <v>84.91725</v>
      </c>
      <c r="U202" s="48">
        <f t="shared" si="7"/>
        <v>86.724</v>
      </c>
      <c r="V202" s="48">
        <f t="shared" si="7"/>
        <v>88.53075</v>
      </c>
      <c r="W202" s="48">
        <f t="shared" si="7"/>
        <v>90.3375</v>
      </c>
      <c r="X202" s="48">
        <f t="shared" si="7"/>
        <v>92.14425</v>
      </c>
      <c r="Y202" s="48">
        <f t="shared" si="7"/>
        <v>93.95100000000001</v>
      </c>
      <c r="Z202" s="48">
        <f t="shared" si="7"/>
        <v>95.75775</v>
      </c>
      <c r="AA202" s="48">
        <f t="shared" si="7"/>
        <v>97.5645</v>
      </c>
      <c r="AB202" s="48">
        <f t="shared" si="7"/>
        <v>99.37125</v>
      </c>
      <c r="AC202" s="48">
        <f t="shared" si="7"/>
        <v>101.178</v>
      </c>
      <c r="AD202" s="48">
        <f t="shared" si="7"/>
        <v>102.98475</v>
      </c>
      <c r="AE202" s="48">
        <f t="shared" si="7"/>
        <v>104.7915</v>
      </c>
      <c r="AF202" s="48">
        <f t="shared" si="7"/>
        <v>106.59825000000001</v>
      </c>
      <c r="AG202" s="48">
        <f t="shared" si="7"/>
        <v>109.00725</v>
      </c>
      <c r="AH202" s="238"/>
      <c r="AI202" s="238"/>
    </row>
    <row r="203" spans="1:35" s="8" customFormat="1" ht="12.75">
      <c r="A203" s="25" t="s">
        <v>69</v>
      </c>
      <c r="B203" s="456"/>
      <c r="C203" s="952"/>
      <c r="D203" s="46"/>
      <c r="E203" s="439">
        <v>0</v>
      </c>
      <c r="F203" s="48">
        <f>$E203*HLOOKUP(F$157,'Datu ievade'!$C$421:$AG$426,4)</f>
        <v>0</v>
      </c>
      <c r="G203" s="48">
        <f>$E203*HLOOKUP(G$157,'Datu ievade'!$C$421:$AG$426,4)</f>
        <v>0</v>
      </c>
      <c r="H203" s="48">
        <f>$E203*HLOOKUP(H$157,'Datu ievade'!$C$421:$AG$426,4)</f>
        <v>0</v>
      </c>
      <c r="I203" s="48">
        <f>$E203*HLOOKUP(I$157,'Datu ievade'!$C$421:$AG$426,4)</f>
        <v>0</v>
      </c>
      <c r="J203" s="48">
        <f>$E203*HLOOKUP(J$157,'Datu ievade'!$C$421:$AG$426,4)</f>
        <v>0</v>
      </c>
      <c r="K203" s="48">
        <f>$E203*HLOOKUP(K$157,'Datu ievade'!$C$421:$AG$426,4)</f>
        <v>0</v>
      </c>
      <c r="L203" s="48">
        <f>$E203*HLOOKUP(L$157,'Datu ievade'!$C$421:$AG$426,4)</f>
        <v>0</v>
      </c>
      <c r="M203" s="48">
        <f>$E203*HLOOKUP(M$157,'Datu ievade'!$C$421:$AG$426,4)</f>
        <v>0</v>
      </c>
      <c r="N203" s="48">
        <f>$E203*HLOOKUP(N$157,'Datu ievade'!$C$421:$AG$426,4)</f>
        <v>0</v>
      </c>
      <c r="O203" s="48">
        <f>$E203*HLOOKUP(O$157,'Datu ievade'!$C$421:$AG$426,4)</f>
        <v>0</v>
      </c>
      <c r="P203" s="48">
        <f>$E203*HLOOKUP(P$157,'Datu ievade'!$C$421:$AG$426,4)</f>
        <v>0</v>
      </c>
      <c r="Q203" s="48">
        <f>$E203*HLOOKUP(Q$157,'Datu ievade'!$C$421:$AG$426,4)</f>
        <v>0</v>
      </c>
      <c r="R203" s="48">
        <f>$E203*HLOOKUP(R$157,'Datu ievade'!$C$421:$AG$426,4)</f>
        <v>0</v>
      </c>
      <c r="S203" s="48">
        <f>$E203*HLOOKUP(S$157,'Datu ievade'!$C$421:$AG$426,4)</f>
        <v>0</v>
      </c>
      <c r="T203" s="48">
        <f>$E203*HLOOKUP(T$157,'Datu ievade'!$C$421:$AG$426,4)</f>
        <v>0</v>
      </c>
      <c r="U203" s="48">
        <f>$E203*HLOOKUP(U$157,'Datu ievade'!$C$421:$AG$426,4)</f>
        <v>0</v>
      </c>
      <c r="V203" s="48">
        <f>$E203*HLOOKUP(V$157,'Datu ievade'!$C$421:$AG$426,4)</f>
        <v>0</v>
      </c>
      <c r="W203" s="48">
        <f>$E203*HLOOKUP(W$157,'Datu ievade'!$C$421:$AG$426,4)</f>
        <v>0</v>
      </c>
      <c r="X203" s="48">
        <f>$E203*HLOOKUP(X$157,'Datu ievade'!$C$421:$AG$426,4)</f>
        <v>0</v>
      </c>
      <c r="Y203" s="48">
        <f>$E203*HLOOKUP(Y$157,'Datu ievade'!$C$421:$AG$426,4)</f>
        <v>0</v>
      </c>
      <c r="Z203" s="48">
        <f>$E203*HLOOKUP(Z$157,'Datu ievade'!$C$421:$AG$426,4)</f>
        <v>0</v>
      </c>
      <c r="AA203" s="48">
        <f>$E203*HLOOKUP(AA$157,'Datu ievade'!$C$421:$AG$426,4)</f>
        <v>0</v>
      </c>
      <c r="AB203" s="48">
        <f>$E203*HLOOKUP(AB$157,'Datu ievade'!$C$421:$AG$426,4)</f>
        <v>0</v>
      </c>
      <c r="AC203" s="48">
        <f>$E203*HLOOKUP(AC$157,'Datu ievade'!$C$421:$AG$426,4)</f>
        <v>0</v>
      </c>
      <c r="AD203" s="48">
        <f>$E203*HLOOKUP(AD$157,'Datu ievade'!$C$421:$AG$426,4)</f>
        <v>0</v>
      </c>
      <c r="AE203" s="48">
        <f>$E203*HLOOKUP(AE$157,'Datu ievade'!$C$421:$AG$426,4)</f>
        <v>0</v>
      </c>
      <c r="AF203" s="48">
        <f>$E203*HLOOKUP(AF$157,'Datu ievade'!$C$421:$AG$426,4)</f>
        <v>0</v>
      </c>
      <c r="AG203" s="48">
        <f>$E203*HLOOKUP(AG$157,'Datu ievade'!$C$421:$AG$426,4)</f>
        <v>0</v>
      </c>
      <c r="AH203" s="238"/>
      <c r="AI203" s="238"/>
    </row>
    <row r="204" spans="1:35" s="8" customFormat="1" ht="15.75">
      <c r="A204" s="482" t="s">
        <v>400</v>
      </c>
      <c r="B204" s="4"/>
      <c r="C204"/>
      <c r="D204"/>
      <c r="E204"/>
      <c r="F204"/>
      <c r="G204"/>
      <c r="H204"/>
      <c r="I204"/>
      <c r="J204"/>
      <c r="K204"/>
      <c r="L204"/>
      <c r="M204"/>
      <c r="N204"/>
      <c r="O204"/>
      <c r="P204"/>
      <c r="Q204"/>
      <c r="R204"/>
      <c r="S204"/>
      <c r="T204"/>
      <c r="U204"/>
      <c r="V204"/>
      <c r="W204"/>
      <c r="X204"/>
      <c r="Y204"/>
      <c r="Z204"/>
      <c r="AA204"/>
      <c r="AB204"/>
      <c r="AC204"/>
      <c r="AD204"/>
      <c r="AE204"/>
      <c r="AF204"/>
      <c r="AG204"/>
      <c r="AH204"/>
      <c r="AI204"/>
    </row>
    <row r="205" spans="1:35" s="237" customFormat="1" ht="12.75">
      <c r="A205" s="234"/>
      <c r="B205" s="235">
        <f>B29</f>
        <v>2011</v>
      </c>
      <c r="C205" s="182">
        <f>B205+1</f>
        <v>2012</v>
      </c>
      <c r="D205" s="182">
        <f aca="true" t="shared" si="8" ref="D205:AG205">C205+1</f>
        <v>2013</v>
      </c>
      <c r="E205" s="182">
        <f t="shared" si="8"/>
        <v>2014</v>
      </c>
      <c r="F205" s="182">
        <f t="shared" si="8"/>
        <v>2015</v>
      </c>
      <c r="G205" s="182">
        <f t="shared" si="8"/>
        <v>2016</v>
      </c>
      <c r="H205" s="182">
        <f t="shared" si="8"/>
        <v>2017</v>
      </c>
      <c r="I205" s="182">
        <f t="shared" si="8"/>
        <v>2018</v>
      </c>
      <c r="J205" s="182">
        <f t="shared" si="8"/>
        <v>2019</v>
      </c>
      <c r="K205" s="182">
        <f t="shared" si="8"/>
        <v>2020</v>
      </c>
      <c r="L205" s="182">
        <f t="shared" si="8"/>
        <v>2021</v>
      </c>
      <c r="M205" s="182">
        <f t="shared" si="8"/>
        <v>2022</v>
      </c>
      <c r="N205" s="182">
        <f t="shared" si="8"/>
        <v>2023</v>
      </c>
      <c r="O205" s="182">
        <f t="shared" si="8"/>
        <v>2024</v>
      </c>
      <c r="P205" s="182">
        <f t="shared" si="8"/>
        <v>2025</v>
      </c>
      <c r="Q205" s="182">
        <f t="shared" si="8"/>
        <v>2026</v>
      </c>
      <c r="R205" s="182">
        <f t="shared" si="8"/>
        <v>2027</v>
      </c>
      <c r="S205" s="182">
        <f t="shared" si="8"/>
        <v>2028</v>
      </c>
      <c r="T205" s="182">
        <f t="shared" si="8"/>
        <v>2029</v>
      </c>
      <c r="U205" s="182">
        <f t="shared" si="8"/>
        <v>2030</v>
      </c>
      <c r="V205" s="182">
        <f t="shared" si="8"/>
        <v>2031</v>
      </c>
      <c r="W205" s="182">
        <f t="shared" si="8"/>
        <v>2032</v>
      </c>
      <c r="X205" s="182">
        <f t="shared" si="8"/>
        <v>2033</v>
      </c>
      <c r="Y205" s="182">
        <f t="shared" si="8"/>
        <v>2034</v>
      </c>
      <c r="Z205" s="182">
        <f t="shared" si="8"/>
        <v>2035</v>
      </c>
      <c r="AA205" s="182">
        <f t="shared" si="8"/>
        <v>2036</v>
      </c>
      <c r="AB205" s="182">
        <f t="shared" si="8"/>
        <v>2037</v>
      </c>
      <c r="AC205" s="182">
        <f t="shared" si="8"/>
        <v>2038</v>
      </c>
      <c r="AD205" s="182">
        <f t="shared" si="8"/>
        <v>2039</v>
      </c>
      <c r="AE205" s="182">
        <f t="shared" si="8"/>
        <v>2040</v>
      </c>
      <c r="AF205" s="182">
        <f t="shared" si="8"/>
        <v>2041</v>
      </c>
      <c r="AG205" s="182">
        <f t="shared" si="8"/>
        <v>2042</v>
      </c>
      <c r="AH205" s="236"/>
      <c r="AI205" s="236"/>
    </row>
    <row r="206" spans="1:35" s="8" customFormat="1" ht="13.5">
      <c r="A206" s="45" t="s">
        <v>59</v>
      </c>
      <c r="B206" s="226"/>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c r="AI206"/>
    </row>
    <row r="207" spans="1:35" s="8" customFormat="1" ht="12.75">
      <c r="A207" s="18" t="s">
        <v>60</v>
      </c>
      <c r="B207" s="85"/>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c r="AI207"/>
    </row>
    <row r="208" spans="1:35" s="8" customFormat="1" ht="12.75">
      <c r="A208" s="18" t="s">
        <v>61</v>
      </c>
      <c r="B208" s="449">
        <f>B161+B184</f>
        <v>5500</v>
      </c>
      <c r="C208" s="449">
        <f>'Datu ievade'!C161+C184</f>
        <v>5610</v>
      </c>
      <c r="D208" s="449">
        <f>'Datu ievade'!D161+'Datu ievade'!D184</f>
        <v>4220</v>
      </c>
      <c r="E208" s="449">
        <f>'Datu ievade'!E161+'Datu ievade'!E184</f>
        <v>1330</v>
      </c>
      <c r="F208" s="449">
        <f>'Datu ievade'!F161+'Datu ievade'!F184</f>
        <v>990</v>
      </c>
      <c r="G208" s="449">
        <f>'Datu ievade'!G161+'Datu ievade'!G184</f>
        <v>1010</v>
      </c>
      <c r="H208" s="449">
        <f>'Datu ievade'!H161+'Datu ievade'!H184</f>
        <v>1030.000000000001</v>
      </c>
      <c r="I208" s="449">
        <f>'Datu ievade'!I161+'Datu ievade'!I184</f>
        <v>1049.999999999999</v>
      </c>
      <c r="J208" s="449">
        <f>'Datu ievade'!J161+'Datu ievade'!J184</f>
        <v>1070</v>
      </c>
      <c r="K208" s="449">
        <f>'Datu ievade'!K161+'Datu ievade'!K184</f>
        <v>1090</v>
      </c>
      <c r="L208" s="449">
        <f>'Datu ievade'!L161+'Datu ievade'!L184</f>
        <v>1110</v>
      </c>
      <c r="M208" s="449">
        <f>'Datu ievade'!M161+'Datu ievade'!M184</f>
        <v>1130</v>
      </c>
      <c r="N208" s="449">
        <f>'Datu ievade'!N161+'Datu ievade'!N184</f>
        <v>1150</v>
      </c>
      <c r="O208" s="449">
        <f>'Datu ievade'!O161+'Datu ievade'!O184</f>
        <v>1125</v>
      </c>
      <c r="P208" s="449">
        <f>'Datu ievade'!P161+'Datu ievade'!P184</f>
        <v>1155</v>
      </c>
      <c r="Q208" s="449">
        <f>'Datu ievade'!Q161+'Datu ievade'!Q184</f>
        <v>1185</v>
      </c>
      <c r="R208" s="449">
        <f>'Datu ievade'!R161+'Datu ievade'!R184</f>
        <v>1215.0000000000018</v>
      </c>
      <c r="S208" s="449">
        <f>'Datu ievade'!S161+'Datu ievade'!S184</f>
        <v>1244.999999999999</v>
      </c>
      <c r="T208" s="449">
        <f>'Datu ievade'!T161+'Datu ievade'!T184</f>
        <v>1275</v>
      </c>
      <c r="U208" s="449">
        <f>'Datu ievade'!U161+'Datu ievade'!U184</f>
        <v>1305</v>
      </c>
      <c r="V208" s="449">
        <f>'Datu ievade'!V161+'Datu ievade'!V184</f>
        <v>1335</v>
      </c>
      <c r="W208" s="449">
        <f>'Datu ievade'!W161+'Datu ievade'!W184</f>
        <v>1365</v>
      </c>
      <c r="X208" s="449">
        <f>'Datu ievade'!X161+'Datu ievade'!X184</f>
        <v>1395</v>
      </c>
      <c r="Y208" s="449">
        <f>'Datu ievade'!Y161+'Datu ievade'!Y184</f>
        <v>1425</v>
      </c>
      <c r="Z208" s="449">
        <f>'Datu ievade'!Z161+'Datu ievade'!Z184</f>
        <v>1454.999999999999</v>
      </c>
      <c r="AA208" s="449">
        <f>'Datu ievade'!AA161+'Datu ievade'!AA184</f>
        <v>1485</v>
      </c>
      <c r="AB208" s="449">
        <f>'Datu ievade'!AB161+'Datu ievade'!AB184</f>
        <v>1515</v>
      </c>
      <c r="AC208" s="449">
        <f>'Datu ievade'!AC161+'Datu ievade'!AC184</f>
        <v>1545</v>
      </c>
      <c r="AD208" s="449">
        <f>'Datu ievade'!AD161+'Datu ievade'!AD184</f>
        <v>1575</v>
      </c>
      <c r="AE208" s="449">
        <f>'Datu ievade'!AE161+'Datu ievade'!AE184</f>
        <v>1605</v>
      </c>
      <c r="AF208" s="449">
        <f>'Datu ievade'!AF161+'Datu ievade'!AF184</f>
        <v>1590</v>
      </c>
      <c r="AG208" s="449">
        <f>'Datu ievade'!AG161+'Datu ievade'!AG184</f>
        <v>1630</v>
      </c>
      <c r="AH208" s="238"/>
      <c r="AI208" s="238"/>
    </row>
    <row r="209" spans="1:35" s="8" customFormat="1" ht="12.75">
      <c r="A209" s="18" t="s">
        <v>62</v>
      </c>
      <c r="B209" s="449">
        <f>B162+B185</f>
        <v>3500</v>
      </c>
      <c r="C209" s="449">
        <f>'Datu ievade'!C162+C185</f>
        <v>3570</v>
      </c>
      <c r="D209" s="449">
        <f>'Datu ievade'!D162+'Datu ievade'!D185</f>
        <v>3640</v>
      </c>
      <c r="E209" s="449">
        <f>'Datu ievade'!E162+'Datu ievade'!E185</f>
        <v>3810</v>
      </c>
      <c r="F209" s="449">
        <f>'Datu ievade'!F162+'Datu ievade'!F185</f>
        <v>3888.0000000000005</v>
      </c>
      <c r="G209" s="449">
        <f>'Datu ievade'!G162+'Datu ievade'!G185</f>
        <v>3960.0000000000005</v>
      </c>
      <c r="H209" s="449">
        <f>'Datu ievade'!H162+'Datu ievade'!H185</f>
        <v>4032.0000000000005</v>
      </c>
      <c r="I209" s="449">
        <f>'Datu ievade'!I162+'Datu ievade'!I185</f>
        <v>4103.999999999999</v>
      </c>
      <c r="J209" s="449">
        <f>'Datu ievade'!J162+'Datu ievade'!J185</f>
        <v>4175.999999999999</v>
      </c>
      <c r="K209" s="449">
        <f>'Datu ievade'!K162+'Datu ievade'!K185</f>
        <v>4248</v>
      </c>
      <c r="L209" s="449">
        <f>'Datu ievade'!L162+'Datu ievade'!L185</f>
        <v>4320</v>
      </c>
      <c r="M209" s="449">
        <f>'Datu ievade'!M162+'Datu ievade'!M185</f>
        <v>4392</v>
      </c>
      <c r="N209" s="449">
        <f>'Datu ievade'!N162+'Datu ievade'!N185</f>
        <v>4464</v>
      </c>
      <c r="O209" s="449">
        <f>'Datu ievade'!O162+'Datu ievade'!O185</f>
        <v>4536</v>
      </c>
      <c r="P209" s="449">
        <f>'Datu ievade'!P162+'Datu ievade'!P185</f>
        <v>4644</v>
      </c>
      <c r="Q209" s="449">
        <f>'Datu ievade'!Q162+'Datu ievade'!Q185</f>
        <v>4752</v>
      </c>
      <c r="R209" s="449">
        <f>'Datu ievade'!R162+'Datu ievade'!R185</f>
        <v>4860</v>
      </c>
      <c r="S209" s="449">
        <f>'Datu ievade'!S162+'Datu ievade'!S185</f>
        <v>4968</v>
      </c>
      <c r="T209" s="449">
        <f>'Datu ievade'!T162+'Datu ievade'!T185</f>
        <v>5076</v>
      </c>
      <c r="U209" s="449">
        <f>'Datu ievade'!U162+'Datu ievade'!U185</f>
        <v>5184</v>
      </c>
      <c r="V209" s="449">
        <f>'Datu ievade'!V162+'Datu ievade'!V185</f>
        <v>5292</v>
      </c>
      <c r="W209" s="449">
        <f>'Datu ievade'!W162+'Datu ievade'!W185</f>
        <v>5400</v>
      </c>
      <c r="X209" s="449">
        <f>'Datu ievade'!X162+'Datu ievade'!X185</f>
        <v>5508</v>
      </c>
      <c r="Y209" s="449">
        <f>'Datu ievade'!Y162+'Datu ievade'!Y185</f>
        <v>5616</v>
      </c>
      <c r="Z209" s="449">
        <f>'Datu ievade'!Z162+'Datu ievade'!Z185</f>
        <v>5724</v>
      </c>
      <c r="AA209" s="449">
        <f>'Datu ievade'!AA162+'Datu ievade'!AA185</f>
        <v>5832</v>
      </c>
      <c r="AB209" s="449">
        <f>'Datu ievade'!AB162+'Datu ievade'!AB185</f>
        <v>5940</v>
      </c>
      <c r="AC209" s="449">
        <f>'Datu ievade'!AC162+'Datu ievade'!AC185</f>
        <v>6048</v>
      </c>
      <c r="AD209" s="449">
        <f>'Datu ievade'!AD162+'Datu ievade'!AD185</f>
        <v>6156</v>
      </c>
      <c r="AE209" s="449">
        <f>'Datu ievade'!AE162+'Datu ievade'!AE185</f>
        <v>6264</v>
      </c>
      <c r="AF209" s="449">
        <f>'Datu ievade'!AF162+'Datu ievade'!AF185</f>
        <v>6372</v>
      </c>
      <c r="AG209" s="449">
        <f>'Datu ievade'!AG162+'Datu ievade'!AG185</f>
        <v>6516</v>
      </c>
      <c r="AH209" s="238"/>
      <c r="AI209" s="238"/>
    </row>
    <row r="210" spans="1:35" s="8" customFormat="1" ht="12.75">
      <c r="A210" s="18" t="s">
        <v>63</v>
      </c>
      <c r="B210" s="449">
        <f>'Datu ievade'!B163+'Datu ievade'!B186</f>
        <v>750</v>
      </c>
      <c r="C210" s="449">
        <f>'Datu ievade'!C163+C186</f>
        <v>765</v>
      </c>
      <c r="D210" s="449">
        <f>'Datu ievade'!D163+'Datu ievade'!D186</f>
        <v>780</v>
      </c>
      <c r="E210" s="449">
        <f>'Datu ievade'!E163+'Datu ievade'!E186</f>
        <v>1045</v>
      </c>
      <c r="F210" s="449">
        <f>'Datu ievade'!F163+'Datu ievade'!F186</f>
        <v>1080</v>
      </c>
      <c r="G210" s="449">
        <f>'Datu ievade'!G163+'Datu ievade'!G186</f>
        <v>1100</v>
      </c>
      <c r="H210" s="449">
        <f>'Datu ievade'!H163+'Datu ievade'!H186</f>
        <v>1120</v>
      </c>
      <c r="I210" s="449">
        <f>'Datu ievade'!I163+'Datu ievade'!I186</f>
        <v>1140</v>
      </c>
      <c r="J210" s="449">
        <f>'Datu ievade'!J163+'Datu ievade'!J186</f>
        <v>1160</v>
      </c>
      <c r="K210" s="449">
        <f>'Datu ievade'!K163+'Datu ievade'!K186</f>
        <v>1180</v>
      </c>
      <c r="L210" s="449">
        <f>'Datu ievade'!L163+'Datu ievade'!L186</f>
        <v>1200</v>
      </c>
      <c r="M210" s="449">
        <f>'Datu ievade'!M163+'Datu ievade'!M186</f>
        <v>1220</v>
      </c>
      <c r="N210" s="449">
        <f>'Datu ievade'!N163+'Datu ievade'!N186</f>
        <v>1240</v>
      </c>
      <c r="O210" s="449">
        <f>'Datu ievade'!O163+'Datu ievade'!O186</f>
        <v>1260</v>
      </c>
      <c r="P210" s="449">
        <f>'Datu ievade'!P163+'Datu ievade'!P186</f>
        <v>1290</v>
      </c>
      <c r="Q210" s="449">
        <f>'Datu ievade'!Q163+'Datu ievade'!Q186</f>
        <v>1320</v>
      </c>
      <c r="R210" s="449">
        <f>'Datu ievade'!R163+'Datu ievade'!R186</f>
        <v>1350</v>
      </c>
      <c r="S210" s="449">
        <f>'Datu ievade'!S163+'Datu ievade'!S186</f>
        <v>1380</v>
      </c>
      <c r="T210" s="449">
        <f>'Datu ievade'!T163+'Datu ievade'!T186</f>
        <v>1410</v>
      </c>
      <c r="U210" s="449">
        <f>'Datu ievade'!U163+'Datu ievade'!U186</f>
        <v>1440</v>
      </c>
      <c r="V210" s="449">
        <f>'Datu ievade'!V163+'Datu ievade'!V186</f>
        <v>1470</v>
      </c>
      <c r="W210" s="449">
        <f>'Datu ievade'!W163+'Datu ievade'!W186</f>
        <v>1500</v>
      </c>
      <c r="X210" s="449">
        <f>'Datu ievade'!X163+'Datu ievade'!X186</f>
        <v>1530</v>
      </c>
      <c r="Y210" s="449">
        <f>'Datu ievade'!Y163+'Datu ievade'!Y186</f>
        <v>1560</v>
      </c>
      <c r="Z210" s="449">
        <f>'Datu ievade'!Z163+'Datu ievade'!Z186</f>
        <v>1590</v>
      </c>
      <c r="AA210" s="449">
        <f>'Datu ievade'!AA163+'Datu ievade'!AA186</f>
        <v>1620</v>
      </c>
      <c r="AB210" s="449">
        <f>'Datu ievade'!AB163+'Datu ievade'!AB186</f>
        <v>1650</v>
      </c>
      <c r="AC210" s="449">
        <f>'Datu ievade'!AC163+'Datu ievade'!AC186</f>
        <v>1680</v>
      </c>
      <c r="AD210" s="449">
        <f>'Datu ievade'!AD163+'Datu ievade'!AD186</f>
        <v>1710</v>
      </c>
      <c r="AE210" s="449">
        <f>'Datu ievade'!AE163+'Datu ievade'!AE186</f>
        <v>1740</v>
      </c>
      <c r="AF210" s="449">
        <f>'Datu ievade'!AF163+'Datu ievade'!AF186</f>
        <v>1770</v>
      </c>
      <c r="AG210" s="449">
        <f>'Datu ievade'!AG163+'Datu ievade'!AG186</f>
        <v>1810</v>
      </c>
      <c r="AH210" s="238"/>
      <c r="AI210" s="238"/>
    </row>
    <row r="211" spans="1:35" s="8" customFormat="1" ht="12.75">
      <c r="A211" s="18" t="s">
        <v>64</v>
      </c>
      <c r="B211" s="449">
        <f>'Datu ievade'!B164+'Datu ievade'!B187</f>
        <v>100</v>
      </c>
      <c r="C211" s="449">
        <f>'Datu ievade'!C164+C187</f>
        <v>102</v>
      </c>
      <c r="D211" s="449">
        <f>'Datu ievade'!D164+'Datu ievade'!D187</f>
        <v>104</v>
      </c>
      <c r="E211" s="449">
        <f>'Datu ievade'!E164+'Datu ievade'!E187</f>
        <v>106</v>
      </c>
      <c r="F211" s="449">
        <f>'Datu ievade'!F164+'Datu ievade'!F187</f>
        <v>108</v>
      </c>
      <c r="G211" s="449">
        <f>'Datu ievade'!G164+'Datu ievade'!G187</f>
        <v>110.00000000000001</v>
      </c>
      <c r="H211" s="449">
        <f>'Datu ievade'!H164+'Datu ievade'!H187</f>
        <v>112.00000000000001</v>
      </c>
      <c r="I211" s="449">
        <f>'Datu ievade'!I164+'Datu ievade'!I187</f>
        <v>113.99999999999999</v>
      </c>
      <c r="J211" s="449">
        <f>'Datu ievade'!J164+'Datu ievade'!J187</f>
        <v>115.99999999999999</v>
      </c>
      <c r="K211" s="449">
        <f>'Datu ievade'!K164+'Datu ievade'!K187</f>
        <v>118</v>
      </c>
      <c r="L211" s="449">
        <f>'Datu ievade'!L164+'Datu ievade'!L187</f>
        <v>120</v>
      </c>
      <c r="M211" s="449">
        <f>'Datu ievade'!M164+'Datu ievade'!M187</f>
        <v>122</v>
      </c>
      <c r="N211" s="449">
        <f>'Datu ievade'!N164+'Datu ievade'!N187</f>
        <v>124</v>
      </c>
      <c r="O211" s="449">
        <f>'Datu ievade'!O164+'Datu ievade'!O187</f>
        <v>126</v>
      </c>
      <c r="P211" s="449">
        <f>'Datu ievade'!P164+'Datu ievade'!P187</f>
        <v>129</v>
      </c>
      <c r="Q211" s="449">
        <f>'Datu ievade'!Q164+'Datu ievade'!Q187</f>
        <v>132</v>
      </c>
      <c r="R211" s="449">
        <f>'Datu ievade'!R164+'Datu ievade'!R187</f>
        <v>135</v>
      </c>
      <c r="S211" s="449">
        <f>'Datu ievade'!S164+'Datu ievade'!S187</f>
        <v>138</v>
      </c>
      <c r="T211" s="449">
        <f>'Datu ievade'!T164+'Datu ievade'!T187</f>
        <v>141</v>
      </c>
      <c r="U211" s="449">
        <f>'Datu ievade'!U164+'Datu ievade'!U187</f>
        <v>144</v>
      </c>
      <c r="V211" s="449">
        <f>'Datu ievade'!V164+'Datu ievade'!V187</f>
        <v>147</v>
      </c>
      <c r="W211" s="449">
        <f>'Datu ievade'!W164+'Datu ievade'!W187</f>
        <v>150</v>
      </c>
      <c r="X211" s="449">
        <f>'Datu ievade'!X164+'Datu ievade'!X187</f>
        <v>153</v>
      </c>
      <c r="Y211" s="449">
        <f>'Datu ievade'!Y164+'Datu ievade'!Y187</f>
        <v>156</v>
      </c>
      <c r="Z211" s="449">
        <f>'Datu ievade'!Z164+'Datu ievade'!Z187</f>
        <v>159</v>
      </c>
      <c r="AA211" s="449">
        <f>'Datu ievade'!AA164+'Datu ievade'!AA187</f>
        <v>162</v>
      </c>
      <c r="AB211" s="449">
        <f>'Datu ievade'!AB164+'Datu ievade'!AB187</f>
        <v>165</v>
      </c>
      <c r="AC211" s="449">
        <f>'Datu ievade'!AC164+'Datu ievade'!AC187</f>
        <v>168</v>
      </c>
      <c r="AD211" s="449">
        <f>'Datu ievade'!AD164+'Datu ievade'!AD187</f>
        <v>171</v>
      </c>
      <c r="AE211" s="449">
        <f>'Datu ievade'!AE164+'Datu ievade'!AE187</f>
        <v>174</v>
      </c>
      <c r="AF211" s="449">
        <f>'Datu ievade'!AF164+'Datu ievade'!AF187</f>
        <v>177</v>
      </c>
      <c r="AG211" s="449">
        <f>'Datu ievade'!AG164+'Datu ievade'!AG187</f>
        <v>181</v>
      </c>
      <c r="AH211" s="238"/>
      <c r="AI211" s="238"/>
    </row>
    <row r="212" spans="1:35" s="8" customFormat="1" ht="12.75">
      <c r="A212" s="18" t="s">
        <v>65</v>
      </c>
      <c r="B212" s="449">
        <f>'Datu ievade'!B165+'Datu ievade'!B188</f>
        <v>0</v>
      </c>
      <c r="C212" s="449">
        <f>'Datu ievade'!C165+C188</f>
        <v>0</v>
      </c>
      <c r="D212" s="449">
        <f>'Datu ievade'!D165+'Datu ievade'!D188</f>
        <v>-200</v>
      </c>
      <c r="E212" s="449">
        <f>'Datu ievade'!E165+'Datu ievade'!E188</f>
        <v>-400</v>
      </c>
      <c r="F212" s="449">
        <f>'Datu ievade'!F165+'Datu ievade'!F188</f>
        <v>-432</v>
      </c>
      <c r="G212" s="449">
        <f>'Datu ievade'!G165+'Datu ievade'!G188</f>
        <v>-440.00000000000006</v>
      </c>
      <c r="H212" s="449">
        <f>'Datu ievade'!H165+'Datu ievade'!H188</f>
        <v>-448.00000000000006</v>
      </c>
      <c r="I212" s="449">
        <f>'Datu ievade'!I165+'Datu ievade'!I188</f>
        <v>-455.99999999999994</v>
      </c>
      <c r="J212" s="449">
        <f>'Datu ievade'!J165+'Datu ievade'!J188</f>
        <v>-463.99999999999994</v>
      </c>
      <c r="K212" s="449">
        <f>'Datu ievade'!K165+'Datu ievade'!K188</f>
        <v>-472</v>
      </c>
      <c r="L212" s="449">
        <f>'Datu ievade'!L165+'Datu ievade'!L188</f>
        <v>-480</v>
      </c>
      <c r="M212" s="449">
        <f>'Datu ievade'!M165+'Datu ievade'!M188</f>
        <v>-488</v>
      </c>
      <c r="N212" s="449">
        <f>'Datu ievade'!N165+'Datu ievade'!N188</f>
        <v>-496</v>
      </c>
      <c r="O212" s="449">
        <f>'Datu ievade'!O165+'Datu ievade'!O188</f>
        <v>-504</v>
      </c>
      <c r="P212" s="449">
        <f>'Datu ievade'!P165+'Datu ievade'!P188</f>
        <v>-516</v>
      </c>
      <c r="Q212" s="449">
        <f>'Datu ievade'!Q165+'Datu ievade'!Q188</f>
        <v>-528</v>
      </c>
      <c r="R212" s="449">
        <f>'Datu ievade'!R165+'Datu ievade'!R188</f>
        <v>-540</v>
      </c>
      <c r="S212" s="449">
        <f>'Datu ievade'!S165+'Datu ievade'!S188</f>
        <v>-552</v>
      </c>
      <c r="T212" s="449">
        <f>'Datu ievade'!T165+'Datu ievade'!T188</f>
        <v>-564</v>
      </c>
      <c r="U212" s="449">
        <f>'Datu ievade'!U165+'Datu ievade'!U188</f>
        <v>-576</v>
      </c>
      <c r="V212" s="449">
        <f>'Datu ievade'!V165+'Datu ievade'!V188</f>
        <v>-588</v>
      </c>
      <c r="W212" s="449">
        <f>'Datu ievade'!W165+'Datu ievade'!W188</f>
        <v>-600</v>
      </c>
      <c r="X212" s="449">
        <f>'Datu ievade'!X165+'Datu ievade'!X188</f>
        <v>-612</v>
      </c>
      <c r="Y212" s="449">
        <f>'Datu ievade'!Y165+'Datu ievade'!Y188</f>
        <v>-624</v>
      </c>
      <c r="Z212" s="449">
        <f>'Datu ievade'!Z165+'Datu ievade'!Z188</f>
        <v>-636</v>
      </c>
      <c r="AA212" s="449">
        <f>'Datu ievade'!AA165+'Datu ievade'!AA188</f>
        <v>-648</v>
      </c>
      <c r="AB212" s="449">
        <f>'Datu ievade'!AB165+'Datu ievade'!AB188</f>
        <v>-660</v>
      </c>
      <c r="AC212" s="449">
        <f>'Datu ievade'!AC165+'Datu ievade'!AC188</f>
        <v>-672</v>
      </c>
      <c r="AD212" s="449">
        <f>'Datu ievade'!AD165+'Datu ievade'!AD188</f>
        <v>-684</v>
      </c>
      <c r="AE212" s="449">
        <f>'Datu ievade'!AE165+'Datu ievade'!AE188</f>
        <v>-696</v>
      </c>
      <c r="AF212" s="449">
        <f>'Datu ievade'!AF165+'Datu ievade'!AF188</f>
        <v>-708</v>
      </c>
      <c r="AG212" s="449">
        <f>'Datu ievade'!AG165+'Datu ievade'!AG188</f>
        <v>-724</v>
      </c>
      <c r="AH212" s="238"/>
      <c r="AI212" s="238"/>
    </row>
    <row r="213" spans="1:35" s="443" customFormat="1" ht="12.75">
      <c r="A213" s="450" t="s">
        <v>66</v>
      </c>
      <c r="B213" s="449">
        <f>'Datu ievade'!B166+'Datu ievade'!B189</f>
        <v>0</v>
      </c>
      <c r="C213" s="449">
        <f>'Datu ievade'!C166+C189</f>
        <v>0</v>
      </c>
      <c r="D213" s="449">
        <f>'Datu ievade'!D166+'Datu ievade'!D189</f>
        <v>0</v>
      </c>
      <c r="E213" s="449">
        <f>'Datu ievade'!E166+'Datu ievade'!E189</f>
        <v>0</v>
      </c>
      <c r="F213" s="449">
        <f>'Datu ievade'!F166+'Datu ievade'!F189</f>
        <v>0</v>
      </c>
      <c r="G213" s="449">
        <f>'Datu ievade'!G166+'Datu ievade'!G189</f>
        <v>0</v>
      </c>
      <c r="H213" s="449">
        <f>'Datu ievade'!H166+'Datu ievade'!H189</f>
        <v>0</v>
      </c>
      <c r="I213" s="449">
        <f>'Datu ievade'!I166+'Datu ievade'!I189</f>
        <v>0</v>
      </c>
      <c r="J213" s="449">
        <f>'Datu ievade'!J166+'Datu ievade'!J189</f>
        <v>0</v>
      </c>
      <c r="K213" s="449">
        <f>'Datu ievade'!K166+'Datu ievade'!K189</f>
        <v>0</v>
      </c>
      <c r="L213" s="449">
        <f>'Datu ievade'!L166+'Datu ievade'!L189</f>
        <v>0</v>
      </c>
      <c r="M213" s="449">
        <f>'Datu ievade'!M166+'Datu ievade'!M189</f>
        <v>0</v>
      </c>
      <c r="N213" s="449">
        <f>'Datu ievade'!N166+'Datu ievade'!N189</f>
        <v>0</v>
      </c>
      <c r="O213" s="449">
        <f>'Datu ievade'!O166+'Datu ievade'!O189</f>
        <v>0</v>
      </c>
      <c r="P213" s="449">
        <f>'Datu ievade'!P166+'Datu ievade'!P189</f>
        <v>0</v>
      </c>
      <c r="Q213" s="449">
        <f>'Datu ievade'!Q166+'Datu ievade'!Q189</f>
        <v>0</v>
      </c>
      <c r="R213" s="449">
        <f>'Datu ievade'!R166+'Datu ievade'!R189</f>
        <v>0</v>
      </c>
      <c r="S213" s="449">
        <f>'Datu ievade'!S166+'Datu ievade'!S189</f>
        <v>0</v>
      </c>
      <c r="T213" s="449">
        <f>'Datu ievade'!T166+'Datu ievade'!T189</f>
        <v>0</v>
      </c>
      <c r="U213" s="449">
        <f>'Datu ievade'!U166+'Datu ievade'!U189</f>
        <v>0</v>
      </c>
      <c r="V213" s="449">
        <f>'Datu ievade'!V166+'Datu ievade'!V189</f>
        <v>0</v>
      </c>
      <c r="W213" s="449">
        <f>'Datu ievade'!W166+'Datu ievade'!W189</f>
        <v>0</v>
      </c>
      <c r="X213" s="449">
        <f>'Datu ievade'!X166+'Datu ievade'!X189</f>
        <v>0</v>
      </c>
      <c r="Y213" s="449">
        <f>'Datu ievade'!Y166+'Datu ievade'!Y189</f>
        <v>0</v>
      </c>
      <c r="Z213" s="449">
        <f>'Datu ievade'!Z166+'Datu ievade'!Z189</f>
        <v>0</v>
      </c>
      <c r="AA213" s="449">
        <f>'Datu ievade'!AA166+'Datu ievade'!AA189</f>
        <v>0</v>
      </c>
      <c r="AB213" s="449">
        <f>'Datu ievade'!AB166+'Datu ievade'!AB189</f>
        <v>0</v>
      </c>
      <c r="AC213" s="449">
        <f>'Datu ievade'!AC166+'Datu ievade'!AC189</f>
        <v>0</v>
      </c>
      <c r="AD213" s="449">
        <f>'Datu ievade'!AD166+'Datu ievade'!AD189</f>
        <v>0</v>
      </c>
      <c r="AE213" s="449">
        <f>'Datu ievade'!AE166+'Datu ievade'!AE189</f>
        <v>0</v>
      </c>
      <c r="AF213" s="449">
        <f>'Datu ievade'!AF166+'Datu ievade'!AF189</f>
        <v>0</v>
      </c>
      <c r="AG213" s="449">
        <f>'Datu ievade'!AG166+'Datu ievade'!AG189</f>
        <v>0</v>
      </c>
      <c r="AH213" s="155"/>
      <c r="AI213" s="155"/>
    </row>
    <row r="214" spans="1:35" s="8" customFormat="1" ht="12.75">
      <c r="A214" s="18" t="s">
        <v>67</v>
      </c>
      <c r="B214" s="449">
        <f>'Datu ievade'!B167+'Datu ievade'!B190</f>
        <v>2750</v>
      </c>
      <c r="C214" s="449">
        <f>'Datu ievade'!C167+C190</f>
        <v>2832.5</v>
      </c>
      <c r="D214" s="449">
        <f>'Datu ievade'!D167+'Datu ievade'!D190</f>
        <v>2942.5</v>
      </c>
      <c r="E214" s="449">
        <f>'Datu ievade'!E167+'Datu ievade'!E190</f>
        <v>3302.5000000000005</v>
      </c>
      <c r="F214" s="449">
        <f>'Datu ievade'!F167+'Datu ievade'!F190</f>
        <v>3432.4999999999995</v>
      </c>
      <c r="G214" s="449">
        <f>'Datu ievade'!G167+'Datu ievade'!G190</f>
        <v>3520</v>
      </c>
      <c r="H214" s="449">
        <f>'Datu ievade'!H167+'Datu ievade'!H190</f>
        <v>3607.5</v>
      </c>
      <c r="I214" s="449">
        <f>'Datu ievade'!I167+'Datu ievade'!I190</f>
        <v>3695</v>
      </c>
      <c r="J214" s="449">
        <f>'Datu ievade'!J167+'Datu ievade'!J190</f>
        <v>3782.5</v>
      </c>
      <c r="K214" s="449">
        <f>'Datu ievade'!K167+'Datu ievade'!K190</f>
        <v>3870</v>
      </c>
      <c r="L214" s="449">
        <f>'Datu ievade'!L167+'Datu ievade'!L190</f>
        <v>3957.5</v>
      </c>
      <c r="M214" s="449">
        <f>'Datu ievade'!M167+'Datu ievade'!M190</f>
        <v>4045.0000000000005</v>
      </c>
      <c r="N214" s="449">
        <f>'Datu ievade'!N167+'Datu ievade'!N190</f>
        <v>4132.5</v>
      </c>
      <c r="O214" s="449">
        <f>'Datu ievade'!O167+'Datu ievade'!O190</f>
        <v>4220</v>
      </c>
      <c r="P214" s="449">
        <f>'Datu ievade'!P167+'Datu ievade'!P190</f>
        <v>4310</v>
      </c>
      <c r="Q214" s="449">
        <f>'Datu ievade'!Q167+'Datu ievade'!Q190</f>
        <v>4400</v>
      </c>
      <c r="R214" s="449">
        <f>'Datu ievade'!R167+'Datu ievade'!R190</f>
        <v>4490</v>
      </c>
      <c r="S214" s="449">
        <f>'Datu ievade'!S167+'Datu ievade'!S190</f>
        <v>4580</v>
      </c>
      <c r="T214" s="449">
        <f>'Datu ievade'!T167+'Datu ievade'!T190</f>
        <v>4670</v>
      </c>
      <c r="U214" s="449">
        <f>'Datu ievade'!U167+'Datu ievade'!U190</f>
        <v>4760</v>
      </c>
      <c r="V214" s="449">
        <f>'Datu ievade'!V167+'Datu ievade'!V190</f>
        <v>4877.5</v>
      </c>
      <c r="W214" s="449">
        <f>'Datu ievade'!W167+'Datu ievade'!W190</f>
        <v>4995</v>
      </c>
      <c r="X214" s="449">
        <f>'Datu ievade'!X167+'Datu ievade'!X190</f>
        <v>5112.5</v>
      </c>
      <c r="Y214" s="449">
        <f>'Datu ievade'!Y167+'Datu ievade'!Y190</f>
        <v>5230</v>
      </c>
      <c r="Z214" s="449">
        <f>'Datu ievade'!Z167+'Datu ievade'!Z190</f>
        <v>5347.5</v>
      </c>
      <c r="AA214" s="449">
        <f>'Datu ievade'!AA167+'Datu ievade'!AA190</f>
        <v>5465</v>
      </c>
      <c r="AB214" s="449">
        <f>'Datu ievade'!AB167+'Datu ievade'!AB190</f>
        <v>5582.5</v>
      </c>
      <c r="AC214" s="449">
        <f>'Datu ievade'!AC167+'Datu ievade'!AC190</f>
        <v>5700</v>
      </c>
      <c r="AD214" s="449">
        <f>'Datu ievade'!AD167+'Datu ievade'!AD190</f>
        <v>5817.5</v>
      </c>
      <c r="AE214" s="449">
        <f>'Datu ievade'!AE167+'Datu ievade'!AE190</f>
        <v>5935</v>
      </c>
      <c r="AF214" s="449">
        <f>'Datu ievade'!AF167+'Datu ievade'!AF190</f>
        <v>6052.5</v>
      </c>
      <c r="AG214" s="449">
        <f>'Datu ievade'!AG167+'Datu ievade'!AG190</f>
        <v>6172.5</v>
      </c>
      <c r="AH214"/>
      <c r="AI214"/>
    </row>
    <row r="215" spans="1:35" s="8" customFormat="1" ht="12.75">
      <c r="A215" s="18" t="s">
        <v>68</v>
      </c>
      <c r="B215" s="449">
        <f>'Datu ievade'!B168+'Datu ievade'!B191</f>
        <v>662.475</v>
      </c>
      <c r="C215" s="449">
        <f>'Datu ievade'!C168+C191</f>
        <v>682.34925</v>
      </c>
      <c r="D215" s="449">
        <f>'Datu ievade'!D168+'Datu ievade'!D191</f>
        <v>708.84825</v>
      </c>
      <c r="E215" s="449">
        <f>'Datu ievade'!E168+'Datu ievade'!E191</f>
        <v>795.5722500000002</v>
      </c>
      <c r="F215" s="449">
        <f>'Datu ievade'!F168+'Datu ievade'!F191</f>
        <v>826.88925</v>
      </c>
      <c r="G215" s="449">
        <f>'Datu ievade'!G168+'Datu ievade'!G191</f>
        <v>847.9680000000001</v>
      </c>
      <c r="H215" s="449">
        <f>'Datu ievade'!H168+'Datu ievade'!H191</f>
        <v>869.04675</v>
      </c>
      <c r="I215" s="449">
        <f>'Datu ievade'!I168+'Datu ievade'!I191</f>
        <v>890.1255000000001</v>
      </c>
      <c r="J215" s="449">
        <f>'Datu ievade'!J168+'Datu ievade'!J191</f>
        <v>911.20425</v>
      </c>
      <c r="K215" s="449">
        <f>'Datu ievade'!K168+'Datu ievade'!K191</f>
        <v>932.283</v>
      </c>
      <c r="L215" s="449">
        <f>'Datu ievade'!L168+'Datu ievade'!L191</f>
        <v>953.36175</v>
      </c>
      <c r="M215" s="449">
        <f>'Datu ievade'!M168+'Datu ievade'!M191</f>
        <v>974.4405000000002</v>
      </c>
      <c r="N215" s="449">
        <f>'Datu ievade'!N168+'Datu ievade'!N191</f>
        <v>995.5192499999998</v>
      </c>
      <c r="O215" s="449">
        <f>'Datu ievade'!O168+'Datu ievade'!O191</f>
        <v>1016.5980000000001</v>
      </c>
      <c r="P215" s="449">
        <f>'Datu ievade'!P168+'Datu ievade'!P191</f>
        <v>1038.279</v>
      </c>
      <c r="Q215" s="449">
        <f>'Datu ievade'!Q168+'Datu ievade'!Q191</f>
        <v>1059.96</v>
      </c>
      <c r="R215" s="449">
        <f>'Datu ievade'!R168+'Datu ievade'!R191</f>
        <v>1081.641</v>
      </c>
      <c r="S215" s="449">
        <f>'Datu ievade'!S168+'Datu ievade'!S191</f>
        <v>1103.3220000000001</v>
      </c>
      <c r="T215" s="449">
        <f>'Datu ievade'!T168+'Datu ievade'!T191</f>
        <v>1125.003</v>
      </c>
      <c r="U215" s="449">
        <f>'Datu ievade'!U168+'Datu ievade'!U191</f>
        <v>1146.684</v>
      </c>
      <c r="V215" s="449">
        <f>'Datu ievade'!V168+'Datu ievade'!V191</f>
        <v>1174.98975</v>
      </c>
      <c r="W215" s="449">
        <f>'Datu ievade'!W168+'Datu ievade'!W191</f>
        <v>1203.2955000000002</v>
      </c>
      <c r="X215" s="449">
        <f>'Datu ievade'!X168+'Datu ievade'!X191</f>
        <v>1231.6012500000002</v>
      </c>
      <c r="Y215" s="449">
        <f>'Datu ievade'!Y168+'Datu ievade'!Y191</f>
        <v>1259.907</v>
      </c>
      <c r="Z215" s="449">
        <f>'Datu ievade'!Z168+'Datu ievade'!Z191</f>
        <v>1288.21275</v>
      </c>
      <c r="AA215" s="449">
        <f>'Datu ievade'!AA168+'Datu ievade'!AA191</f>
        <v>1316.5185</v>
      </c>
      <c r="AB215" s="449">
        <f>'Datu ievade'!AB168+'Datu ievade'!AB191</f>
        <v>1344.82425</v>
      </c>
      <c r="AC215" s="449">
        <f>'Datu ievade'!AC168+'Datu ievade'!AC191</f>
        <v>1373.13</v>
      </c>
      <c r="AD215" s="449">
        <f>'Datu ievade'!AD168+'Datu ievade'!AD191</f>
        <v>1401.43575</v>
      </c>
      <c r="AE215" s="449">
        <f>'Datu ievade'!AE168+'Datu ievade'!AE191</f>
        <v>1429.7415</v>
      </c>
      <c r="AF215" s="449">
        <f>'Datu ievade'!AF168+'Datu ievade'!AF191</f>
        <v>1458.04725</v>
      </c>
      <c r="AG215" s="449">
        <f>'Datu ievade'!AG168+'Datu ievade'!AG191</f>
        <v>1486.95525</v>
      </c>
      <c r="AH215"/>
      <c r="AI215"/>
    </row>
    <row r="216" spans="1:35" s="8" customFormat="1" ht="12.75">
      <c r="A216" s="18" t="s">
        <v>69</v>
      </c>
      <c r="B216" s="449">
        <f>'Datu ievade'!B169+'Datu ievade'!B192</f>
        <v>0</v>
      </c>
      <c r="C216" s="449">
        <f>'Datu ievade'!C169+C192</f>
        <v>0</v>
      </c>
      <c r="D216" s="449">
        <f>'Datu ievade'!D169+'Datu ievade'!D192</f>
        <v>0</v>
      </c>
      <c r="E216" s="449">
        <f>'Datu ievade'!E169+'Datu ievade'!E192</f>
        <v>0</v>
      </c>
      <c r="F216" s="449">
        <f>'Datu ievade'!F169+'Datu ievade'!F192</f>
        <v>0</v>
      </c>
      <c r="G216" s="449">
        <f>'Datu ievade'!G169+'Datu ievade'!G192</f>
        <v>0</v>
      </c>
      <c r="H216" s="449">
        <f>'Datu ievade'!H169+'Datu ievade'!H192</f>
        <v>0</v>
      </c>
      <c r="I216" s="449">
        <f>'Datu ievade'!I169+'Datu ievade'!I192</f>
        <v>0</v>
      </c>
      <c r="J216" s="449">
        <f>'Datu ievade'!J169+'Datu ievade'!J192</f>
        <v>0</v>
      </c>
      <c r="K216" s="449">
        <f>'Datu ievade'!K169+'Datu ievade'!K192</f>
        <v>0</v>
      </c>
      <c r="L216" s="449">
        <f>'Datu ievade'!L169+'Datu ievade'!L192</f>
        <v>0</v>
      </c>
      <c r="M216" s="449">
        <f>'Datu ievade'!M169+'Datu ievade'!M192</f>
        <v>0</v>
      </c>
      <c r="N216" s="449">
        <f>'Datu ievade'!N169+'Datu ievade'!N192</f>
        <v>0</v>
      </c>
      <c r="O216" s="449">
        <f>'Datu ievade'!O169+'Datu ievade'!O192</f>
        <v>0</v>
      </c>
      <c r="P216" s="449">
        <f>'Datu ievade'!P169+'Datu ievade'!P192</f>
        <v>0</v>
      </c>
      <c r="Q216" s="449">
        <f>'Datu ievade'!Q169+'Datu ievade'!Q192</f>
        <v>0</v>
      </c>
      <c r="R216" s="449">
        <f>'Datu ievade'!R169+'Datu ievade'!R192</f>
        <v>0</v>
      </c>
      <c r="S216" s="449">
        <f>'Datu ievade'!S169+'Datu ievade'!S192</f>
        <v>0</v>
      </c>
      <c r="T216" s="449">
        <f>'Datu ievade'!T169+'Datu ievade'!T192</f>
        <v>0</v>
      </c>
      <c r="U216" s="449">
        <f>'Datu ievade'!U169+'Datu ievade'!U192</f>
        <v>0</v>
      </c>
      <c r="V216" s="449">
        <f>'Datu ievade'!V169+'Datu ievade'!V192</f>
        <v>0</v>
      </c>
      <c r="W216" s="449">
        <f>'Datu ievade'!W169+'Datu ievade'!W192</f>
        <v>0</v>
      </c>
      <c r="X216" s="449">
        <f>'Datu ievade'!X169+'Datu ievade'!X192</f>
        <v>0</v>
      </c>
      <c r="Y216" s="449">
        <f>'Datu ievade'!Y169+'Datu ievade'!Y192</f>
        <v>0</v>
      </c>
      <c r="Z216" s="449">
        <f>'Datu ievade'!Z169+'Datu ievade'!Z192</f>
        <v>0</v>
      </c>
      <c r="AA216" s="449">
        <f>'Datu ievade'!AA169+'Datu ievade'!AA192</f>
        <v>0</v>
      </c>
      <c r="AB216" s="449">
        <f>'Datu ievade'!AB169+'Datu ievade'!AB192</f>
        <v>0</v>
      </c>
      <c r="AC216" s="449">
        <f>'Datu ievade'!AC169+'Datu ievade'!AC192</f>
        <v>0</v>
      </c>
      <c r="AD216" s="449">
        <f>'Datu ievade'!AD169+'Datu ievade'!AD192</f>
        <v>0</v>
      </c>
      <c r="AE216" s="449">
        <f>'Datu ievade'!AE169+'Datu ievade'!AE192</f>
        <v>0</v>
      </c>
      <c r="AF216" s="449">
        <f>'Datu ievade'!AF169+'Datu ievade'!AF192</f>
        <v>0</v>
      </c>
      <c r="AG216" s="449">
        <f>'Datu ievade'!AG169+'Datu ievade'!AG192</f>
        <v>0</v>
      </c>
      <c r="AH216"/>
      <c r="AI216"/>
    </row>
    <row r="217" spans="1:35" s="443" customFormat="1" ht="13.5">
      <c r="A217" s="45" t="s">
        <v>70</v>
      </c>
      <c r="B217" s="449">
        <f>'Datu ievade'!B170+'Datu ievade'!B193</f>
        <v>0</v>
      </c>
      <c r="C217" s="449">
        <f>'Datu ievade'!C170+C193</f>
        <v>0</v>
      </c>
      <c r="D217" s="449">
        <f>'Datu ievade'!D170+'Datu ievade'!D193</f>
        <v>0</v>
      </c>
      <c r="E217" s="449">
        <f>'Datu ievade'!E170+'Datu ievade'!E193</f>
        <v>0</v>
      </c>
      <c r="F217" s="449">
        <f>'Datu ievade'!F170+'Datu ievade'!F193</f>
        <v>0</v>
      </c>
      <c r="G217" s="449">
        <f>'Datu ievade'!G170+'Datu ievade'!G193</f>
        <v>0</v>
      </c>
      <c r="H217" s="449">
        <f>'Datu ievade'!H170+'Datu ievade'!H193</f>
        <v>0</v>
      </c>
      <c r="I217" s="449">
        <f>'Datu ievade'!I170+'Datu ievade'!I193</f>
        <v>0</v>
      </c>
      <c r="J217" s="449">
        <f>'Datu ievade'!J170+'Datu ievade'!J193</f>
        <v>0</v>
      </c>
      <c r="K217" s="449">
        <f>'Datu ievade'!K170+'Datu ievade'!K193</f>
        <v>0</v>
      </c>
      <c r="L217" s="449">
        <f>'Datu ievade'!L170+'Datu ievade'!L193</f>
        <v>0</v>
      </c>
      <c r="M217" s="449">
        <f>'Datu ievade'!M170+'Datu ievade'!M193</f>
        <v>0</v>
      </c>
      <c r="N217" s="449">
        <f>'Datu ievade'!N170+'Datu ievade'!N193</f>
        <v>0</v>
      </c>
      <c r="O217" s="449">
        <f>'Datu ievade'!O170+'Datu ievade'!O193</f>
        <v>0</v>
      </c>
      <c r="P217" s="449">
        <f>'Datu ievade'!P170+'Datu ievade'!P193</f>
        <v>0</v>
      </c>
      <c r="Q217" s="449">
        <f>'Datu ievade'!Q170+'Datu ievade'!Q193</f>
        <v>0</v>
      </c>
      <c r="R217" s="449">
        <f>'Datu ievade'!R170+'Datu ievade'!R193</f>
        <v>0</v>
      </c>
      <c r="S217" s="449">
        <f>'Datu ievade'!S170+'Datu ievade'!S193</f>
        <v>0</v>
      </c>
      <c r="T217" s="449">
        <f>'Datu ievade'!T170+'Datu ievade'!T193</f>
        <v>0</v>
      </c>
      <c r="U217" s="449">
        <f>'Datu ievade'!U170+'Datu ievade'!U193</f>
        <v>0</v>
      </c>
      <c r="V217" s="449">
        <f>'Datu ievade'!V170+'Datu ievade'!V193</f>
        <v>0</v>
      </c>
      <c r="W217" s="449">
        <f>'Datu ievade'!W170+'Datu ievade'!W193</f>
        <v>0</v>
      </c>
      <c r="X217" s="449">
        <f>'Datu ievade'!X170+'Datu ievade'!X193</f>
        <v>0</v>
      </c>
      <c r="Y217" s="449">
        <f>'Datu ievade'!Y170+'Datu ievade'!Y193</f>
        <v>0</v>
      </c>
      <c r="Z217" s="449">
        <f>'Datu ievade'!Z170+'Datu ievade'!Z193</f>
        <v>0</v>
      </c>
      <c r="AA217" s="449">
        <f>'Datu ievade'!AA170+'Datu ievade'!AA193</f>
        <v>0</v>
      </c>
      <c r="AB217" s="449">
        <f>'Datu ievade'!AB170+'Datu ievade'!AB193</f>
        <v>0</v>
      </c>
      <c r="AC217" s="449">
        <f>'Datu ievade'!AC170+'Datu ievade'!AC193</f>
        <v>0</v>
      </c>
      <c r="AD217" s="449">
        <f>'Datu ievade'!AD170+'Datu ievade'!AD193</f>
        <v>0</v>
      </c>
      <c r="AE217" s="449">
        <f>'Datu ievade'!AE170+'Datu ievade'!AE193</f>
        <v>0</v>
      </c>
      <c r="AF217" s="449">
        <f>'Datu ievade'!AF170+'Datu ievade'!AF193</f>
        <v>0</v>
      </c>
      <c r="AG217" s="449">
        <f>'Datu ievade'!AG170+'Datu ievade'!AG193</f>
        <v>0</v>
      </c>
      <c r="AH217" s="155"/>
      <c r="AI217" s="155"/>
    </row>
    <row r="218" spans="1:35" s="443" customFormat="1" ht="12.75">
      <c r="A218" s="450" t="s">
        <v>60</v>
      </c>
      <c r="B218" s="449">
        <f>'Datu ievade'!B171+'Datu ievade'!B194</f>
        <v>0</v>
      </c>
      <c r="C218" s="449">
        <f>'Datu ievade'!C171+C194</f>
        <v>0</v>
      </c>
      <c r="D218" s="449">
        <f>'Datu ievade'!D171+'Datu ievade'!D194</f>
        <v>0</v>
      </c>
      <c r="E218" s="449">
        <f>'Datu ievade'!E171+'Datu ievade'!E194</f>
        <v>0</v>
      </c>
      <c r="F218" s="449">
        <f>'Datu ievade'!F171+'Datu ievade'!F194</f>
        <v>0</v>
      </c>
      <c r="G218" s="449">
        <f>'Datu ievade'!G171+'Datu ievade'!G194</f>
        <v>0</v>
      </c>
      <c r="H218" s="449">
        <f>'Datu ievade'!H171+'Datu ievade'!H194</f>
        <v>0</v>
      </c>
      <c r="I218" s="449">
        <f>'Datu ievade'!I171+'Datu ievade'!I194</f>
        <v>0</v>
      </c>
      <c r="J218" s="449">
        <f>'Datu ievade'!J171+'Datu ievade'!J194</f>
        <v>0</v>
      </c>
      <c r="K218" s="449">
        <f>'Datu ievade'!K171+'Datu ievade'!K194</f>
        <v>0</v>
      </c>
      <c r="L218" s="449">
        <f>'Datu ievade'!L171+'Datu ievade'!L194</f>
        <v>0</v>
      </c>
      <c r="M218" s="449">
        <f>'Datu ievade'!M171+'Datu ievade'!M194</f>
        <v>0</v>
      </c>
      <c r="N218" s="449">
        <f>'Datu ievade'!N171+'Datu ievade'!N194</f>
        <v>0</v>
      </c>
      <c r="O218" s="449">
        <f>'Datu ievade'!O171+'Datu ievade'!O194</f>
        <v>0</v>
      </c>
      <c r="P218" s="449">
        <f>'Datu ievade'!P171+'Datu ievade'!P194</f>
        <v>0</v>
      </c>
      <c r="Q218" s="449">
        <f>'Datu ievade'!Q171+'Datu ievade'!Q194</f>
        <v>0</v>
      </c>
      <c r="R218" s="449">
        <f>'Datu ievade'!R171+'Datu ievade'!R194</f>
        <v>0</v>
      </c>
      <c r="S218" s="449">
        <f>'Datu ievade'!S171+'Datu ievade'!S194</f>
        <v>0</v>
      </c>
      <c r="T218" s="449">
        <f>'Datu ievade'!T171+'Datu ievade'!T194</f>
        <v>0</v>
      </c>
      <c r="U218" s="449">
        <f>'Datu ievade'!U171+'Datu ievade'!U194</f>
        <v>0</v>
      </c>
      <c r="V218" s="449">
        <f>'Datu ievade'!V171+'Datu ievade'!V194</f>
        <v>0</v>
      </c>
      <c r="W218" s="449">
        <f>'Datu ievade'!W171+'Datu ievade'!W194</f>
        <v>0</v>
      </c>
      <c r="X218" s="449">
        <f>'Datu ievade'!X171+'Datu ievade'!X194</f>
        <v>0</v>
      </c>
      <c r="Y218" s="449">
        <f>'Datu ievade'!Y171+'Datu ievade'!Y194</f>
        <v>0</v>
      </c>
      <c r="Z218" s="449">
        <f>'Datu ievade'!Z171+'Datu ievade'!Z194</f>
        <v>0</v>
      </c>
      <c r="AA218" s="449">
        <f>'Datu ievade'!AA171+'Datu ievade'!AA194</f>
        <v>0</v>
      </c>
      <c r="AB218" s="449">
        <f>'Datu ievade'!AB171+'Datu ievade'!AB194</f>
        <v>0</v>
      </c>
      <c r="AC218" s="449">
        <f>'Datu ievade'!AC171+'Datu ievade'!AC194</f>
        <v>0</v>
      </c>
      <c r="AD218" s="449">
        <f>'Datu ievade'!AD171+'Datu ievade'!AD194</f>
        <v>0</v>
      </c>
      <c r="AE218" s="449">
        <f>'Datu ievade'!AE171+'Datu ievade'!AE194</f>
        <v>0</v>
      </c>
      <c r="AF218" s="449">
        <f>'Datu ievade'!AF171+'Datu ievade'!AF194</f>
        <v>0</v>
      </c>
      <c r="AG218" s="449">
        <f>'Datu ievade'!AG171+'Datu ievade'!AG194</f>
        <v>0</v>
      </c>
      <c r="AH218" s="155"/>
      <c r="AI218" s="155"/>
    </row>
    <row r="219" spans="1:35" s="8" customFormat="1" ht="12.75">
      <c r="A219" s="18" t="s">
        <v>61</v>
      </c>
      <c r="B219" s="449">
        <f>'Datu ievade'!B172+'Datu ievade'!B195</f>
        <v>5570</v>
      </c>
      <c r="C219" s="449">
        <f>'Datu ievade'!C172+C195</f>
        <v>5681.400000000001</v>
      </c>
      <c r="D219" s="449">
        <f>'Datu ievade'!D172+'Datu ievade'!D195</f>
        <v>4792.8</v>
      </c>
      <c r="E219" s="449">
        <f>'Datu ievade'!E172+'Datu ievade'!E195</f>
        <v>904.2000000000007</v>
      </c>
      <c r="F219" s="449">
        <f>'Datu ievade'!F172+'Datu ievade'!F195</f>
        <v>615.6000000000004</v>
      </c>
      <c r="G219" s="449">
        <f>'Datu ievade'!G172+'Datu ievade'!G195</f>
        <v>627.0000000000009</v>
      </c>
      <c r="H219" s="449">
        <f>'Datu ievade'!H172+'Datu ievade'!H195</f>
        <v>638.3999999999996</v>
      </c>
      <c r="I219" s="449">
        <f>'Datu ievade'!I172+'Datu ievade'!I195</f>
        <v>649.8000000000002</v>
      </c>
      <c r="J219" s="449">
        <f>'Datu ievade'!J172+'Datu ievade'!J195</f>
        <v>661.1999999999998</v>
      </c>
      <c r="K219" s="449">
        <f>'Datu ievade'!K172+'Datu ievade'!K195</f>
        <v>672.5999999999995</v>
      </c>
      <c r="L219" s="449">
        <f>'Datu ievade'!L172+'Datu ievade'!L195</f>
        <v>684</v>
      </c>
      <c r="M219" s="449">
        <f>'Datu ievade'!M172+'Datu ievade'!M195</f>
        <v>695.3999999999996</v>
      </c>
      <c r="N219" s="449">
        <f>'Datu ievade'!N172+'Datu ievade'!N195</f>
        <v>706.8000000000002</v>
      </c>
      <c r="O219" s="449">
        <f>'Datu ievade'!O172+'Datu ievade'!O195</f>
        <v>718.1999999999998</v>
      </c>
      <c r="P219" s="449">
        <f>'Datu ievade'!P172+'Datu ievade'!P195</f>
        <v>735.3000000000002</v>
      </c>
      <c r="Q219" s="449">
        <f>'Datu ievade'!Q172+'Datu ievade'!Q195</f>
        <v>752.4000000000005</v>
      </c>
      <c r="R219" s="449">
        <f>'Datu ievade'!R172+'Datu ievade'!R195</f>
        <v>769.5000000000009</v>
      </c>
      <c r="S219" s="449">
        <f>'Datu ievade'!S172+'Datu ievade'!S195</f>
        <v>786.6000000000004</v>
      </c>
      <c r="T219" s="449">
        <f>'Datu ievade'!T172+'Datu ievade'!T195</f>
        <v>803.6999999999998</v>
      </c>
      <c r="U219" s="449">
        <f>'Datu ievade'!U172+'Datu ievade'!U195</f>
        <v>820.7999999999993</v>
      </c>
      <c r="V219" s="449">
        <f>'Datu ievade'!V172+'Datu ievade'!V195</f>
        <v>837.8999999999996</v>
      </c>
      <c r="W219" s="449">
        <f>'Datu ievade'!W172+'Datu ievade'!W195</f>
        <v>855</v>
      </c>
      <c r="X219" s="449">
        <f>'Datu ievade'!X172+'Datu ievade'!X195</f>
        <v>872.1000000000004</v>
      </c>
      <c r="Y219" s="449">
        <f>'Datu ievade'!Y172+'Datu ievade'!Y195</f>
        <v>889.2000000000007</v>
      </c>
      <c r="Z219" s="449">
        <f>'Datu ievade'!Z172+'Datu ievade'!Z195</f>
        <v>906.3000000000011</v>
      </c>
      <c r="AA219" s="449">
        <f>'Datu ievade'!AA172+'Datu ievade'!AA195</f>
        <v>923.4000000000005</v>
      </c>
      <c r="AB219" s="449">
        <f>'Datu ievade'!AB172+'Datu ievade'!AB195</f>
        <v>940.5</v>
      </c>
      <c r="AC219" s="449">
        <f>'Datu ievade'!AC172+'Datu ievade'!AC195</f>
        <v>957.6000000000004</v>
      </c>
      <c r="AD219" s="449">
        <f>'Datu ievade'!AD172+'Datu ievade'!AD195</f>
        <v>974.6999999999989</v>
      </c>
      <c r="AE219" s="449">
        <f>'Datu ievade'!AE172+'Datu ievade'!AE195</f>
        <v>991.7999999999993</v>
      </c>
      <c r="AF219" s="449">
        <f>'Datu ievade'!AF172+'Datu ievade'!AF195</f>
        <v>1008.8999999999996</v>
      </c>
      <c r="AG219" s="449">
        <f>'Datu ievade'!AG172+'Datu ievade'!AG195</f>
        <v>1031.7000000000007</v>
      </c>
      <c r="AH219"/>
      <c r="AI219"/>
    </row>
    <row r="220" spans="1:35" s="8" customFormat="1" ht="12.75">
      <c r="A220" s="18" t="s">
        <v>62</v>
      </c>
      <c r="B220" s="449">
        <f>'Datu ievade'!B173+'Datu ievade'!B196</f>
        <v>4400</v>
      </c>
      <c r="C220" s="449">
        <f>'Datu ievade'!C173+C196</f>
        <v>4488</v>
      </c>
      <c r="D220" s="449">
        <f>'Datu ievade'!D173+'Datu ievade'!D196</f>
        <v>4576</v>
      </c>
      <c r="E220" s="449">
        <f>'Datu ievade'!E173+'Datu ievade'!E196</f>
        <v>4764</v>
      </c>
      <c r="F220" s="449">
        <f>'Datu ievade'!F173+'Datu ievade'!F196</f>
        <v>4860</v>
      </c>
      <c r="G220" s="449">
        <f>'Datu ievade'!G173+'Datu ievade'!G196</f>
        <v>4950</v>
      </c>
      <c r="H220" s="449">
        <f>'Datu ievade'!H173+'Datu ievade'!H196</f>
        <v>5040.000000000001</v>
      </c>
      <c r="I220" s="449">
        <f>'Datu ievade'!I173+'Datu ievade'!I196</f>
        <v>5130</v>
      </c>
      <c r="J220" s="449">
        <f>'Datu ievade'!J173+'Datu ievade'!J196</f>
        <v>5220</v>
      </c>
      <c r="K220" s="449">
        <f>'Datu ievade'!K173+'Datu ievade'!K196</f>
        <v>5310</v>
      </c>
      <c r="L220" s="449">
        <f>'Datu ievade'!L173+'Datu ievade'!L196</f>
        <v>5400</v>
      </c>
      <c r="M220" s="449">
        <f>'Datu ievade'!M173+'Datu ievade'!M196</f>
        <v>5490</v>
      </c>
      <c r="N220" s="449">
        <f>'Datu ievade'!N173+'Datu ievade'!N196</f>
        <v>5580</v>
      </c>
      <c r="O220" s="449">
        <f>'Datu ievade'!O173+'Datu ievade'!O196</f>
        <v>5670</v>
      </c>
      <c r="P220" s="449">
        <f>'Datu ievade'!P173+'Datu ievade'!P196</f>
        <v>5805</v>
      </c>
      <c r="Q220" s="449">
        <f>'Datu ievade'!Q173+'Datu ievade'!Q196</f>
        <v>5940</v>
      </c>
      <c r="R220" s="449">
        <f>'Datu ievade'!R173+'Datu ievade'!R196</f>
        <v>6075</v>
      </c>
      <c r="S220" s="449">
        <f>'Datu ievade'!S173+'Datu ievade'!S196</f>
        <v>6209.999999999999</v>
      </c>
      <c r="T220" s="449">
        <f>'Datu ievade'!T173+'Datu ievade'!T196</f>
        <v>6345</v>
      </c>
      <c r="U220" s="449">
        <f>'Datu ievade'!U173+'Datu ievade'!U196</f>
        <v>6480</v>
      </c>
      <c r="V220" s="449">
        <f>'Datu ievade'!V173+'Datu ievade'!V196</f>
        <v>6615</v>
      </c>
      <c r="W220" s="449">
        <f>'Datu ievade'!W173+'Datu ievade'!W196</f>
        <v>6750</v>
      </c>
      <c r="X220" s="449">
        <f>'Datu ievade'!X173+'Datu ievade'!X196</f>
        <v>6885</v>
      </c>
      <c r="Y220" s="449">
        <f>'Datu ievade'!Y173+'Datu ievade'!Y196</f>
        <v>7020</v>
      </c>
      <c r="Z220" s="449">
        <f>'Datu ievade'!Z173+'Datu ievade'!Z196</f>
        <v>7155</v>
      </c>
      <c r="AA220" s="449">
        <f>'Datu ievade'!AA173+'Datu ievade'!AA196</f>
        <v>7290.000000000001</v>
      </c>
      <c r="AB220" s="449">
        <f>'Datu ievade'!AB173+'Datu ievade'!AB196</f>
        <v>7425</v>
      </c>
      <c r="AC220" s="449">
        <f>'Datu ievade'!AC173+'Datu ievade'!AC196</f>
        <v>7560</v>
      </c>
      <c r="AD220" s="449">
        <f>'Datu ievade'!AD173+'Datu ievade'!AD196</f>
        <v>7695</v>
      </c>
      <c r="AE220" s="449">
        <f>'Datu ievade'!AE173+'Datu ievade'!AE196</f>
        <v>7830</v>
      </c>
      <c r="AF220" s="449">
        <f>'Datu ievade'!AF173+'Datu ievade'!AF196</f>
        <v>7965</v>
      </c>
      <c r="AG220" s="449">
        <f>'Datu ievade'!AG173+'Datu ievade'!AG196</f>
        <v>8145</v>
      </c>
      <c r="AH220"/>
      <c r="AI220"/>
    </row>
    <row r="221" spans="1:35" s="8" customFormat="1" ht="12.75">
      <c r="A221" s="18" t="s">
        <v>63</v>
      </c>
      <c r="B221" s="449">
        <f>'Datu ievade'!B174+'Datu ievade'!B197</f>
        <v>450</v>
      </c>
      <c r="C221" s="449">
        <f>'Datu ievade'!C174+C197</f>
        <v>459</v>
      </c>
      <c r="D221" s="449">
        <f>'Datu ievade'!D174+'Datu ievade'!D197</f>
        <v>468</v>
      </c>
      <c r="E221" s="449">
        <f>'Datu ievade'!E174+'Datu ievade'!E197</f>
        <v>627</v>
      </c>
      <c r="F221" s="449">
        <f>'Datu ievade'!F174+'Datu ievade'!F197</f>
        <v>648</v>
      </c>
      <c r="G221" s="449">
        <f>'Datu ievade'!G174+'Datu ievade'!G197</f>
        <v>660</v>
      </c>
      <c r="H221" s="449">
        <f>'Datu ievade'!H174+'Datu ievade'!H197</f>
        <v>672.0000000000001</v>
      </c>
      <c r="I221" s="449">
        <f>'Datu ievade'!I174+'Datu ievade'!I197</f>
        <v>684</v>
      </c>
      <c r="J221" s="449">
        <f>'Datu ievade'!J174+'Datu ievade'!J197</f>
        <v>696</v>
      </c>
      <c r="K221" s="449">
        <f>'Datu ievade'!K174+'Datu ievade'!K197</f>
        <v>708</v>
      </c>
      <c r="L221" s="449">
        <f>'Datu ievade'!L174+'Datu ievade'!L197</f>
        <v>720</v>
      </c>
      <c r="M221" s="449">
        <f>'Datu ievade'!M174+'Datu ievade'!M197</f>
        <v>732</v>
      </c>
      <c r="N221" s="449">
        <f>'Datu ievade'!N174+'Datu ievade'!N197</f>
        <v>744</v>
      </c>
      <c r="O221" s="449">
        <f>'Datu ievade'!O174+'Datu ievade'!O197</f>
        <v>756</v>
      </c>
      <c r="P221" s="449">
        <f>'Datu ievade'!P174+'Datu ievade'!P197</f>
        <v>774</v>
      </c>
      <c r="Q221" s="449">
        <f>'Datu ievade'!Q174+'Datu ievade'!Q197</f>
        <v>792</v>
      </c>
      <c r="R221" s="449">
        <f>'Datu ievade'!R174+'Datu ievade'!R197</f>
        <v>810</v>
      </c>
      <c r="S221" s="449">
        <f>'Datu ievade'!S174+'Datu ievade'!S197</f>
        <v>828</v>
      </c>
      <c r="T221" s="449">
        <f>'Datu ievade'!T174+'Datu ievade'!T197</f>
        <v>846</v>
      </c>
      <c r="U221" s="449">
        <f>'Datu ievade'!U174+'Datu ievade'!U197</f>
        <v>864</v>
      </c>
      <c r="V221" s="449">
        <f>'Datu ievade'!V174+'Datu ievade'!V197</f>
        <v>882</v>
      </c>
      <c r="W221" s="449">
        <f>'Datu ievade'!W174+'Datu ievade'!W197</f>
        <v>900</v>
      </c>
      <c r="X221" s="449">
        <f>'Datu ievade'!X174+'Datu ievade'!X197</f>
        <v>918</v>
      </c>
      <c r="Y221" s="449">
        <f>'Datu ievade'!Y174+'Datu ievade'!Y197</f>
        <v>936</v>
      </c>
      <c r="Z221" s="449">
        <f>'Datu ievade'!Z174+'Datu ievade'!Z197</f>
        <v>954</v>
      </c>
      <c r="AA221" s="449">
        <f>'Datu ievade'!AA174+'Datu ievade'!AA197</f>
        <v>972</v>
      </c>
      <c r="AB221" s="449">
        <f>'Datu ievade'!AB174+'Datu ievade'!AB197</f>
        <v>990</v>
      </c>
      <c r="AC221" s="449">
        <f>'Datu ievade'!AC174+'Datu ievade'!AC197</f>
        <v>1008</v>
      </c>
      <c r="AD221" s="449">
        <f>'Datu ievade'!AD174+'Datu ievade'!AD197</f>
        <v>1026</v>
      </c>
      <c r="AE221" s="449">
        <f>'Datu ievade'!AE174+'Datu ievade'!AE197</f>
        <v>1044</v>
      </c>
      <c r="AF221" s="449">
        <f>'Datu ievade'!AF174+'Datu ievade'!AF197</f>
        <v>1062</v>
      </c>
      <c r="AG221" s="449">
        <f>'Datu ievade'!AG174+'Datu ievade'!AG197</f>
        <v>1086</v>
      </c>
      <c r="AH221"/>
      <c r="AI221"/>
    </row>
    <row r="222" spans="1:35" s="8" customFormat="1" ht="12.75">
      <c r="A222" s="18" t="s">
        <v>64</v>
      </c>
      <c r="B222" s="449">
        <f>'Datu ievade'!B175+'Datu ievade'!B198</f>
        <v>100</v>
      </c>
      <c r="C222" s="449">
        <f>'Datu ievade'!C175+C198</f>
        <v>102</v>
      </c>
      <c r="D222" s="449">
        <f>'Datu ievade'!D175+'Datu ievade'!D198</f>
        <v>104</v>
      </c>
      <c r="E222" s="449">
        <f>'Datu ievade'!E175+'Datu ievade'!E198</f>
        <v>106</v>
      </c>
      <c r="F222" s="449">
        <f>'Datu ievade'!F175+'Datu ievade'!F198</f>
        <v>108</v>
      </c>
      <c r="G222" s="449">
        <f>'Datu ievade'!G175+'Datu ievade'!G198</f>
        <v>110.00000000000001</v>
      </c>
      <c r="H222" s="449">
        <f>'Datu ievade'!H175+'Datu ievade'!H198</f>
        <v>112.00000000000001</v>
      </c>
      <c r="I222" s="449">
        <f>'Datu ievade'!I175+'Datu ievade'!I198</f>
        <v>113.99999999999999</v>
      </c>
      <c r="J222" s="449">
        <f>'Datu ievade'!J175+'Datu ievade'!J198</f>
        <v>115.99999999999999</v>
      </c>
      <c r="K222" s="449">
        <f>'Datu ievade'!K175+'Datu ievade'!K198</f>
        <v>118</v>
      </c>
      <c r="L222" s="449">
        <f>'Datu ievade'!L175+'Datu ievade'!L198</f>
        <v>120</v>
      </c>
      <c r="M222" s="449">
        <f>'Datu ievade'!M175+'Datu ievade'!M198</f>
        <v>122</v>
      </c>
      <c r="N222" s="449">
        <f>'Datu ievade'!N175+'Datu ievade'!N198</f>
        <v>124</v>
      </c>
      <c r="O222" s="449">
        <f>'Datu ievade'!O175+'Datu ievade'!O198</f>
        <v>126</v>
      </c>
      <c r="P222" s="449">
        <f>'Datu ievade'!P175+'Datu ievade'!P198</f>
        <v>129</v>
      </c>
      <c r="Q222" s="449">
        <f>'Datu ievade'!Q175+'Datu ievade'!Q198</f>
        <v>132</v>
      </c>
      <c r="R222" s="449">
        <f>'Datu ievade'!R175+'Datu ievade'!R198</f>
        <v>135</v>
      </c>
      <c r="S222" s="449">
        <f>'Datu ievade'!S175+'Datu ievade'!S198</f>
        <v>138</v>
      </c>
      <c r="T222" s="449">
        <f>'Datu ievade'!T175+'Datu ievade'!T198</f>
        <v>141</v>
      </c>
      <c r="U222" s="449">
        <f>'Datu ievade'!U175+'Datu ievade'!U198</f>
        <v>144</v>
      </c>
      <c r="V222" s="449">
        <f>'Datu ievade'!V175+'Datu ievade'!V198</f>
        <v>147</v>
      </c>
      <c r="W222" s="449">
        <f>'Datu ievade'!W175+'Datu ievade'!W198</f>
        <v>150</v>
      </c>
      <c r="X222" s="449">
        <f>'Datu ievade'!X175+'Datu ievade'!X198</f>
        <v>153</v>
      </c>
      <c r="Y222" s="449">
        <f>'Datu ievade'!Y175+'Datu ievade'!Y198</f>
        <v>156</v>
      </c>
      <c r="Z222" s="449">
        <f>'Datu ievade'!Z175+'Datu ievade'!Z198</f>
        <v>159</v>
      </c>
      <c r="AA222" s="449">
        <f>'Datu ievade'!AA175+'Datu ievade'!AA198</f>
        <v>162</v>
      </c>
      <c r="AB222" s="449">
        <f>'Datu ievade'!AB175+'Datu ievade'!AB198</f>
        <v>165</v>
      </c>
      <c r="AC222" s="449">
        <f>'Datu ievade'!AC175+'Datu ievade'!AC198</f>
        <v>168</v>
      </c>
      <c r="AD222" s="449">
        <f>'Datu ievade'!AD175+'Datu ievade'!AD198</f>
        <v>171</v>
      </c>
      <c r="AE222" s="449">
        <f>'Datu ievade'!AE175+'Datu ievade'!AE198</f>
        <v>174</v>
      </c>
      <c r="AF222" s="449">
        <f>'Datu ievade'!AF175+'Datu ievade'!AF198</f>
        <v>177</v>
      </c>
      <c r="AG222" s="449">
        <f>'Datu ievade'!AG175+'Datu ievade'!AG198</f>
        <v>181</v>
      </c>
      <c r="AH222"/>
      <c r="AI222"/>
    </row>
    <row r="223" spans="1:35" s="8" customFormat="1" ht="12.75">
      <c r="A223" s="18" t="s">
        <v>65</v>
      </c>
      <c r="B223" s="449">
        <f>'Datu ievade'!B176+'Datu ievade'!B199</f>
        <v>0</v>
      </c>
      <c r="C223" s="449">
        <f>'Datu ievade'!C176+C199</f>
        <v>0</v>
      </c>
      <c r="D223" s="449">
        <f>'Datu ievade'!D176+'Datu ievade'!D199</f>
        <v>-50</v>
      </c>
      <c r="E223" s="449">
        <f>'Datu ievade'!E176+'Datu ievade'!E199</f>
        <v>-400</v>
      </c>
      <c r="F223" s="449">
        <f>'Datu ievade'!F176+'Datu ievade'!F199</f>
        <v>-432</v>
      </c>
      <c r="G223" s="449">
        <f>'Datu ievade'!G176+'Datu ievade'!G199</f>
        <v>-440.00000000000006</v>
      </c>
      <c r="H223" s="449">
        <f>'Datu ievade'!H176+'Datu ievade'!H199</f>
        <v>-448.00000000000006</v>
      </c>
      <c r="I223" s="449">
        <f>'Datu ievade'!I176+'Datu ievade'!I199</f>
        <v>-455.99999999999994</v>
      </c>
      <c r="J223" s="449">
        <f>'Datu ievade'!J176+'Datu ievade'!J199</f>
        <v>-463.99999999999994</v>
      </c>
      <c r="K223" s="449">
        <f>'Datu ievade'!K176+'Datu ievade'!K199</f>
        <v>-472</v>
      </c>
      <c r="L223" s="449">
        <f>'Datu ievade'!L176+'Datu ievade'!L199</f>
        <v>-480</v>
      </c>
      <c r="M223" s="449">
        <f>'Datu ievade'!M176+'Datu ievade'!M199</f>
        <v>-488</v>
      </c>
      <c r="N223" s="449">
        <f>'Datu ievade'!N176+'Datu ievade'!N199</f>
        <v>-496</v>
      </c>
      <c r="O223" s="449">
        <f>'Datu ievade'!O176+'Datu ievade'!O199</f>
        <v>-504</v>
      </c>
      <c r="P223" s="449">
        <f>'Datu ievade'!P176+'Datu ievade'!P199</f>
        <v>-516</v>
      </c>
      <c r="Q223" s="449">
        <f>'Datu ievade'!Q176+'Datu ievade'!Q199</f>
        <v>-528</v>
      </c>
      <c r="R223" s="449">
        <f>'Datu ievade'!R176+'Datu ievade'!R199</f>
        <v>-540</v>
      </c>
      <c r="S223" s="449">
        <f>'Datu ievade'!S176+'Datu ievade'!S199</f>
        <v>-552</v>
      </c>
      <c r="T223" s="449">
        <f>'Datu ievade'!T176+'Datu ievade'!T199</f>
        <v>-564</v>
      </c>
      <c r="U223" s="449">
        <f>'Datu ievade'!U176+'Datu ievade'!U199</f>
        <v>-576</v>
      </c>
      <c r="V223" s="449">
        <f>'Datu ievade'!V176+'Datu ievade'!V199</f>
        <v>-588</v>
      </c>
      <c r="W223" s="449">
        <f>'Datu ievade'!W176+'Datu ievade'!W199</f>
        <v>-600</v>
      </c>
      <c r="X223" s="449">
        <f>'Datu ievade'!X176+'Datu ievade'!X199</f>
        <v>-612</v>
      </c>
      <c r="Y223" s="449">
        <f>'Datu ievade'!Y176+'Datu ievade'!Y199</f>
        <v>-624</v>
      </c>
      <c r="Z223" s="449">
        <f>'Datu ievade'!Z176+'Datu ievade'!Z199</f>
        <v>-636</v>
      </c>
      <c r="AA223" s="449">
        <f>'Datu ievade'!AA176+'Datu ievade'!AA199</f>
        <v>-648</v>
      </c>
      <c r="AB223" s="449">
        <f>'Datu ievade'!AB176+'Datu ievade'!AB199</f>
        <v>-660</v>
      </c>
      <c r="AC223" s="449">
        <f>'Datu ievade'!AC176+'Datu ievade'!AC199</f>
        <v>-672</v>
      </c>
      <c r="AD223" s="449">
        <f>'Datu ievade'!AD176+'Datu ievade'!AD199</f>
        <v>-684</v>
      </c>
      <c r="AE223" s="449">
        <f>'Datu ievade'!AE176+'Datu ievade'!AE199</f>
        <v>-696</v>
      </c>
      <c r="AF223" s="449">
        <f>'Datu ievade'!AF176+'Datu ievade'!AF199</f>
        <v>-708</v>
      </c>
      <c r="AG223" s="449">
        <f>'Datu ievade'!AG176+'Datu ievade'!AG199</f>
        <v>-724</v>
      </c>
      <c r="AH223"/>
      <c r="AI223"/>
    </row>
    <row r="224" spans="1:35" s="443" customFormat="1" ht="12.75">
      <c r="A224" s="450" t="s">
        <v>66</v>
      </c>
      <c r="B224" s="449">
        <f>'Datu ievade'!B177+'Datu ievade'!B200</f>
        <v>0</v>
      </c>
      <c r="C224" s="449">
        <f>'Datu ievade'!C177+C200</f>
        <v>0</v>
      </c>
      <c r="D224" s="449">
        <f>'Datu ievade'!D177+'Datu ievade'!D200</f>
        <v>0</v>
      </c>
      <c r="E224" s="449">
        <f>'Datu ievade'!E177+'Datu ievade'!E200</f>
        <v>0</v>
      </c>
      <c r="F224" s="449">
        <f>'Datu ievade'!F177+'Datu ievade'!F200</f>
        <v>0</v>
      </c>
      <c r="G224" s="449">
        <f>'Datu ievade'!G177+'Datu ievade'!G200</f>
        <v>0</v>
      </c>
      <c r="H224" s="449">
        <f>'Datu ievade'!H177+'Datu ievade'!H200</f>
        <v>0</v>
      </c>
      <c r="I224" s="449">
        <f>'Datu ievade'!I177+'Datu ievade'!I200</f>
        <v>0</v>
      </c>
      <c r="J224" s="449">
        <f>'Datu ievade'!J177+'Datu ievade'!J200</f>
        <v>0</v>
      </c>
      <c r="K224" s="449">
        <f>'Datu ievade'!K177+'Datu ievade'!K200</f>
        <v>0</v>
      </c>
      <c r="L224" s="449">
        <f>'Datu ievade'!L177+'Datu ievade'!L200</f>
        <v>0</v>
      </c>
      <c r="M224" s="449">
        <f>'Datu ievade'!M177+'Datu ievade'!M200</f>
        <v>0</v>
      </c>
      <c r="N224" s="449">
        <f>'Datu ievade'!N177+'Datu ievade'!N200</f>
        <v>0</v>
      </c>
      <c r="O224" s="449">
        <f>'Datu ievade'!O177+'Datu ievade'!O200</f>
        <v>0</v>
      </c>
      <c r="P224" s="449">
        <f>'Datu ievade'!P177+'Datu ievade'!P200</f>
        <v>0</v>
      </c>
      <c r="Q224" s="449">
        <f>'Datu ievade'!Q177+'Datu ievade'!Q200</f>
        <v>0</v>
      </c>
      <c r="R224" s="449">
        <f>'Datu ievade'!R177+'Datu ievade'!R200</f>
        <v>0</v>
      </c>
      <c r="S224" s="449">
        <f>'Datu ievade'!S177+'Datu ievade'!S200</f>
        <v>0</v>
      </c>
      <c r="T224" s="449">
        <f>'Datu ievade'!T177+'Datu ievade'!T200</f>
        <v>0</v>
      </c>
      <c r="U224" s="449">
        <f>'Datu ievade'!U177+'Datu ievade'!U200</f>
        <v>0</v>
      </c>
      <c r="V224" s="449">
        <f>'Datu ievade'!V177+'Datu ievade'!V200</f>
        <v>0</v>
      </c>
      <c r="W224" s="449">
        <f>'Datu ievade'!W177+'Datu ievade'!W200</f>
        <v>0</v>
      </c>
      <c r="X224" s="449">
        <f>'Datu ievade'!X177+'Datu ievade'!X200</f>
        <v>0</v>
      </c>
      <c r="Y224" s="449">
        <f>'Datu ievade'!Y177+'Datu ievade'!Y200</f>
        <v>0</v>
      </c>
      <c r="Z224" s="449">
        <f>'Datu ievade'!Z177+'Datu ievade'!Z200</f>
        <v>0</v>
      </c>
      <c r="AA224" s="449">
        <f>'Datu ievade'!AA177+'Datu ievade'!AA200</f>
        <v>0</v>
      </c>
      <c r="AB224" s="449">
        <f>'Datu ievade'!AB177+'Datu ievade'!AB200</f>
        <v>0</v>
      </c>
      <c r="AC224" s="449">
        <f>'Datu ievade'!AC177+'Datu ievade'!AC200</f>
        <v>0</v>
      </c>
      <c r="AD224" s="449">
        <f>'Datu ievade'!AD177+'Datu ievade'!AD200</f>
        <v>0</v>
      </c>
      <c r="AE224" s="449">
        <f>'Datu ievade'!AE177+'Datu ievade'!AE200</f>
        <v>0</v>
      </c>
      <c r="AF224" s="449">
        <f>'Datu ievade'!AF177+'Datu ievade'!AF200</f>
        <v>0</v>
      </c>
      <c r="AG224" s="449">
        <f>'Datu ievade'!AG177+'Datu ievade'!AG200</f>
        <v>0</v>
      </c>
      <c r="AH224" s="155"/>
      <c r="AI224" s="155"/>
    </row>
    <row r="225" spans="1:35" s="8" customFormat="1" ht="12.75">
      <c r="A225" s="18" t="s">
        <v>67</v>
      </c>
      <c r="B225" s="449">
        <f>'Datu ievade'!B178+'Datu ievade'!B201</f>
        <v>2850</v>
      </c>
      <c r="C225" s="449">
        <f>'Datu ievade'!C178+C201</f>
        <v>2935.5</v>
      </c>
      <c r="D225" s="449">
        <f>'Datu ievade'!D178+'Datu ievade'!D201</f>
        <v>3049.5</v>
      </c>
      <c r="E225" s="449">
        <f>'Datu ievade'!E178+'Datu ievade'!E201</f>
        <v>3413.5000000000005</v>
      </c>
      <c r="F225" s="449">
        <f>'Datu ievade'!F178+'Datu ievade'!F201</f>
        <v>3547.4999999999995</v>
      </c>
      <c r="G225" s="449">
        <f>'Datu ievade'!G178+'Datu ievade'!G201</f>
        <v>3638</v>
      </c>
      <c r="H225" s="449">
        <f>'Datu ievade'!H178+'Datu ievade'!H201</f>
        <v>3728.5</v>
      </c>
      <c r="I225" s="449">
        <f>'Datu ievade'!I178+'Datu ievade'!I201</f>
        <v>3819</v>
      </c>
      <c r="J225" s="449">
        <f>'Datu ievade'!J178+'Datu ievade'!J201</f>
        <v>3909.5</v>
      </c>
      <c r="K225" s="449">
        <f>'Datu ievade'!K178+'Datu ievade'!K201</f>
        <v>4000</v>
      </c>
      <c r="L225" s="449">
        <f>'Datu ievade'!L178+'Datu ievade'!L201</f>
        <v>4090.5</v>
      </c>
      <c r="M225" s="449">
        <f>'Datu ievade'!M178+'Datu ievade'!M201</f>
        <v>4181</v>
      </c>
      <c r="N225" s="449">
        <f>'Datu ievade'!N178+'Datu ievade'!N201</f>
        <v>4271.5</v>
      </c>
      <c r="O225" s="449">
        <f>'Datu ievade'!O178+'Datu ievade'!O201</f>
        <v>4362</v>
      </c>
      <c r="P225" s="449">
        <f>'Datu ievade'!P178+'Datu ievade'!P201</f>
        <v>4455</v>
      </c>
      <c r="Q225" s="449">
        <f>'Datu ievade'!Q178+'Datu ievade'!Q201</f>
        <v>4548</v>
      </c>
      <c r="R225" s="449">
        <f>'Datu ievade'!R178+'Datu ievade'!R201</f>
        <v>4641</v>
      </c>
      <c r="S225" s="449">
        <f>'Datu ievade'!S178+'Datu ievade'!S201</f>
        <v>4734</v>
      </c>
      <c r="T225" s="449">
        <f>'Datu ievade'!T178+'Datu ievade'!T201</f>
        <v>4827</v>
      </c>
      <c r="U225" s="449">
        <f>'Datu ievade'!U178+'Datu ievade'!U201</f>
        <v>4920</v>
      </c>
      <c r="V225" s="449">
        <f>'Datu ievade'!V178+'Datu ievade'!V201</f>
        <v>5041.5</v>
      </c>
      <c r="W225" s="449">
        <f>'Datu ievade'!W178+'Datu ievade'!W201</f>
        <v>5163</v>
      </c>
      <c r="X225" s="449">
        <f>'Datu ievade'!X178+'Datu ievade'!X201</f>
        <v>5284.5</v>
      </c>
      <c r="Y225" s="449">
        <f>'Datu ievade'!Y178+'Datu ievade'!Y201</f>
        <v>5406</v>
      </c>
      <c r="Z225" s="449">
        <f>'Datu ievade'!Z178+'Datu ievade'!Z201</f>
        <v>5527.5</v>
      </c>
      <c r="AA225" s="449">
        <f>'Datu ievade'!AA178+'Datu ievade'!AA201</f>
        <v>5649</v>
      </c>
      <c r="AB225" s="449">
        <f>'Datu ievade'!AB178+'Datu ievade'!AB201</f>
        <v>5770.5</v>
      </c>
      <c r="AC225" s="449">
        <f>'Datu ievade'!AC178+'Datu ievade'!AC201</f>
        <v>5892</v>
      </c>
      <c r="AD225" s="449">
        <f>'Datu ievade'!AD178+'Datu ievade'!AD201</f>
        <v>6013.5</v>
      </c>
      <c r="AE225" s="449">
        <f>'Datu ievade'!AE178+'Datu ievade'!AE201</f>
        <v>6135</v>
      </c>
      <c r="AF225" s="449">
        <f>'Datu ievade'!AF178+'Datu ievade'!AF201</f>
        <v>6256.5</v>
      </c>
      <c r="AG225" s="449">
        <f>'Datu ievade'!AG178+'Datu ievade'!AG201</f>
        <v>6380.5</v>
      </c>
      <c r="AH225"/>
      <c r="AI225"/>
    </row>
    <row r="226" spans="1:35" s="8" customFormat="1" ht="12.75">
      <c r="A226" s="18" t="s">
        <v>68</v>
      </c>
      <c r="B226" s="449">
        <f>'Datu ievade'!B179+'Datu ievade'!B202</f>
        <v>686.565</v>
      </c>
      <c r="C226" s="449">
        <f>'Datu ievade'!C179+C202</f>
        <v>707.16195</v>
      </c>
      <c r="D226" s="449">
        <f>'Datu ievade'!D179+'Datu ievade'!D202</f>
        <v>734.62455</v>
      </c>
      <c r="E226" s="449">
        <f>'Datu ievade'!E179+'Datu ievade'!E202</f>
        <v>822.3121500000001</v>
      </c>
      <c r="F226" s="449">
        <f>'Datu ievade'!F179+'Datu ievade'!F202</f>
        <v>854.5927499999999</v>
      </c>
      <c r="G226" s="449">
        <f>'Datu ievade'!G179+'Datu ievade'!G202</f>
        <v>876.3942</v>
      </c>
      <c r="H226" s="449">
        <f>'Datu ievade'!H179+'Datu ievade'!H202</f>
        <v>898.19565</v>
      </c>
      <c r="I226" s="449">
        <f>'Datu ievade'!I179+'Datu ievade'!I202</f>
        <v>919.9971</v>
      </c>
      <c r="J226" s="449">
        <f>'Datu ievade'!J179+'Datu ievade'!J202</f>
        <v>941.79855</v>
      </c>
      <c r="K226" s="449">
        <f>'Datu ievade'!K179+'Datu ievade'!K202</f>
        <v>963.6</v>
      </c>
      <c r="L226" s="449">
        <f>'Datu ievade'!L179+'Datu ievade'!L202</f>
        <v>985.40145</v>
      </c>
      <c r="M226" s="449">
        <f>'Datu ievade'!M179+'Datu ievade'!M202</f>
        <v>1007.2029000000001</v>
      </c>
      <c r="N226" s="449">
        <f>'Datu ievade'!N179+'Datu ievade'!N202</f>
        <v>1029.00435</v>
      </c>
      <c r="O226" s="449">
        <f>'Datu ievade'!O179+'Datu ievade'!O202</f>
        <v>1050.8058</v>
      </c>
      <c r="P226" s="449">
        <f>'Datu ievade'!P179+'Datu ievade'!P202</f>
        <v>1073.2095000000002</v>
      </c>
      <c r="Q226" s="449">
        <f>'Datu ievade'!Q179+'Datu ievade'!Q202</f>
        <v>1095.6132</v>
      </c>
      <c r="R226" s="449">
        <f>'Datu ievade'!R179+'Datu ievade'!R202</f>
        <v>1118.0169</v>
      </c>
      <c r="S226" s="449">
        <f>'Datu ievade'!S179+'Datu ievade'!S202</f>
        <v>1140.4206</v>
      </c>
      <c r="T226" s="449">
        <f>'Datu ievade'!T179+'Datu ievade'!T202</f>
        <v>1162.8243</v>
      </c>
      <c r="U226" s="449">
        <f>'Datu ievade'!U179+'Datu ievade'!U202</f>
        <v>1185.2279999999998</v>
      </c>
      <c r="V226" s="449">
        <f>'Datu ievade'!V179+'Datu ievade'!V202</f>
        <v>1214.4973499999999</v>
      </c>
      <c r="W226" s="449">
        <f>'Datu ievade'!W179+'Datu ievade'!W202</f>
        <v>1243.7667000000001</v>
      </c>
      <c r="X226" s="449">
        <f>'Datu ievade'!X179+'Datu ievade'!X202</f>
        <v>1273.0360500000002</v>
      </c>
      <c r="Y226" s="449">
        <f>'Datu ievade'!Y179+'Datu ievade'!Y202</f>
        <v>1302.3054</v>
      </c>
      <c r="Z226" s="449">
        <f>'Datu ievade'!Z179+'Datu ievade'!Z202</f>
        <v>1331.57475</v>
      </c>
      <c r="AA226" s="449">
        <f>'Datu ievade'!AA179+'Datu ievade'!AA202</f>
        <v>1360.8441</v>
      </c>
      <c r="AB226" s="449">
        <f>'Datu ievade'!AB179+'Datu ievade'!AB202</f>
        <v>1390.1134499999998</v>
      </c>
      <c r="AC226" s="449">
        <f>'Datu ievade'!AC179+'Datu ievade'!AC202</f>
        <v>1419.3827999999999</v>
      </c>
      <c r="AD226" s="449">
        <f>'Datu ievade'!AD179+'Datu ievade'!AD202</f>
        <v>1448.6521500000001</v>
      </c>
      <c r="AE226" s="449">
        <f>'Datu ievade'!AE179+'Datu ievade'!AE202</f>
        <v>1477.9215000000002</v>
      </c>
      <c r="AF226" s="449">
        <f>'Datu ievade'!AF179+'Datu ievade'!AF202</f>
        <v>1507.19085</v>
      </c>
      <c r="AG226" s="449">
        <f>'Datu ievade'!AG179+'Datu ievade'!AG202</f>
        <v>1537.06245</v>
      </c>
      <c r="AH226"/>
      <c r="AI226"/>
    </row>
    <row r="227" spans="1:35" s="8" customFormat="1" ht="12.75">
      <c r="A227" s="18" t="s">
        <v>69</v>
      </c>
      <c r="B227" s="449">
        <f>'Datu ievade'!B180+'Datu ievade'!B203</f>
        <v>0</v>
      </c>
      <c r="C227" s="449">
        <f>'Datu ievade'!C180+C203</f>
        <v>0</v>
      </c>
      <c r="D227" s="449">
        <f>'Datu ievade'!D180+'Datu ievade'!D203</f>
        <v>0</v>
      </c>
      <c r="E227" s="449">
        <f>'Datu ievade'!E180+'Datu ievade'!E203</f>
        <v>0</v>
      </c>
      <c r="F227" s="449">
        <f>'Datu ievade'!F180+'Datu ievade'!F203</f>
        <v>0</v>
      </c>
      <c r="G227" s="449">
        <f>'Datu ievade'!G180+'Datu ievade'!G203</f>
        <v>0</v>
      </c>
      <c r="H227" s="449">
        <f>'Datu ievade'!H180+'Datu ievade'!H203</f>
        <v>0</v>
      </c>
      <c r="I227" s="449">
        <f>'Datu ievade'!I180+'Datu ievade'!I203</f>
        <v>0</v>
      </c>
      <c r="J227" s="449">
        <f>'Datu ievade'!J180+'Datu ievade'!J203</f>
        <v>0</v>
      </c>
      <c r="K227" s="449">
        <f>'Datu ievade'!K180+'Datu ievade'!K203</f>
        <v>0</v>
      </c>
      <c r="L227" s="449">
        <f>'Datu ievade'!L180+'Datu ievade'!L203</f>
        <v>0</v>
      </c>
      <c r="M227" s="449">
        <f>'Datu ievade'!M180+'Datu ievade'!M203</f>
        <v>0</v>
      </c>
      <c r="N227" s="449">
        <f>'Datu ievade'!N180+'Datu ievade'!N203</f>
        <v>0</v>
      </c>
      <c r="O227" s="449">
        <f>'Datu ievade'!O180+'Datu ievade'!O203</f>
        <v>0</v>
      </c>
      <c r="P227" s="449">
        <f>'Datu ievade'!P180+'Datu ievade'!P203</f>
        <v>0</v>
      </c>
      <c r="Q227" s="449">
        <f>'Datu ievade'!Q180+'Datu ievade'!Q203</f>
        <v>0</v>
      </c>
      <c r="R227" s="449">
        <f>'Datu ievade'!R180+'Datu ievade'!R203</f>
        <v>0</v>
      </c>
      <c r="S227" s="449">
        <f>'Datu ievade'!S180+'Datu ievade'!S203</f>
        <v>0</v>
      </c>
      <c r="T227" s="449">
        <f>'Datu ievade'!T180+'Datu ievade'!T203</f>
        <v>0</v>
      </c>
      <c r="U227" s="449">
        <f>'Datu ievade'!U180+'Datu ievade'!U203</f>
        <v>0</v>
      </c>
      <c r="V227" s="449">
        <f>'Datu ievade'!V180+'Datu ievade'!V203</f>
        <v>0</v>
      </c>
      <c r="W227" s="449">
        <f>'Datu ievade'!W180+'Datu ievade'!W203</f>
        <v>0</v>
      </c>
      <c r="X227" s="449">
        <f>'Datu ievade'!X180+'Datu ievade'!X203</f>
        <v>0</v>
      </c>
      <c r="Y227" s="449">
        <f>'Datu ievade'!Y180+'Datu ievade'!Y203</f>
        <v>0</v>
      </c>
      <c r="Z227" s="449">
        <f>'Datu ievade'!Z180+'Datu ievade'!Z203</f>
        <v>0</v>
      </c>
      <c r="AA227" s="449">
        <f>'Datu ievade'!AA180+'Datu ievade'!AA203</f>
        <v>0</v>
      </c>
      <c r="AB227" s="449">
        <f>'Datu ievade'!AB180+'Datu ievade'!AB203</f>
        <v>0</v>
      </c>
      <c r="AC227" s="449">
        <f>'Datu ievade'!AC180+'Datu ievade'!AC203</f>
        <v>0</v>
      </c>
      <c r="AD227" s="449">
        <f>'Datu ievade'!AD180+'Datu ievade'!AD203</f>
        <v>0</v>
      </c>
      <c r="AE227" s="449">
        <f>'Datu ievade'!AE180+'Datu ievade'!AE203</f>
        <v>0</v>
      </c>
      <c r="AF227" s="449">
        <f>'Datu ievade'!AF180+'Datu ievade'!AF203</f>
        <v>0</v>
      </c>
      <c r="AG227" s="449">
        <f>'Datu ievade'!AG180+'Datu ievade'!AG203</f>
        <v>0</v>
      </c>
      <c r="AH227"/>
      <c r="AI227"/>
    </row>
    <row r="228" spans="1:37" s="8" customFormat="1" ht="15.75">
      <c r="A228" s="51" t="s">
        <v>381</v>
      </c>
      <c r="B228" s="52"/>
      <c r="C228" s="52"/>
      <c r="D228" s="52"/>
      <c r="E228"/>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s="8" customFormat="1" ht="13.5">
      <c r="A229" s="45" t="s">
        <v>59</v>
      </c>
      <c r="B229" s="695">
        <f>C229-1</f>
        <v>2008</v>
      </c>
      <c r="C229" s="695">
        <f>D229-1</f>
        <v>2009</v>
      </c>
      <c r="D229" s="695">
        <f>E229-1</f>
        <v>2010</v>
      </c>
      <c r="E229" s="957">
        <f>B29</f>
        <v>2011</v>
      </c>
      <c r="F229" s="958">
        <f aca="true" t="shared" si="9" ref="F229:AG229">E229+1</f>
        <v>2012</v>
      </c>
      <c r="G229" s="37">
        <f t="shared" si="9"/>
        <v>2013</v>
      </c>
      <c r="H229" s="277">
        <f t="shared" si="9"/>
        <v>2014</v>
      </c>
      <c r="I229" s="277">
        <f t="shared" si="9"/>
        <v>2015</v>
      </c>
      <c r="J229" s="277">
        <f t="shared" si="9"/>
        <v>2016</v>
      </c>
      <c r="K229" s="277">
        <f t="shared" si="9"/>
        <v>2017</v>
      </c>
      <c r="L229" s="277">
        <f t="shared" si="9"/>
        <v>2018</v>
      </c>
      <c r="M229" s="277">
        <f t="shared" si="9"/>
        <v>2019</v>
      </c>
      <c r="N229" s="277">
        <f t="shared" si="9"/>
        <v>2020</v>
      </c>
      <c r="O229" s="277">
        <f t="shared" si="9"/>
        <v>2021</v>
      </c>
      <c r="P229" s="277">
        <f t="shared" si="9"/>
        <v>2022</v>
      </c>
      <c r="Q229" s="277">
        <f t="shared" si="9"/>
        <v>2023</v>
      </c>
      <c r="R229" s="277">
        <f t="shared" si="9"/>
        <v>2024</v>
      </c>
      <c r="S229" s="277">
        <f t="shared" si="9"/>
        <v>2025</v>
      </c>
      <c r="T229" s="277">
        <f t="shared" si="9"/>
        <v>2026</v>
      </c>
      <c r="U229" s="277">
        <f t="shared" si="9"/>
        <v>2027</v>
      </c>
      <c r="V229" s="277">
        <f t="shared" si="9"/>
        <v>2028</v>
      </c>
      <c r="W229" s="277">
        <f t="shared" si="9"/>
        <v>2029</v>
      </c>
      <c r="X229" s="277">
        <f t="shared" si="9"/>
        <v>2030</v>
      </c>
      <c r="Y229" s="277">
        <f t="shared" si="9"/>
        <v>2031</v>
      </c>
      <c r="Z229" s="277">
        <f t="shared" si="9"/>
        <v>2032</v>
      </c>
      <c r="AA229" s="277">
        <f t="shared" si="9"/>
        <v>2033</v>
      </c>
      <c r="AB229" s="277">
        <f t="shared" si="9"/>
        <v>2034</v>
      </c>
      <c r="AC229" s="277">
        <f t="shared" si="9"/>
        <v>2035</v>
      </c>
      <c r="AD229" s="277">
        <f t="shared" si="9"/>
        <v>2036</v>
      </c>
      <c r="AE229" s="277">
        <f t="shared" si="9"/>
        <v>2037</v>
      </c>
      <c r="AF229" s="277">
        <f t="shared" si="9"/>
        <v>2038</v>
      </c>
      <c r="AG229" s="278">
        <f t="shared" si="9"/>
        <v>2039</v>
      </c>
      <c r="AH229" s="279">
        <f>AG229+1</f>
        <v>2040</v>
      </c>
      <c r="AI229" s="279">
        <f>AH229+1</f>
        <v>2041</v>
      </c>
      <c r="AJ229" s="279">
        <f>AI229+1</f>
        <v>2042</v>
      </c>
      <c r="AK229"/>
    </row>
    <row r="230" spans="1:37" s="8" customFormat="1" ht="25.5">
      <c r="A230" s="475" t="s">
        <v>409</v>
      </c>
      <c r="B230" s="592">
        <v>1500</v>
      </c>
      <c r="C230" s="593">
        <v>1500</v>
      </c>
      <c r="D230" s="592">
        <v>1500</v>
      </c>
      <c r="E230" s="216">
        <v>1500</v>
      </c>
      <c r="F230" s="216">
        <v>1500</v>
      </c>
      <c r="G230" s="963">
        <v>1500</v>
      </c>
      <c r="H230" s="280">
        <f>G230</f>
        <v>1500</v>
      </c>
      <c r="I230" s="280">
        <f aca="true" t="shared" si="10" ref="I230:AJ230">H230</f>
        <v>1500</v>
      </c>
      <c r="J230" s="280">
        <f t="shared" si="10"/>
        <v>1500</v>
      </c>
      <c r="K230" s="280">
        <f t="shared" si="10"/>
        <v>1500</v>
      </c>
      <c r="L230" s="280">
        <f t="shared" si="10"/>
        <v>1500</v>
      </c>
      <c r="M230" s="280">
        <f t="shared" si="10"/>
        <v>1500</v>
      </c>
      <c r="N230" s="280">
        <f t="shared" si="10"/>
        <v>1500</v>
      </c>
      <c r="O230" s="280">
        <f t="shared" si="10"/>
        <v>1500</v>
      </c>
      <c r="P230" s="280">
        <f t="shared" si="10"/>
        <v>1500</v>
      </c>
      <c r="Q230" s="280">
        <f t="shared" si="10"/>
        <v>1500</v>
      </c>
      <c r="R230" s="280">
        <f t="shared" si="10"/>
        <v>1500</v>
      </c>
      <c r="S230" s="280">
        <f t="shared" si="10"/>
        <v>1500</v>
      </c>
      <c r="T230" s="280">
        <f t="shared" si="10"/>
        <v>1500</v>
      </c>
      <c r="U230" s="280">
        <f t="shared" si="10"/>
        <v>1500</v>
      </c>
      <c r="V230" s="280">
        <f t="shared" si="10"/>
        <v>1500</v>
      </c>
      <c r="W230" s="280">
        <f t="shared" si="10"/>
        <v>1500</v>
      </c>
      <c r="X230" s="280">
        <f t="shared" si="10"/>
        <v>1500</v>
      </c>
      <c r="Y230" s="280">
        <f t="shared" si="10"/>
        <v>1500</v>
      </c>
      <c r="Z230" s="280">
        <f t="shared" si="10"/>
        <v>1500</v>
      </c>
      <c r="AA230" s="280">
        <f t="shared" si="10"/>
        <v>1500</v>
      </c>
      <c r="AB230" s="280">
        <f t="shared" si="10"/>
        <v>1500</v>
      </c>
      <c r="AC230" s="280">
        <f t="shared" si="10"/>
        <v>1500</v>
      </c>
      <c r="AD230" s="280">
        <f t="shared" si="10"/>
        <v>1500</v>
      </c>
      <c r="AE230" s="280">
        <f t="shared" si="10"/>
        <v>1500</v>
      </c>
      <c r="AF230" s="280">
        <f t="shared" si="10"/>
        <v>1500</v>
      </c>
      <c r="AG230" s="280">
        <f t="shared" si="10"/>
        <v>1500</v>
      </c>
      <c r="AH230" s="280">
        <f t="shared" si="10"/>
        <v>1500</v>
      </c>
      <c r="AI230" s="280">
        <f t="shared" si="10"/>
        <v>1500</v>
      </c>
      <c r="AJ230" s="280">
        <f t="shared" si="10"/>
        <v>1500</v>
      </c>
      <c r="AK230"/>
    </row>
    <row r="231" spans="1:37" s="8" customFormat="1" ht="12.75">
      <c r="A231" s="467" t="s">
        <v>399</v>
      </c>
      <c r="B231" s="177">
        <v>1125</v>
      </c>
      <c r="C231" s="177">
        <v>1125</v>
      </c>
      <c r="D231" s="177">
        <v>1125</v>
      </c>
      <c r="E231" s="177">
        <v>1125</v>
      </c>
      <c r="F231" s="177">
        <v>1125</v>
      </c>
      <c r="G231" s="964">
        <f>F231+G236</f>
        <v>1425</v>
      </c>
      <c r="H231" s="437">
        <f>G231</f>
        <v>1425</v>
      </c>
      <c r="I231" s="280">
        <f aca="true" t="shared" si="11" ref="I231:AJ231">H231</f>
        <v>1425</v>
      </c>
      <c r="J231" s="280">
        <f t="shared" si="11"/>
        <v>1425</v>
      </c>
      <c r="K231" s="280">
        <f t="shared" si="11"/>
        <v>1425</v>
      </c>
      <c r="L231" s="280">
        <f t="shared" si="11"/>
        <v>1425</v>
      </c>
      <c r="M231" s="280">
        <f t="shared" si="11"/>
        <v>1425</v>
      </c>
      <c r="N231" s="280">
        <f t="shared" si="11"/>
        <v>1425</v>
      </c>
      <c r="O231" s="280">
        <f t="shared" si="11"/>
        <v>1425</v>
      </c>
      <c r="P231" s="280">
        <f t="shared" si="11"/>
        <v>1425</v>
      </c>
      <c r="Q231" s="280">
        <f t="shared" si="11"/>
        <v>1425</v>
      </c>
      <c r="R231" s="280">
        <f t="shared" si="11"/>
        <v>1425</v>
      </c>
      <c r="S231" s="280">
        <f t="shared" si="11"/>
        <v>1425</v>
      </c>
      <c r="T231" s="280">
        <f t="shared" si="11"/>
        <v>1425</v>
      </c>
      <c r="U231" s="280">
        <f t="shared" si="11"/>
        <v>1425</v>
      </c>
      <c r="V231" s="280">
        <f t="shared" si="11"/>
        <v>1425</v>
      </c>
      <c r="W231" s="280">
        <f t="shared" si="11"/>
        <v>1425</v>
      </c>
      <c r="X231" s="280">
        <f t="shared" si="11"/>
        <v>1425</v>
      </c>
      <c r="Y231" s="280">
        <f t="shared" si="11"/>
        <v>1425</v>
      </c>
      <c r="Z231" s="280">
        <f t="shared" si="11"/>
        <v>1425</v>
      </c>
      <c r="AA231" s="280">
        <f t="shared" si="11"/>
        <v>1425</v>
      </c>
      <c r="AB231" s="280">
        <f t="shared" si="11"/>
        <v>1425</v>
      </c>
      <c r="AC231" s="280">
        <f t="shared" si="11"/>
        <v>1425</v>
      </c>
      <c r="AD231" s="280">
        <f t="shared" si="11"/>
        <v>1425</v>
      </c>
      <c r="AE231" s="280">
        <f t="shared" si="11"/>
        <v>1425</v>
      </c>
      <c r="AF231" s="280">
        <f t="shared" si="11"/>
        <v>1425</v>
      </c>
      <c r="AG231" s="280">
        <f t="shared" si="11"/>
        <v>1425</v>
      </c>
      <c r="AH231" s="280">
        <f t="shared" si="11"/>
        <v>1425</v>
      </c>
      <c r="AI231" s="280">
        <f t="shared" si="11"/>
        <v>1425</v>
      </c>
      <c r="AJ231" s="280">
        <f t="shared" si="11"/>
        <v>1425</v>
      </c>
      <c r="AK231"/>
    </row>
    <row r="232" spans="1:37" s="8" customFormat="1" ht="12.75">
      <c r="A232" s="467" t="s">
        <v>102</v>
      </c>
      <c r="B232" s="180">
        <f aca="true" t="shared" si="12" ref="B232:AJ232">B231/$B$36</f>
        <v>450</v>
      </c>
      <c r="C232" s="183">
        <f t="shared" si="12"/>
        <v>450</v>
      </c>
      <c r="D232" s="180">
        <f t="shared" si="12"/>
        <v>450</v>
      </c>
      <c r="E232" s="180">
        <f t="shared" si="12"/>
        <v>450</v>
      </c>
      <c r="F232" s="180">
        <f t="shared" si="12"/>
        <v>450</v>
      </c>
      <c r="G232" s="180">
        <f t="shared" si="12"/>
        <v>570</v>
      </c>
      <c r="H232" s="180">
        <f t="shared" si="12"/>
        <v>570</v>
      </c>
      <c r="I232" s="180">
        <f t="shared" si="12"/>
        <v>570</v>
      </c>
      <c r="J232" s="180">
        <f t="shared" si="12"/>
        <v>570</v>
      </c>
      <c r="K232" s="180">
        <f t="shared" si="12"/>
        <v>570</v>
      </c>
      <c r="L232" s="180">
        <f t="shared" si="12"/>
        <v>570</v>
      </c>
      <c r="M232" s="180">
        <f t="shared" si="12"/>
        <v>570</v>
      </c>
      <c r="N232" s="180">
        <f t="shared" si="12"/>
        <v>570</v>
      </c>
      <c r="O232" s="180">
        <f t="shared" si="12"/>
        <v>570</v>
      </c>
      <c r="P232" s="180">
        <f t="shared" si="12"/>
        <v>570</v>
      </c>
      <c r="Q232" s="180">
        <f t="shared" si="12"/>
        <v>570</v>
      </c>
      <c r="R232" s="180">
        <f t="shared" si="12"/>
        <v>570</v>
      </c>
      <c r="S232" s="180">
        <f t="shared" si="12"/>
        <v>570</v>
      </c>
      <c r="T232" s="180">
        <f t="shared" si="12"/>
        <v>570</v>
      </c>
      <c r="U232" s="180">
        <f t="shared" si="12"/>
        <v>570</v>
      </c>
      <c r="V232" s="180">
        <f t="shared" si="12"/>
        <v>570</v>
      </c>
      <c r="W232" s="180">
        <f t="shared" si="12"/>
        <v>570</v>
      </c>
      <c r="X232" s="180">
        <f t="shared" si="12"/>
        <v>570</v>
      </c>
      <c r="Y232" s="180">
        <f t="shared" si="12"/>
        <v>570</v>
      </c>
      <c r="Z232" s="180">
        <f t="shared" si="12"/>
        <v>570</v>
      </c>
      <c r="AA232" s="180">
        <f t="shared" si="12"/>
        <v>570</v>
      </c>
      <c r="AB232" s="180">
        <f t="shared" si="12"/>
        <v>570</v>
      </c>
      <c r="AC232" s="180">
        <f t="shared" si="12"/>
        <v>570</v>
      </c>
      <c r="AD232" s="180">
        <f t="shared" si="12"/>
        <v>570</v>
      </c>
      <c r="AE232" s="180">
        <f t="shared" si="12"/>
        <v>570</v>
      </c>
      <c r="AF232" s="180">
        <f t="shared" si="12"/>
        <v>570</v>
      </c>
      <c r="AG232" s="180">
        <f t="shared" si="12"/>
        <v>570</v>
      </c>
      <c r="AH232" s="180">
        <f t="shared" si="12"/>
        <v>570</v>
      </c>
      <c r="AI232" s="180">
        <f t="shared" si="12"/>
        <v>570</v>
      </c>
      <c r="AJ232" s="180">
        <f t="shared" si="12"/>
        <v>570</v>
      </c>
      <c r="AK232"/>
    </row>
    <row r="233" spans="1:37" s="8" customFormat="1" ht="12.75">
      <c r="A233" s="985" t="s">
        <v>546</v>
      </c>
      <c r="B233" s="983">
        <f>B231/B230</f>
        <v>0.75</v>
      </c>
      <c r="C233" s="983">
        <f aca="true" t="shared" si="13" ref="C233:AJ233">C231/C230</f>
        <v>0.75</v>
      </c>
      <c r="D233" s="983">
        <f t="shared" si="13"/>
        <v>0.75</v>
      </c>
      <c r="E233" s="983">
        <f t="shared" si="13"/>
        <v>0.75</v>
      </c>
      <c r="F233" s="983">
        <f t="shared" si="13"/>
        <v>0.75</v>
      </c>
      <c r="G233" s="983">
        <f t="shared" si="13"/>
        <v>0.95</v>
      </c>
      <c r="H233" s="983">
        <f t="shared" si="13"/>
        <v>0.95</v>
      </c>
      <c r="I233" s="983">
        <f t="shared" si="13"/>
        <v>0.95</v>
      </c>
      <c r="J233" s="983">
        <f t="shared" si="13"/>
        <v>0.95</v>
      </c>
      <c r="K233" s="983">
        <f t="shared" si="13"/>
        <v>0.95</v>
      </c>
      <c r="L233" s="983">
        <f t="shared" si="13"/>
        <v>0.95</v>
      </c>
      <c r="M233" s="983">
        <f t="shared" si="13"/>
        <v>0.95</v>
      </c>
      <c r="N233" s="983">
        <f t="shared" si="13"/>
        <v>0.95</v>
      </c>
      <c r="O233" s="983">
        <f t="shared" si="13"/>
        <v>0.95</v>
      </c>
      <c r="P233" s="983">
        <f t="shared" si="13"/>
        <v>0.95</v>
      </c>
      <c r="Q233" s="983">
        <f t="shared" si="13"/>
        <v>0.95</v>
      </c>
      <c r="R233" s="983">
        <f t="shared" si="13"/>
        <v>0.95</v>
      </c>
      <c r="S233" s="983">
        <f t="shared" si="13"/>
        <v>0.95</v>
      </c>
      <c r="T233" s="983">
        <f t="shared" si="13"/>
        <v>0.95</v>
      </c>
      <c r="U233" s="983">
        <f t="shared" si="13"/>
        <v>0.95</v>
      </c>
      <c r="V233" s="983">
        <f t="shared" si="13"/>
        <v>0.95</v>
      </c>
      <c r="W233" s="983">
        <f t="shared" si="13"/>
        <v>0.95</v>
      </c>
      <c r="X233" s="983">
        <f t="shared" si="13"/>
        <v>0.95</v>
      </c>
      <c r="Y233" s="983">
        <f t="shared" si="13"/>
        <v>0.95</v>
      </c>
      <c r="Z233" s="983">
        <f t="shared" si="13"/>
        <v>0.95</v>
      </c>
      <c r="AA233" s="983">
        <f t="shared" si="13"/>
        <v>0.95</v>
      </c>
      <c r="AB233" s="983">
        <f t="shared" si="13"/>
        <v>0.95</v>
      </c>
      <c r="AC233" s="983">
        <f t="shared" si="13"/>
        <v>0.95</v>
      </c>
      <c r="AD233" s="983">
        <f t="shared" si="13"/>
        <v>0.95</v>
      </c>
      <c r="AE233" s="983">
        <f t="shared" si="13"/>
        <v>0.95</v>
      </c>
      <c r="AF233" s="983">
        <f t="shared" si="13"/>
        <v>0.95</v>
      </c>
      <c r="AG233" s="983">
        <f t="shared" si="13"/>
        <v>0.95</v>
      </c>
      <c r="AH233" s="983">
        <f t="shared" si="13"/>
        <v>0.95</v>
      </c>
      <c r="AI233" s="983">
        <f t="shared" si="13"/>
        <v>0.95</v>
      </c>
      <c r="AJ233" s="983">
        <f t="shared" si="13"/>
        <v>0.95</v>
      </c>
      <c r="AK233"/>
    </row>
    <row r="234" spans="1:37" s="8" customFormat="1" ht="25.5">
      <c r="A234" s="476" t="s">
        <v>410</v>
      </c>
      <c r="B234" s="180">
        <f aca="true" t="shared" si="14" ref="B234:Q235">B230</f>
        <v>1500</v>
      </c>
      <c r="C234" s="180">
        <f t="shared" si="14"/>
        <v>1500</v>
      </c>
      <c r="D234" s="180">
        <f t="shared" si="14"/>
        <v>1500</v>
      </c>
      <c r="E234" s="180">
        <f t="shared" si="14"/>
        <v>1500</v>
      </c>
      <c r="F234" s="180">
        <f t="shared" si="14"/>
        <v>1500</v>
      </c>
      <c r="G234" s="180">
        <f t="shared" si="14"/>
        <v>1500</v>
      </c>
      <c r="H234" s="180">
        <f t="shared" si="14"/>
        <v>1500</v>
      </c>
      <c r="I234" s="180">
        <f t="shared" si="14"/>
        <v>1500</v>
      </c>
      <c r="J234" s="180">
        <f t="shared" si="14"/>
        <v>1500</v>
      </c>
      <c r="K234" s="180">
        <f t="shared" si="14"/>
        <v>1500</v>
      </c>
      <c r="L234" s="180">
        <f t="shared" si="14"/>
        <v>1500</v>
      </c>
      <c r="M234" s="180">
        <f t="shared" si="14"/>
        <v>1500</v>
      </c>
      <c r="N234" s="180">
        <f t="shared" si="14"/>
        <v>1500</v>
      </c>
      <c r="O234" s="180">
        <f t="shared" si="14"/>
        <v>1500</v>
      </c>
      <c r="P234" s="180">
        <f t="shared" si="14"/>
        <v>1500</v>
      </c>
      <c r="Q234" s="180">
        <f t="shared" si="14"/>
        <v>1500</v>
      </c>
      <c r="R234" s="180">
        <f aca="true" t="shared" si="15" ref="R234:AJ234">R230</f>
        <v>1500</v>
      </c>
      <c r="S234" s="180">
        <f t="shared" si="15"/>
        <v>1500</v>
      </c>
      <c r="T234" s="180">
        <f t="shared" si="15"/>
        <v>1500</v>
      </c>
      <c r="U234" s="180">
        <f t="shared" si="15"/>
        <v>1500</v>
      </c>
      <c r="V234" s="180">
        <f t="shared" si="15"/>
        <v>1500</v>
      </c>
      <c r="W234" s="180">
        <f t="shared" si="15"/>
        <v>1500</v>
      </c>
      <c r="X234" s="180">
        <f t="shared" si="15"/>
        <v>1500</v>
      </c>
      <c r="Y234" s="180">
        <f t="shared" si="15"/>
        <v>1500</v>
      </c>
      <c r="Z234" s="180">
        <f t="shared" si="15"/>
        <v>1500</v>
      </c>
      <c r="AA234" s="180">
        <f t="shared" si="15"/>
        <v>1500</v>
      </c>
      <c r="AB234" s="180">
        <f t="shared" si="15"/>
        <v>1500</v>
      </c>
      <c r="AC234" s="180">
        <f t="shared" si="15"/>
        <v>1500</v>
      </c>
      <c r="AD234" s="180">
        <f t="shared" si="15"/>
        <v>1500</v>
      </c>
      <c r="AE234" s="180">
        <f t="shared" si="15"/>
        <v>1500</v>
      </c>
      <c r="AF234" s="180">
        <f t="shared" si="15"/>
        <v>1500</v>
      </c>
      <c r="AG234" s="180">
        <f t="shared" si="15"/>
        <v>1500</v>
      </c>
      <c r="AH234" s="180">
        <f t="shared" si="15"/>
        <v>1500</v>
      </c>
      <c r="AI234" s="180">
        <f t="shared" si="15"/>
        <v>1500</v>
      </c>
      <c r="AJ234" s="180">
        <f t="shared" si="15"/>
        <v>1500</v>
      </c>
      <c r="AK234"/>
    </row>
    <row r="235" spans="1:37" s="8" customFormat="1" ht="12.75">
      <c r="A235" s="468" t="s">
        <v>398</v>
      </c>
      <c r="B235" s="180">
        <f t="shared" si="14"/>
        <v>1125</v>
      </c>
      <c r="C235" s="180">
        <f t="shared" si="14"/>
        <v>1125</v>
      </c>
      <c r="D235" s="180">
        <f t="shared" si="14"/>
        <v>1125</v>
      </c>
      <c r="E235" s="180">
        <f t="shared" si="14"/>
        <v>1125</v>
      </c>
      <c r="F235" s="180">
        <f>E235</f>
        <v>1125</v>
      </c>
      <c r="G235" s="180">
        <f aca="true" t="shared" si="16" ref="G235:AJ235">F235</f>
        <v>1125</v>
      </c>
      <c r="H235" s="180">
        <f t="shared" si="16"/>
        <v>1125</v>
      </c>
      <c r="I235" s="180">
        <f t="shared" si="16"/>
        <v>1125</v>
      </c>
      <c r="J235" s="180">
        <f t="shared" si="16"/>
        <v>1125</v>
      </c>
      <c r="K235" s="180">
        <f t="shared" si="16"/>
        <v>1125</v>
      </c>
      <c r="L235" s="180">
        <f t="shared" si="16"/>
        <v>1125</v>
      </c>
      <c r="M235" s="180">
        <f t="shared" si="16"/>
        <v>1125</v>
      </c>
      <c r="N235" s="180">
        <f t="shared" si="16"/>
        <v>1125</v>
      </c>
      <c r="O235" s="180">
        <f t="shared" si="16"/>
        <v>1125</v>
      </c>
      <c r="P235" s="180">
        <f t="shared" si="16"/>
        <v>1125</v>
      </c>
      <c r="Q235" s="180">
        <f t="shared" si="16"/>
        <v>1125</v>
      </c>
      <c r="R235" s="180">
        <f t="shared" si="16"/>
        <v>1125</v>
      </c>
      <c r="S235" s="180">
        <f t="shared" si="16"/>
        <v>1125</v>
      </c>
      <c r="T235" s="180">
        <f t="shared" si="16"/>
        <v>1125</v>
      </c>
      <c r="U235" s="180">
        <f t="shared" si="16"/>
        <v>1125</v>
      </c>
      <c r="V235" s="180">
        <f t="shared" si="16"/>
        <v>1125</v>
      </c>
      <c r="W235" s="180">
        <f t="shared" si="16"/>
        <v>1125</v>
      </c>
      <c r="X235" s="180">
        <f t="shared" si="16"/>
        <v>1125</v>
      </c>
      <c r="Y235" s="180">
        <f t="shared" si="16"/>
        <v>1125</v>
      </c>
      <c r="Z235" s="180">
        <f t="shared" si="16"/>
        <v>1125</v>
      </c>
      <c r="AA235" s="180">
        <f t="shared" si="16"/>
        <v>1125</v>
      </c>
      <c r="AB235" s="180">
        <f t="shared" si="16"/>
        <v>1125</v>
      </c>
      <c r="AC235" s="180">
        <f t="shared" si="16"/>
        <v>1125</v>
      </c>
      <c r="AD235" s="180">
        <f t="shared" si="16"/>
        <v>1125</v>
      </c>
      <c r="AE235" s="180">
        <f t="shared" si="16"/>
        <v>1125</v>
      </c>
      <c r="AF235" s="180">
        <f t="shared" si="16"/>
        <v>1125</v>
      </c>
      <c r="AG235" s="180">
        <f t="shared" si="16"/>
        <v>1125</v>
      </c>
      <c r="AH235" s="180">
        <f t="shared" si="16"/>
        <v>1125</v>
      </c>
      <c r="AI235" s="180">
        <f t="shared" si="16"/>
        <v>1125</v>
      </c>
      <c r="AJ235" s="180">
        <f t="shared" si="16"/>
        <v>1125</v>
      </c>
      <c r="AK235"/>
    </row>
    <row r="236" spans="1:37" s="8" customFormat="1" ht="31.5" customHeight="1">
      <c r="A236" s="477" t="s">
        <v>404</v>
      </c>
      <c r="B236" s="454"/>
      <c r="C236" s="454"/>
      <c r="D236" s="454"/>
      <c r="G236" s="597">
        <v>300</v>
      </c>
      <c r="H236" t="s">
        <v>382</v>
      </c>
      <c r="J236"/>
      <c r="K236"/>
      <c r="L236"/>
      <c r="M236"/>
      <c r="N236"/>
      <c r="O236"/>
      <c r="P236"/>
      <c r="Q236"/>
      <c r="R236"/>
      <c r="S236"/>
      <c r="T236"/>
      <c r="U236"/>
      <c r="V236"/>
      <c r="W236"/>
      <c r="X236"/>
      <c r="Y236"/>
      <c r="Z236"/>
      <c r="AA236"/>
      <c r="AB236"/>
      <c r="AC236"/>
      <c r="AD236"/>
      <c r="AE236"/>
      <c r="AF236"/>
      <c r="AG236"/>
      <c r="AH236"/>
      <c r="AI236"/>
      <c r="AJ236"/>
      <c r="AK236"/>
    </row>
    <row r="237" spans="1:37" s="8" customFormat="1" ht="12.75">
      <c r="A237" s="469" t="s">
        <v>403</v>
      </c>
      <c r="B237" s="272">
        <f>B240*B231*365/1000</f>
        <v>45168.75</v>
      </c>
      <c r="C237" s="272">
        <f aca="true" t="shared" si="17" ref="C237:AJ237">C240*C231*365/1000</f>
        <v>45168.75</v>
      </c>
      <c r="D237" s="272">
        <f t="shared" si="17"/>
        <v>45168.75</v>
      </c>
      <c r="E237" s="272">
        <f t="shared" si="17"/>
        <v>45168.75</v>
      </c>
      <c r="F237" s="272">
        <f t="shared" si="17"/>
        <v>45168.75</v>
      </c>
      <c r="G237" s="272">
        <f t="shared" si="17"/>
        <v>52012.5</v>
      </c>
      <c r="H237" s="272">
        <f t="shared" si="17"/>
        <v>52012.5</v>
      </c>
      <c r="I237" s="272">
        <f t="shared" si="17"/>
        <v>52012.5</v>
      </c>
      <c r="J237" s="272">
        <f t="shared" si="17"/>
        <v>52012.5</v>
      </c>
      <c r="K237" s="272">
        <f t="shared" si="17"/>
        <v>52012.5</v>
      </c>
      <c r="L237" s="272">
        <f t="shared" si="17"/>
        <v>52012.5</v>
      </c>
      <c r="M237" s="272">
        <f t="shared" si="17"/>
        <v>52012.5</v>
      </c>
      <c r="N237" s="272">
        <f t="shared" si="17"/>
        <v>52012.5</v>
      </c>
      <c r="O237" s="272">
        <f t="shared" si="17"/>
        <v>52012.5</v>
      </c>
      <c r="P237" s="272">
        <f t="shared" si="17"/>
        <v>52012.5</v>
      </c>
      <c r="Q237" s="272">
        <f t="shared" si="17"/>
        <v>52012.5</v>
      </c>
      <c r="R237" s="272">
        <f t="shared" si="17"/>
        <v>52012.5</v>
      </c>
      <c r="S237" s="272">
        <f t="shared" si="17"/>
        <v>52012.5</v>
      </c>
      <c r="T237" s="272">
        <f t="shared" si="17"/>
        <v>52012.5</v>
      </c>
      <c r="U237" s="272">
        <f t="shared" si="17"/>
        <v>52012.5</v>
      </c>
      <c r="V237" s="272">
        <f t="shared" si="17"/>
        <v>52012.5</v>
      </c>
      <c r="W237" s="272">
        <f t="shared" si="17"/>
        <v>52012.5</v>
      </c>
      <c r="X237" s="272">
        <f t="shared" si="17"/>
        <v>52012.5</v>
      </c>
      <c r="Y237" s="272">
        <f t="shared" si="17"/>
        <v>52012.5</v>
      </c>
      <c r="Z237" s="272">
        <f t="shared" si="17"/>
        <v>52012.5</v>
      </c>
      <c r="AA237" s="272">
        <f t="shared" si="17"/>
        <v>52012.5</v>
      </c>
      <c r="AB237" s="272">
        <f t="shared" si="17"/>
        <v>52012.5</v>
      </c>
      <c r="AC237" s="272">
        <f t="shared" si="17"/>
        <v>52012.5</v>
      </c>
      <c r="AD237" s="272">
        <f t="shared" si="17"/>
        <v>52012.5</v>
      </c>
      <c r="AE237" s="272">
        <f t="shared" si="17"/>
        <v>52012.5</v>
      </c>
      <c r="AF237" s="272">
        <f t="shared" si="17"/>
        <v>52012.5</v>
      </c>
      <c r="AG237" s="272">
        <f t="shared" si="17"/>
        <v>52012.5</v>
      </c>
      <c r="AH237" s="272">
        <f t="shared" si="17"/>
        <v>52012.5</v>
      </c>
      <c r="AI237" s="272">
        <f t="shared" si="17"/>
        <v>52012.5</v>
      </c>
      <c r="AJ237" s="272">
        <f t="shared" si="17"/>
        <v>52012.5</v>
      </c>
      <c r="AK237"/>
    </row>
    <row r="238" spans="1:37" s="8" customFormat="1" ht="12.75">
      <c r="A238" s="469" t="s">
        <v>437</v>
      </c>
      <c r="B238" s="586">
        <f>B240*B231/1000</f>
        <v>123.75</v>
      </c>
      <c r="C238" s="586">
        <f aca="true" t="shared" si="18" ref="C238:AJ238">C240*C231/1000</f>
        <v>123.75</v>
      </c>
      <c r="D238" s="586">
        <f t="shared" si="18"/>
        <v>123.75</v>
      </c>
      <c r="E238" s="586">
        <f t="shared" si="18"/>
        <v>123.75</v>
      </c>
      <c r="F238" s="586">
        <f t="shared" si="18"/>
        <v>123.75</v>
      </c>
      <c r="G238" s="586">
        <f t="shared" si="18"/>
        <v>142.5</v>
      </c>
      <c r="H238" s="586">
        <f t="shared" si="18"/>
        <v>142.5</v>
      </c>
      <c r="I238" s="586">
        <f t="shared" si="18"/>
        <v>142.5</v>
      </c>
      <c r="J238" s="586">
        <f t="shared" si="18"/>
        <v>142.5</v>
      </c>
      <c r="K238" s="586">
        <f t="shared" si="18"/>
        <v>142.5</v>
      </c>
      <c r="L238" s="586">
        <f t="shared" si="18"/>
        <v>142.5</v>
      </c>
      <c r="M238" s="586">
        <f t="shared" si="18"/>
        <v>142.5</v>
      </c>
      <c r="N238" s="586">
        <f t="shared" si="18"/>
        <v>142.5</v>
      </c>
      <c r="O238" s="586">
        <f t="shared" si="18"/>
        <v>142.5</v>
      </c>
      <c r="P238" s="586">
        <f t="shared" si="18"/>
        <v>142.5</v>
      </c>
      <c r="Q238" s="586">
        <f t="shared" si="18"/>
        <v>142.5</v>
      </c>
      <c r="R238" s="586">
        <f t="shared" si="18"/>
        <v>142.5</v>
      </c>
      <c r="S238" s="586">
        <f t="shared" si="18"/>
        <v>142.5</v>
      </c>
      <c r="T238" s="586">
        <f t="shared" si="18"/>
        <v>142.5</v>
      </c>
      <c r="U238" s="586">
        <f t="shared" si="18"/>
        <v>142.5</v>
      </c>
      <c r="V238" s="586">
        <f t="shared" si="18"/>
        <v>142.5</v>
      </c>
      <c r="W238" s="586">
        <f t="shared" si="18"/>
        <v>142.5</v>
      </c>
      <c r="X238" s="586">
        <f t="shared" si="18"/>
        <v>142.5</v>
      </c>
      <c r="Y238" s="586">
        <f t="shared" si="18"/>
        <v>142.5</v>
      </c>
      <c r="Z238" s="586">
        <f t="shared" si="18"/>
        <v>142.5</v>
      </c>
      <c r="AA238" s="586">
        <f t="shared" si="18"/>
        <v>142.5</v>
      </c>
      <c r="AB238" s="586">
        <f t="shared" si="18"/>
        <v>142.5</v>
      </c>
      <c r="AC238" s="586">
        <f t="shared" si="18"/>
        <v>142.5</v>
      </c>
      <c r="AD238" s="586">
        <f t="shared" si="18"/>
        <v>142.5</v>
      </c>
      <c r="AE238" s="586">
        <f t="shared" si="18"/>
        <v>142.5</v>
      </c>
      <c r="AF238" s="586">
        <f t="shared" si="18"/>
        <v>142.5</v>
      </c>
      <c r="AG238" s="586">
        <f t="shared" si="18"/>
        <v>142.5</v>
      </c>
      <c r="AH238" s="586">
        <f t="shared" si="18"/>
        <v>142.5</v>
      </c>
      <c r="AI238" s="586">
        <f t="shared" si="18"/>
        <v>142.5</v>
      </c>
      <c r="AJ238" s="586">
        <f t="shared" si="18"/>
        <v>142.5</v>
      </c>
      <c r="AK238"/>
    </row>
    <row r="239" spans="1:37" s="8" customFormat="1" ht="12.75">
      <c r="A239" s="469" t="s">
        <v>383</v>
      </c>
      <c r="B239" s="205">
        <v>1599</v>
      </c>
      <c r="C239" s="205">
        <v>1759</v>
      </c>
      <c r="D239" s="205">
        <v>1935</v>
      </c>
      <c r="E239" s="594">
        <f>D239*(1+'Datu ievade'!E423)</f>
        <v>1973.7</v>
      </c>
      <c r="F239" s="595">
        <f>E239*(1+'Datu ievade'!F423)</f>
        <v>2013.174</v>
      </c>
      <c r="G239" s="48">
        <f>F239*(1+'Datu ievade'!G423)</f>
        <v>2053.43748</v>
      </c>
      <c r="H239" s="48">
        <f>G239*(1+'Datu ievade'!H423)</f>
        <v>2094.5062296</v>
      </c>
      <c r="I239" s="48">
        <f>H239*(1+'Datu ievade'!I423)</f>
        <v>2136.396354192</v>
      </c>
      <c r="J239" s="48">
        <f>I239*(1+'Datu ievade'!J423)</f>
        <v>2179.12428127584</v>
      </c>
      <c r="K239" s="48">
        <f>J239*(1+'Datu ievade'!K423)</f>
        <v>2222.706766901357</v>
      </c>
      <c r="L239" s="48">
        <f>K239*(1+'Datu ievade'!L423)</f>
        <v>2267.160902239384</v>
      </c>
      <c r="M239" s="48">
        <f>L239*(1+'Datu ievade'!M423)</f>
        <v>2312.5041202841717</v>
      </c>
      <c r="N239" s="48">
        <f>M239*(1+'Datu ievade'!N423)</f>
        <v>2358.754202689855</v>
      </c>
      <c r="O239" s="48">
        <f>N239*(1+'Datu ievade'!O423)</f>
        <v>2405.929286743652</v>
      </c>
      <c r="P239" s="48">
        <f>O239*(1+'Datu ievade'!P423)</f>
        <v>2454.0478724785253</v>
      </c>
      <c r="Q239" s="48">
        <f>P239*(1+'Datu ievade'!Q423)</f>
        <v>2503.128829928096</v>
      </c>
      <c r="R239" s="48">
        <f>Q239*(1+'Datu ievade'!R423)</f>
        <v>2553.191406526658</v>
      </c>
      <c r="S239" s="48">
        <f>R239*(1+'Datu ievade'!S423)</f>
        <v>2604.255234657191</v>
      </c>
      <c r="T239" s="48">
        <f>S239*(1+'Datu ievade'!T423)</f>
        <v>2656.340339350335</v>
      </c>
      <c r="U239" s="48">
        <f>T239*(1+'Datu ievade'!U423)</f>
        <v>2709.467146137342</v>
      </c>
      <c r="V239" s="48">
        <f>U239*(1+'Datu ievade'!V423)</f>
        <v>2763.656489060089</v>
      </c>
      <c r="W239" s="48">
        <f>V239*(1+'Datu ievade'!W423)</f>
        <v>2818.929618841291</v>
      </c>
      <c r="X239" s="48">
        <f>W239*(1+'Datu ievade'!X423)</f>
        <v>2875.308211218117</v>
      </c>
      <c r="Y239" s="48">
        <f>X239*(1+'Datu ievade'!Y423)</f>
        <v>2932.814375442479</v>
      </c>
      <c r="Z239" s="48">
        <f>Y239*(1+'Datu ievade'!Z423)</f>
        <v>2991.470662951329</v>
      </c>
      <c r="AA239" s="48">
        <f>Z239*(1+'Datu ievade'!AA423)</f>
        <v>3051.3000762103557</v>
      </c>
      <c r="AB239" s="48">
        <f>AA239*(1+'Datu ievade'!AB423)</f>
        <v>3112.3260777345627</v>
      </c>
      <c r="AC239" s="48">
        <f>AB239*(1+'Datu ievade'!AC423)</f>
        <v>3174.572599289254</v>
      </c>
      <c r="AD239" s="48">
        <f>AC239*(1+'Datu ievade'!AD423)</f>
        <v>3238.064051275039</v>
      </c>
      <c r="AE239" s="48">
        <f>AD239*(1+'Datu ievade'!AE423)</f>
        <v>3302.82533230054</v>
      </c>
      <c r="AF239" s="48">
        <f>AE239*(1+'Datu ievade'!AF423)</f>
        <v>3368.881838946551</v>
      </c>
      <c r="AG239" s="48">
        <f>AF239*(1+'Datu ievade'!AG423)</f>
        <v>3436.259475725482</v>
      </c>
      <c r="AH239" s="48">
        <f>AG239*(1+'Datu ievade'!AH423)</f>
        <v>3504.9846652399915</v>
      </c>
      <c r="AI239" s="48">
        <f>AH239*(1+'Datu ievade'!AI423)</f>
        <v>3575.0843585447915</v>
      </c>
      <c r="AJ239" s="48">
        <f>AI239*(1+'Datu ievade'!AJ423)</f>
        <v>3575.0843585447915</v>
      </c>
      <c r="AK239"/>
    </row>
    <row r="240" spans="1:37" s="8" customFormat="1" ht="12.75">
      <c r="A240" s="470" t="s">
        <v>384</v>
      </c>
      <c r="B240" s="596">
        <v>110</v>
      </c>
      <c r="C240" s="596">
        <v>110</v>
      </c>
      <c r="D240" s="596">
        <v>110</v>
      </c>
      <c r="E240" s="596">
        <v>110</v>
      </c>
      <c r="F240" s="596">
        <v>110</v>
      </c>
      <c r="G240" s="596">
        <v>100</v>
      </c>
      <c r="H240" s="596">
        <v>100</v>
      </c>
      <c r="I240" s="596">
        <v>100</v>
      </c>
      <c r="J240" s="596">
        <v>100</v>
      </c>
      <c r="K240" s="596">
        <v>100</v>
      </c>
      <c r="L240" s="596">
        <v>100</v>
      </c>
      <c r="M240" s="596">
        <v>100</v>
      </c>
      <c r="N240" s="596">
        <v>100</v>
      </c>
      <c r="O240" s="596">
        <v>100</v>
      </c>
      <c r="P240" s="596">
        <v>100</v>
      </c>
      <c r="Q240" s="596">
        <v>100</v>
      </c>
      <c r="R240" s="596">
        <v>100</v>
      </c>
      <c r="S240" s="596">
        <v>100</v>
      </c>
      <c r="T240" s="596">
        <v>100</v>
      </c>
      <c r="U240" s="596">
        <v>100</v>
      </c>
      <c r="V240" s="596">
        <v>100</v>
      </c>
      <c r="W240" s="596">
        <v>100</v>
      </c>
      <c r="X240" s="596">
        <v>100</v>
      </c>
      <c r="Y240" s="596">
        <v>100</v>
      </c>
      <c r="Z240" s="596">
        <v>100</v>
      </c>
      <c r="AA240" s="596">
        <v>100</v>
      </c>
      <c r="AB240" s="596">
        <v>100</v>
      </c>
      <c r="AC240" s="596">
        <v>100</v>
      </c>
      <c r="AD240" s="596">
        <v>100</v>
      </c>
      <c r="AE240" s="596">
        <v>100</v>
      </c>
      <c r="AF240" s="596">
        <v>100</v>
      </c>
      <c r="AG240" s="596">
        <v>100</v>
      </c>
      <c r="AH240" s="596">
        <v>100</v>
      </c>
      <c r="AI240" s="596">
        <v>100</v>
      </c>
      <c r="AJ240" s="596">
        <v>100</v>
      </c>
      <c r="AK240"/>
    </row>
    <row r="241" spans="1:37" s="8" customFormat="1" ht="12.75">
      <c r="A241" s="479" t="s">
        <v>411</v>
      </c>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row>
    <row r="242" spans="1:37" s="8" customFormat="1" ht="12.75">
      <c r="A242" s="471" t="s">
        <v>439</v>
      </c>
      <c r="B242" s="464">
        <f aca="true" t="shared" si="19" ref="B242:AJ242">B244*B235*365/1000</f>
        <v>45168.75</v>
      </c>
      <c r="C242" s="464">
        <f t="shared" si="19"/>
        <v>45168.75</v>
      </c>
      <c r="D242" s="464">
        <f t="shared" si="19"/>
        <v>45168.75</v>
      </c>
      <c r="E242" s="464">
        <f t="shared" si="19"/>
        <v>45168.75</v>
      </c>
      <c r="F242" s="464">
        <f t="shared" si="19"/>
        <v>45168.75</v>
      </c>
      <c r="G242" s="464">
        <f t="shared" si="19"/>
        <v>45168.75</v>
      </c>
      <c r="H242" s="464">
        <f t="shared" si="19"/>
        <v>45168.75</v>
      </c>
      <c r="I242" s="464">
        <f t="shared" si="19"/>
        <v>45168.75</v>
      </c>
      <c r="J242" s="464">
        <f t="shared" si="19"/>
        <v>45168.75</v>
      </c>
      <c r="K242" s="464">
        <f t="shared" si="19"/>
        <v>45168.75</v>
      </c>
      <c r="L242" s="464">
        <f t="shared" si="19"/>
        <v>45168.75</v>
      </c>
      <c r="M242" s="464">
        <f t="shared" si="19"/>
        <v>45168.75</v>
      </c>
      <c r="N242" s="464">
        <f t="shared" si="19"/>
        <v>45168.75</v>
      </c>
      <c r="O242" s="464">
        <f t="shared" si="19"/>
        <v>45168.75</v>
      </c>
      <c r="P242" s="464">
        <f t="shared" si="19"/>
        <v>45168.75</v>
      </c>
      <c r="Q242" s="464">
        <f t="shared" si="19"/>
        <v>45168.75</v>
      </c>
      <c r="R242" s="464">
        <f t="shared" si="19"/>
        <v>45168.75</v>
      </c>
      <c r="S242" s="464">
        <f t="shared" si="19"/>
        <v>45168.75</v>
      </c>
      <c r="T242" s="464">
        <f t="shared" si="19"/>
        <v>45168.75</v>
      </c>
      <c r="U242" s="464">
        <f t="shared" si="19"/>
        <v>45168.75</v>
      </c>
      <c r="V242" s="464">
        <f t="shared" si="19"/>
        <v>45168.75</v>
      </c>
      <c r="W242" s="464">
        <f t="shared" si="19"/>
        <v>45168.75</v>
      </c>
      <c r="X242" s="464">
        <f t="shared" si="19"/>
        <v>45168.75</v>
      </c>
      <c r="Y242" s="464">
        <f t="shared" si="19"/>
        <v>45168.75</v>
      </c>
      <c r="Z242" s="464">
        <f t="shared" si="19"/>
        <v>45168.75</v>
      </c>
      <c r="AA242" s="464">
        <f t="shared" si="19"/>
        <v>45168.75</v>
      </c>
      <c r="AB242" s="464">
        <f t="shared" si="19"/>
        <v>45168.75</v>
      </c>
      <c r="AC242" s="464">
        <f t="shared" si="19"/>
        <v>45168.75</v>
      </c>
      <c r="AD242" s="464">
        <f t="shared" si="19"/>
        <v>45168.75</v>
      </c>
      <c r="AE242" s="464">
        <f t="shared" si="19"/>
        <v>45168.75</v>
      </c>
      <c r="AF242" s="464">
        <f t="shared" si="19"/>
        <v>45168.75</v>
      </c>
      <c r="AG242" s="464">
        <f t="shared" si="19"/>
        <v>45168.75</v>
      </c>
      <c r="AH242" s="464">
        <f t="shared" si="19"/>
        <v>45168.75</v>
      </c>
      <c r="AI242" s="464">
        <f t="shared" si="19"/>
        <v>45168.75</v>
      </c>
      <c r="AJ242" s="464">
        <f t="shared" si="19"/>
        <v>45168.75</v>
      </c>
      <c r="AK242"/>
    </row>
    <row r="243" spans="1:37" s="8" customFormat="1" ht="12.75">
      <c r="A243" s="471" t="s">
        <v>440</v>
      </c>
      <c r="B243" s="587">
        <f>B244*B235/1000</f>
        <v>123.75</v>
      </c>
      <c r="C243" s="587">
        <f aca="true" t="shared" si="20" ref="C243:AJ243">C244*C235/1000</f>
        <v>123.75</v>
      </c>
      <c r="D243" s="587">
        <f t="shared" si="20"/>
        <v>123.75</v>
      </c>
      <c r="E243" s="587">
        <f t="shared" si="20"/>
        <v>123.75</v>
      </c>
      <c r="F243" s="587">
        <f t="shared" si="20"/>
        <v>123.75</v>
      </c>
      <c r="G243" s="587">
        <f t="shared" si="20"/>
        <v>123.75</v>
      </c>
      <c r="H243" s="587">
        <f t="shared" si="20"/>
        <v>123.75</v>
      </c>
      <c r="I243" s="587">
        <f t="shared" si="20"/>
        <v>123.75</v>
      </c>
      <c r="J243" s="587">
        <f t="shared" si="20"/>
        <v>123.75</v>
      </c>
      <c r="K243" s="587">
        <f t="shared" si="20"/>
        <v>123.75</v>
      </c>
      <c r="L243" s="587">
        <f t="shared" si="20"/>
        <v>123.75</v>
      </c>
      <c r="M243" s="587">
        <f t="shared" si="20"/>
        <v>123.75</v>
      </c>
      <c r="N243" s="587">
        <f t="shared" si="20"/>
        <v>123.75</v>
      </c>
      <c r="O243" s="587">
        <f t="shared" si="20"/>
        <v>123.75</v>
      </c>
      <c r="P243" s="587">
        <f t="shared" si="20"/>
        <v>123.75</v>
      </c>
      <c r="Q243" s="587">
        <f t="shared" si="20"/>
        <v>123.75</v>
      </c>
      <c r="R243" s="587">
        <f t="shared" si="20"/>
        <v>123.75</v>
      </c>
      <c r="S243" s="587">
        <f t="shared" si="20"/>
        <v>123.75</v>
      </c>
      <c r="T243" s="587">
        <f t="shared" si="20"/>
        <v>123.75</v>
      </c>
      <c r="U243" s="587">
        <f t="shared" si="20"/>
        <v>123.75</v>
      </c>
      <c r="V243" s="587">
        <f t="shared" si="20"/>
        <v>123.75</v>
      </c>
      <c r="W243" s="587">
        <f t="shared" si="20"/>
        <v>123.75</v>
      </c>
      <c r="X243" s="587">
        <f t="shared" si="20"/>
        <v>123.75</v>
      </c>
      <c r="Y243" s="587">
        <f t="shared" si="20"/>
        <v>123.75</v>
      </c>
      <c r="Z243" s="587">
        <f t="shared" si="20"/>
        <v>123.75</v>
      </c>
      <c r="AA243" s="587">
        <f t="shared" si="20"/>
        <v>123.75</v>
      </c>
      <c r="AB243" s="587">
        <f t="shared" si="20"/>
        <v>123.75</v>
      </c>
      <c r="AC243" s="587">
        <f t="shared" si="20"/>
        <v>123.75</v>
      </c>
      <c r="AD243" s="587">
        <f t="shared" si="20"/>
        <v>123.75</v>
      </c>
      <c r="AE243" s="587">
        <f t="shared" si="20"/>
        <v>123.75</v>
      </c>
      <c r="AF243" s="587">
        <f t="shared" si="20"/>
        <v>123.75</v>
      </c>
      <c r="AG243" s="587">
        <f t="shared" si="20"/>
        <v>123.75</v>
      </c>
      <c r="AH243" s="587">
        <f t="shared" si="20"/>
        <v>123.75</v>
      </c>
      <c r="AI243" s="587">
        <f t="shared" si="20"/>
        <v>123.75</v>
      </c>
      <c r="AJ243" s="587">
        <f t="shared" si="20"/>
        <v>123.75</v>
      </c>
      <c r="AK243"/>
    </row>
    <row r="244" spans="1:37" s="8" customFormat="1" ht="12.75">
      <c r="A244" s="471" t="s">
        <v>441</v>
      </c>
      <c r="B244" s="596">
        <f>B240</f>
        <v>110</v>
      </c>
      <c r="C244" s="596">
        <f>C240</f>
        <v>110</v>
      </c>
      <c r="D244" s="596">
        <f>D240</f>
        <v>110</v>
      </c>
      <c r="E244" s="596">
        <v>110</v>
      </c>
      <c r="F244" s="596">
        <f aca="true" t="shared" si="21" ref="F244:AJ244">E244</f>
        <v>110</v>
      </c>
      <c r="G244" s="596">
        <f t="shared" si="21"/>
        <v>110</v>
      </c>
      <c r="H244" s="596">
        <f t="shared" si="21"/>
        <v>110</v>
      </c>
      <c r="I244" s="596">
        <f t="shared" si="21"/>
        <v>110</v>
      </c>
      <c r="J244" s="596">
        <f t="shared" si="21"/>
        <v>110</v>
      </c>
      <c r="K244" s="596">
        <f t="shared" si="21"/>
        <v>110</v>
      </c>
      <c r="L244" s="596">
        <f t="shared" si="21"/>
        <v>110</v>
      </c>
      <c r="M244" s="596">
        <f t="shared" si="21"/>
        <v>110</v>
      </c>
      <c r="N244" s="596">
        <f t="shared" si="21"/>
        <v>110</v>
      </c>
      <c r="O244" s="596">
        <f t="shared" si="21"/>
        <v>110</v>
      </c>
      <c r="P244" s="596">
        <f t="shared" si="21"/>
        <v>110</v>
      </c>
      <c r="Q244" s="596">
        <f t="shared" si="21"/>
        <v>110</v>
      </c>
      <c r="R244" s="596">
        <f t="shared" si="21"/>
        <v>110</v>
      </c>
      <c r="S244" s="596">
        <f t="shared" si="21"/>
        <v>110</v>
      </c>
      <c r="T244" s="596">
        <f t="shared" si="21"/>
        <v>110</v>
      </c>
      <c r="U244" s="596">
        <f t="shared" si="21"/>
        <v>110</v>
      </c>
      <c r="V244" s="596">
        <f t="shared" si="21"/>
        <v>110</v>
      </c>
      <c r="W244" s="596">
        <f t="shared" si="21"/>
        <v>110</v>
      </c>
      <c r="X244" s="596">
        <f t="shared" si="21"/>
        <v>110</v>
      </c>
      <c r="Y244" s="596">
        <f t="shared" si="21"/>
        <v>110</v>
      </c>
      <c r="Z244" s="596">
        <f t="shared" si="21"/>
        <v>110</v>
      </c>
      <c r="AA244" s="596">
        <f t="shared" si="21"/>
        <v>110</v>
      </c>
      <c r="AB244" s="596">
        <f t="shared" si="21"/>
        <v>110</v>
      </c>
      <c r="AC244" s="596">
        <f t="shared" si="21"/>
        <v>110</v>
      </c>
      <c r="AD244" s="596">
        <f t="shared" si="21"/>
        <v>110</v>
      </c>
      <c r="AE244" s="596">
        <f t="shared" si="21"/>
        <v>110</v>
      </c>
      <c r="AF244" s="596">
        <f t="shared" si="21"/>
        <v>110</v>
      </c>
      <c r="AG244" s="596">
        <f t="shared" si="21"/>
        <v>110</v>
      </c>
      <c r="AH244" s="596">
        <f t="shared" si="21"/>
        <v>110</v>
      </c>
      <c r="AI244" s="596">
        <f t="shared" si="21"/>
        <v>110</v>
      </c>
      <c r="AJ244" s="596">
        <f t="shared" si="21"/>
        <v>110</v>
      </c>
      <c r="AK244"/>
    </row>
    <row r="245" spans="1:37" s="8" customFormat="1" ht="12.75">
      <c r="A245" s="478" t="s">
        <v>400</v>
      </c>
      <c r="B245" s="598"/>
      <c r="C245" s="598"/>
      <c r="D245" s="598"/>
      <c r="E245" s="598"/>
      <c r="F245" s="598"/>
      <c r="G245" s="598"/>
      <c r="H245" s="598"/>
      <c r="I245" s="453"/>
      <c r="J245" s="453"/>
      <c r="K245" s="453"/>
      <c r="L245" s="453"/>
      <c r="M245" s="453"/>
      <c r="N245" s="453"/>
      <c r="O245" s="453"/>
      <c r="P245" s="453"/>
      <c r="Q245" s="453"/>
      <c r="R245" s="453"/>
      <c r="S245" s="453"/>
      <c r="T245" s="453"/>
      <c r="U245" s="453"/>
      <c r="V245" s="453"/>
      <c r="W245" s="453"/>
      <c r="X245" s="453"/>
      <c r="Y245" s="453"/>
      <c r="Z245" s="453"/>
      <c r="AA245" s="453"/>
      <c r="AB245" s="453"/>
      <c r="AC245" s="453"/>
      <c r="AD245" s="453"/>
      <c r="AE245" s="453"/>
      <c r="AF245" s="453"/>
      <c r="AG245" s="453"/>
      <c r="AH245" s="453"/>
      <c r="AI245" s="453"/>
      <c r="AJ245" s="453"/>
      <c r="AK245"/>
    </row>
    <row r="246" spans="1:37" s="8" customFormat="1" ht="12.75">
      <c r="A246" s="472" t="s">
        <v>405</v>
      </c>
      <c r="B246" s="465">
        <v>3500</v>
      </c>
      <c r="C246" s="465">
        <v>3500</v>
      </c>
      <c r="D246" s="465">
        <v>3500</v>
      </c>
      <c r="E246" s="465">
        <v>3500</v>
      </c>
      <c r="F246" s="465">
        <v>3500</v>
      </c>
      <c r="G246" s="465">
        <v>3500</v>
      </c>
      <c r="H246" s="465">
        <v>3500</v>
      </c>
      <c r="I246" s="48">
        <f aca="true" t="shared" si="22" ref="I246:AJ246">H246</f>
        <v>3500</v>
      </c>
      <c r="J246" s="48">
        <f t="shared" si="22"/>
        <v>3500</v>
      </c>
      <c r="K246" s="48">
        <f t="shared" si="22"/>
        <v>3500</v>
      </c>
      <c r="L246" s="48">
        <f t="shared" si="22"/>
        <v>3500</v>
      </c>
      <c r="M246" s="48">
        <f t="shared" si="22"/>
        <v>3500</v>
      </c>
      <c r="N246" s="48">
        <f t="shared" si="22"/>
        <v>3500</v>
      </c>
      <c r="O246" s="48">
        <f t="shared" si="22"/>
        <v>3500</v>
      </c>
      <c r="P246" s="48">
        <f t="shared" si="22"/>
        <v>3500</v>
      </c>
      <c r="Q246" s="48">
        <f t="shared" si="22"/>
        <v>3500</v>
      </c>
      <c r="R246" s="48">
        <f t="shared" si="22"/>
        <v>3500</v>
      </c>
      <c r="S246" s="48">
        <f t="shared" si="22"/>
        <v>3500</v>
      </c>
      <c r="T246" s="48">
        <f t="shared" si="22"/>
        <v>3500</v>
      </c>
      <c r="U246" s="48">
        <f t="shared" si="22"/>
        <v>3500</v>
      </c>
      <c r="V246" s="48">
        <f t="shared" si="22"/>
        <v>3500</v>
      </c>
      <c r="W246" s="48">
        <f t="shared" si="22"/>
        <v>3500</v>
      </c>
      <c r="X246" s="48">
        <f t="shared" si="22"/>
        <v>3500</v>
      </c>
      <c r="Y246" s="48">
        <f t="shared" si="22"/>
        <v>3500</v>
      </c>
      <c r="Z246" s="48">
        <f t="shared" si="22"/>
        <v>3500</v>
      </c>
      <c r="AA246" s="48">
        <f t="shared" si="22"/>
        <v>3500</v>
      </c>
      <c r="AB246" s="48">
        <f t="shared" si="22"/>
        <v>3500</v>
      </c>
      <c r="AC246" s="48">
        <f t="shared" si="22"/>
        <v>3500</v>
      </c>
      <c r="AD246" s="48">
        <f t="shared" si="22"/>
        <v>3500</v>
      </c>
      <c r="AE246" s="48">
        <f t="shared" si="22"/>
        <v>3500</v>
      </c>
      <c r="AF246" s="48">
        <f t="shared" si="22"/>
        <v>3500</v>
      </c>
      <c r="AG246" s="48">
        <f t="shared" si="22"/>
        <v>3500</v>
      </c>
      <c r="AH246" s="48">
        <f t="shared" si="22"/>
        <v>3500</v>
      </c>
      <c r="AI246" s="48">
        <f t="shared" si="22"/>
        <v>3500</v>
      </c>
      <c r="AJ246" s="48">
        <f t="shared" si="22"/>
        <v>3500</v>
      </c>
      <c r="AK246"/>
    </row>
    <row r="247" spans="1:37" s="8" customFormat="1" ht="12.75">
      <c r="A247" s="472" t="s">
        <v>438</v>
      </c>
      <c r="B247" s="588">
        <f>B246/365</f>
        <v>9.58904109589041</v>
      </c>
      <c r="C247" s="588">
        <f aca="true" t="shared" si="23" ref="C247:AJ247">C246/365</f>
        <v>9.58904109589041</v>
      </c>
      <c r="D247" s="588">
        <f t="shared" si="23"/>
        <v>9.58904109589041</v>
      </c>
      <c r="E247" s="588">
        <f t="shared" si="23"/>
        <v>9.58904109589041</v>
      </c>
      <c r="F247" s="588">
        <f t="shared" si="23"/>
        <v>9.58904109589041</v>
      </c>
      <c r="G247" s="588">
        <f t="shared" si="23"/>
        <v>9.58904109589041</v>
      </c>
      <c r="H247" s="588">
        <f t="shared" si="23"/>
        <v>9.58904109589041</v>
      </c>
      <c r="I247" s="588">
        <f t="shared" si="23"/>
        <v>9.58904109589041</v>
      </c>
      <c r="J247" s="588">
        <f t="shared" si="23"/>
        <v>9.58904109589041</v>
      </c>
      <c r="K247" s="588">
        <f t="shared" si="23"/>
        <v>9.58904109589041</v>
      </c>
      <c r="L247" s="588">
        <f t="shared" si="23"/>
        <v>9.58904109589041</v>
      </c>
      <c r="M247" s="588">
        <f t="shared" si="23"/>
        <v>9.58904109589041</v>
      </c>
      <c r="N247" s="588">
        <f t="shared" si="23"/>
        <v>9.58904109589041</v>
      </c>
      <c r="O247" s="588">
        <f t="shared" si="23"/>
        <v>9.58904109589041</v>
      </c>
      <c r="P247" s="588">
        <f t="shared" si="23"/>
        <v>9.58904109589041</v>
      </c>
      <c r="Q247" s="588">
        <f t="shared" si="23"/>
        <v>9.58904109589041</v>
      </c>
      <c r="R247" s="588">
        <f t="shared" si="23"/>
        <v>9.58904109589041</v>
      </c>
      <c r="S247" s="588">
        <f t="shared" si="23"/>
        <v>9.58904109589041</v>
      </c>
      <c r="T247" s="588">
        <f t="shared" si="23"/>
        <v>9.58904109589041</v>
      </c>
      <c r="U247" s="588">
        <f t="shared" si="23"/>
        <v>9.58904109589041</v>
      </c>
      <c r="V247" s="588">
        <f t="shared" si="23"/>
        <v>9.58904109589041</v>
      </c>
      <c r="W247" s="588">
        <f t="shared" si="23"/>
        <v>9.58904109589041</v>
      </c>
      <c r="X247" s="588">
        <f t="shared" si="23"/>
        <v>9.58904109589041</v>
      </c>
      <c r="Y247" s="588">
        <f t="shared" si="23"/>
        <v>9.58904109589041</v>
      </c>
      <c r="Z247" s="588">
        <f t="shared" si="23"/>
        <v>9.58904109589041</v>
      </c>
      <c r="AA247" s="588">
        <f t="shared" si="23"/>
        <v>9.58904109589041</v>
      </c>
      <c r="AB247" s="588">
        <f t="shared" si="23"/>
        <v>9.58904109589041</v>
      </c>
      <c r="AC247" s="588">
        <f t="shared" si="23"/>
        <v>9.58904109589041</v>
      </c>
      <c r="AD247" s="588">
        <f t="shared" si="23"/>
        <v>9.58904109589041</v>
      </c>
      <c r="AE247" s="588">
        <f t="shared" si="23"/>
        <v>9.58904109589041</v>
      </c>
      <c r="AF247" s="588">
        <f t="shared" si="23"/>
        <v>9.58904109589041</v>
      </c>
      <c r="AG247" s="588">
        <f t="shared" si="23"/>
        <v>9.58904109589041</v>
      </c>
      <c r="AH247" s="588">
        <f t="shared" si="23"/>
        <v>9.58904109589041</v>
      </c>
      <c r="AI247" s="588">
        <f t="shared" si="23"/>
        <v>9.58904109589041</v>
      </c>
      <c r="AJ247" s="588">
        <f t="shared" si="23"/>
        <v>9.58904109589041</v>
      </c>
      <c r="AK247"/>
    </row>
    <row r="248" spans="1:37" s="8" customFormat="1" ht="12.75">
      <c r="A248" s="472" t="s">
        <v>383</v>
      </c>
      <c r="B248" s="465">
        <v>0</v>
      </c>
      <c r="C248" s="205">
        <v>0</v>
      </c>
      <c r="D248" s="205">
        <v>0</v>
      </c>
      <c r="E248" s="594">
        <v>0</v>
      </c>
      <c r="F248" s="594">
        <v>0</v>
      </c>
      <c r="G248" s="594">
        <v>0</v>
      </c>
      <c r="H248" s="594">
        <v>0</v>
      </c>
      <c r="I248" s="48">
        <v>0</v>
      </c>
      <c r="J248" s="48">
        <f>I248*(1+'Datu ievade'!J423)</f>
        <v>0</v>
      </c>
      <c r="K248" s="48">
        <f>J248*(1+'Datu ievade'!K423)</f>
        <v>0</v>
      </c>
      <c r="L248" s="48">
        <f>K248*(1+'Datu ievade'!L423)</f>
        <v>0</v>
      </c>
      <c r="M248" s="48">
        <f>L248*(1+'Datu ievade'!M423)</f>
        <v>0</v>
      </c>
      <c r="N248" s="48">
        <f>M248*(1+'Datu ievade'!N423)</f>
        <v>0</v>
      </c>
      <c r="O248" s="48">
        <f>N248*(1+'Datu ievade'!O423)</f>
        <v>0</v>
      </c>
      <c r="P248" s="48">
        <f>O248*(1+'Datu ievade'!P423)</f>
        <v>0</v>
      </c>
      <c r="Q248" s="48">
        <f>P248*(1+'Datu ievade'!Q423)</f>
        <v>0</v>
      </c>
      <c r="R248" s="48">
        <f>Q248*(1+'Datu ievade'!R423)</f>
        <v>0</v>
      </c>
      <c r="S248" s="48">
        <f>R248*(1+'Datu ievade'!S423)</f>
        <v>0</v>
      </c>
      <c r="T248" s="48">
        <f>S248*(1+'Datu ievade'!T423)</f>
        <v>0</v>
      </c>
      <c r="U248" s="48">
        <f>T248*(1+'Datu ievade'!U423)</f>
        <v>0</v>
      </c>
      <c r="V248" s="48">
        <f>U248*(1+'Datu ievade'!V423)</f>
        <v>0</v>
      </c>
      <c r="W248" s="48">
        <f>V248*(1+'Datu ievade'!W423)</f>
        <v>0</v>
      </c>
      <c r="X248" s="48">
        <f>W248*(1+'Datu ievade'!X423)</f>
        <v>0</v>
      </c>
      <c r="Y248" s="48">
        <f>X248*(1+'Datu ievade'!Y423)</f>
        <v>0</v>
      </c>
      <c r="Z248" s="48">
        <f>Y248*(1+'Datu ievade'!Z423)</f>
        <v>0</v>
      </c>
      <c r="AA248" s="48">
        <f>Z248*(1+'Datu ievade'!AA423)</f>
        <v>0</v>
      </c>
      <c r="AB248" s="48">
        <f>AA248*(1+'Datu ievade'!AB423)</f>
        <v>0</v>
      </c>
      <c r="AC248" s="48">
        <f>AB248*(1+'Datu ievade'!AC423)</f>
        <v>0</v>
      </c>
      <c r="AD248" s="48">
        <f>AC248*(1+'Datu ievade'!AD423)</f>
        <v>0</v>
      </c>
      <c r="AE248" s="48">
        <f>AD248*(1+'Datu ievade'!AE423)</f>
        <v>0</v>
      </c>
      <c r="AF248" s="48">
        <f>AE248*(1+'Datu ievade'!AF423)</f>
        <v>0</v>
      </c>
      <c r="AG248" s="48">
        <f>AF248*(1+'Datu ievade'!AG423)</f>
        <v>0</v>
      </c>
      <c r="AH248" s="48">
        <f>AG248*(1+'Datu ievade'!AH423)</f>
        <v>0</v>
      </c>
      <c r="AI248" s="48">
        <f>AH248*(1+'Datu ievade'!AI423)</f>
        <v>0</v>
      </c>
      <c r="AJ248" s="48">
        <f>AI248*(1+'Datu ievade'!AJ423)</f>
        <v>0</v>
      </c>
      <c r="AK248"/>
    </row>
    <row r="249" spans="1:37" s="8" customFormat="1" ht="12.75">
      <c r="A249" s="479" t="s">
        <v>402</v>
      </c>
      <c r="B249" s="205"/>
      <c r="C249" s="205"/>
      <c r="D249" s="205"/>
      <c r="E249" s="439"/>
      <c r="F249" s="439"/>
      <c r="G249" s="439"/>
      <c r="H249" s="439"/>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row>
    <row r="250" spans="1:37" s="8" customFormat="1" ht="12.75">
      <c r="A250" s="473" t="s">
        <v>405</v>
      </c>
      <c r="B250" s="272">
        <f>B246</f>
        <v>3500</v>
      </c>
      <c r="C250" s="272">
        <f>C246</f>
        <v>3500</v>
      </c>
      <c r="D250" s="272">
        <f>D246</f>
        <v>3500</v>
      </c>
      <c r="E250" s="466">
        <f>E246</f>
        <v>3500</v>
      </c>
      <c r="F250" s="466">
        <f>F246</f>
        <v>3500</v>
      </c>
      <c r="G250" s="466">
        <f>F250</f>
        <v>3500</v>
      </c>
      <c r="H250" s="466">
        <f aca="true" t="shared" si="24" ref="H250:AJ250">G250</f>
        <v>3500</v>
      </c>
      <c r="I250" s="466">
        <f t="shared" si="24"/>
        <v>3500</v>
      </c>
      <c r="J250" s="466">
        <f t="shared" si="24"/>
        <v>3500</v>
      </c>
      <c r="K250" s="466">
        <f t="shared" si="24"/>
        <v>3500</v>
      </c>
      <c r="L250" s="466">
        <f t="shared" si="24"/>
        <v>3500</v>
      </c>
      <c r="M250" s="466">
        <f t="shared" si="24"/>
        <v>3500</v>
      </c>
      <c r="N250" s="466">
        <f t="shared" si="24"/>
        <v>3500</v>
      </c>
      <c r="O250" s="466">
        <f t="shared" si="24"/>
        <v>3500</v>
      </c>
      <c r="P250" s="466">
        <f t="shared" si="24"/>
        <v>3500</v>
      </c>
      <c r="Q250" s="466">
        <f t="shared" si="24"/>
        <v>3500</v>
      </c>
      <c r="R250" s="466">
        <f t="shared" si="24"/>
        <v>3500</v>
      </c>
      <c r="S250" s="466">
        <f t="shared" si="24"/>
        <v>3500</v>
      </c>
      <c r="T250" s="466">
        <f t="shared" si="24"/>
        <v>3500</v>
      </c>
      <c r="U250" s="466">
        <f t="shared" si="24"/>
        <v>3500</v>
      </c>
      <c r="V250" s="466">
        <f t="shared" si="24"/>
        <v>3500</v>
      </c>
      <c r="W250" s="466">
        <f t="shared" si="24"/>
        <v>3500</v>
      </c>
      <c r="X250" s="466">
        <f t="shared" si="24"/>
        <v>3500</v>
      </c>
      <c r="Y250" s="466">
        <f t="shared" si="24"/>
        <v>3500</v>
      </c>
      <c r="Z250" s="466">
        <f t="shared" si="24"/>
        <v>3500</v>
      </c>
      <c r="AA250" s="466">
        <f t="shared" si="24"/>
        <v>3500</v>
      </c>
      <c r="AB250" s="466">
        <f t="shared" si="24"/>
        <v>3500</v>
      </c>
      <c r="AC250" s="466">
        <f t="shared" si="24"/>
        <v>3500</v>
      </c>
      <c r="AD250" s="466">
        <f t="shared" si="24"/>
        <v>3500</v>
      </c>
      <c r="AE250" s="466">
        <f t="shared" si="24"/>
        <v>3500</v>
      </c>
      <c r="AF250" s="466">
        <f t="shared" si="24"/>
        <v>3500</v>
      </c>
      <c r="AG250" s="466">
        <f t="shared" si="24"/>
        <v>3500</v>
      </c>
      <c r="AH250" s="466">
        <f t="shared" si="24"/>
        <v>3500</v>
      </c>
      <c r="AI250" s="466">
        <f t="shared" si="24"/>
        <v>3500</v>
      </c>
      <c r="AJ250" s="466">
        <f t="shared" si="24"/>
        <v>3500</v>
      </c>
      <c r="AK250"/>
    </row>
    <row r="251" spans="1:37" s="8" customFormat="1" ht="12.75">
      <c r="A251" s="473" t="s">
        <v>383</v>
      </c>
      <c r="B251" s="272">
        <f>B248</f>
        <v>0</v>
      </c>
      <c r="C251" s="272">
        <f>C248</f>
        <v>0</v>
      </c>
      <c r="D251" s="272">
        <f>D248</f>
        <v>0</v>
      </c>
      <c r="E251" s="466">
        <f>E248</f>
        <v>0</v>
      </c>
      <c r="F251" s="466">
        <f aca="true" t="shared" si="25" ref="F251:AJ251">F248</f>
        <v>0</v>
      </c>
      <c r="G251" s="466">
        <f t="shared" si="25"/>
        <v>0</v>
      </c>
      <c r="H251" s="466">
        <f t="shared" si="25"/>
        <v>0</v>
      </c>
      <c r="I251" s="466">
        <f t="shared" si="25"/>
        <v>0</v>
      </c>
      <c r="J251" s="466">
        <f t="shared" si="25"/>
        <v>0</v>
      </c>
      <c r="K251" s="466">
        <f t="shared" si="25"/>
        <v>0</v>
      </c>
      <c r="L251" s="466">
        <f t="shared" si="25"/>
        <v>0</v>
      </c>
      <c r="M251" s="466">
        <f t="shared" si="25"/>
        <v>0</v>
      </c>
      <c r="N251" s="466">
        <f t="shared" si="25"/>
        <v>0</v>
      </c>
      <c r="O251" s="466">
        <f t="shared" si="25"/>
        <v>0</v>
      </c>
      <c r="P251" s="466">
        <f t="shared" si="25"/>
        <v>0</v>
      </c>
      <c r="Q251" s="466">
        <f t="shared" si="25"/>
        <v>0</v>
      </c>
      <c r="R251" s="466">
        <f t="shared" si="25"/>
        <v>0</v>
      </c>
      <c r="S251" s="466">
        <f t="shared" si="25"/>
        <v>0</v>
      </c>
      <c r="T251" s="466">
        <f t="shared" si="25"/>
        <v>0</v>
      </c>
      <c r="U251" s="466">
        <f t="shared" si="25"/>
        <v>0</v>
      </c>
      <c r="V251" s="466">
        <f t="shared" si="25"/>
        <v>0</v>
      </c>
      <c r="W251" s="466">
        <f t="shared" si="25"/>
        <v>0</v>
      </c>
      <c r="X251" s="466">
        <f t="shared" si="25"/>
        <v>0</v>
      </c>
      <c r="Y251" s="466">
        <f t="shared" si="25"/>
        <v>0</v>
      </c>
      <c r="Z251" s="466">
        <f t="shared" si="25"/>
        <v>0</v>
      </c>
      <c r="AA251" s="466">
        <f t="shared" si="25"/>
        <v>0</v>
      </c>
      <c r="AB251" s="466">
        <f t="shared" si="25"/>
        <v>0</v>
      </c>
      <c r="AC251" s="466">
        <f t="shared" si="25"/>
        <v>0</v>
      </c>
      <c r="AD251" s="466">
        <f t="shared" si="25"/>
        <v>0</v>
      </c>
      <c r="AE251" s="466">
        <f t="shared" si="25"/>
        <v>0</v>
      </c>
      <c r="AF251" s="466">
        <f t="shared" si="25"/>
        <v>0</v>
      </c>
      <c r="AG251" s="466">
        <f t="shared" si="25"/>
        <v>0</v>
      </c>
      <c r="AH251" s="466">
        <f t="shared" si="25"/>
        <v>0</v>
      </c>
      <c r="AI251" s="466">
        <f t="shared" si="25"/>
        <v>0</v>
      </c>
      <c r="AJ251" s="466">
        <f t="shared" si="25"/>
        <v>0</v>
      </c>
      <c r="AK251"/>
    </row>
    <row r="252" spans="1:37" s="8" customFormat="1" ht="12.75">
      <c r="A252" s="478" t="s">
        <v>400</v>
      </c>
      <c r="B252" s="272"/>
      <c r="C252" s="272"/>
      <c r="D252" s="272"/>
      <c r="E252" s="466"/>
      <c r="F252" s="466"/>
      <c r="G252" s="466"/>
      <c r="H252" s="466"/>
      <c r="I252" s="466"/>
      <c r="J252" s="466"/>
      <c r="K252" s="466"/>
      <c r="L252" s="466"/>
      <c r="M252" s="466"/>
      <c r="N252" s="466"/>
      <c r="O252" s="466"/>
      <c r="P252" s="466"/>
      <c r="Q252" s="466"/>
      <c r="R252" s="466"/>
      <c r="S252" s="466"/>
      <c r="T252" s="466"/>
      <c r="U252" s="466"/>
      <c r="V252" s="466"/>
      <c r="W252" s="466"/>
      <c r="X252" s="466"/>
      <c r="Y252" s="466"/>
      <c r="Z252" s="466"/>
      <c r="AA252" s="466"/>
      <c r="AB252" s="466"/>
      <c r="AC252" s="466"/>
      <c r="AD252" s="466"/>
      <c r="AE252" s="466"/>
      <c r="AF252" s="466"/>
      <c r="AG252" s="466"/>
      <c r="AH252" s="466"/>
      <c r="AI252" s="466"/>
      <c r="AJ252" s="466"/>
      <c r="AK252"/>
    </row>
    <row r="253" spans="1:37" s="8" customFormat="1" ht="12.75">
      <c r="A253" s="469" t="s">
        <v>406</v>
      </c>
      <c r="B253" s="205">
        <v>25000</v>
      </c>
      <c r="C253" s="205">
        <v>25000</v>
      </c>
      <c r="D253" s="205">
        <v>25000</v>
      </c>
      <c r="E253" s="594">
        <v>25000</v>
      </c>
      <c r="F253" s="594">
        <f aca="true" t="shared" si="26" ref="F253:AJ253">E253</f>
        <v>25000</v>
      </c>
      <c r="G253" s="594">
        <f t="shared" si="26"/>
        <v>25000</v>
      </c>
      <c r="H253" s="594">
        <f>G253</f>
        <v>25000</v>
      </c>
      <c r="I253" s="48">
        <f t="shared" si="26"/>
        <v>25000</v>
      </c>
      <c r="J253" s="48">
        <f t="shared" si="26"/>
        <v>25000</v>
      </c>
      <c r="K253" s="48">
        <f t="shared" si="26"/>
        <v>25000</v>
      </c>
      <c r="L253" s="48">
        <f t="shared" si="26"/>
        <v>25000</v>
      </c>
      <c r="M253" s="48">
        <f t="shared" si="26"/>
        <v>25000</v>
      </c>
      <c r="N253" s="48">
        <f t="shared" si="26"/>
        <v>25000</v>
      </c>
      <c r="O253" s="48">
        <f t="shared" si="26"/>
        <v>25000</v>
      </c>
      <c r="P253" s="48">
        <f t="shared" si="26"/>
        <v>25000</v>
      </c>
      <c r="Q253" s="48">
        <f t="shared" si="26"/>
        <v>25000</v>
      </c>
      <c r="R253" s="48">
        <f t="shared" si="26"/>
        <v>25000</v>
      </c>
      <c r="S253" s="48">
        <f t="shared" si="26"/>
        <v>25000</v>
      </c>
      <c r="T253" s="48">
        <f t="shared" si="26"/>
        <v>25000</v>
      </c>
      <c r="U253" s="48">
        <f t="shared" si="26"/>
        <v>25000</v>
      </c>
      <c r="V253" s="48">
        <f t="shared" si="26"/>
        <v>25000</v>
      </c>
      <c r="W253" s="48">
        <f t="shared" si="26"/>
        <v>25000</v>
      </c>
      <c r="X253" s="48">
        <f t="shared" si="26"/>
        <v>25000</v>
      </c>
      <c r="Y253" s="48">
        <f t="shared" si="26"/>
        <v>25000</v>
      </c>
      <c r="Z253" s="48">
        <f t="shared" si="26"/>
        <v>25000</v>
      </c>
      <c r="AA253" s="48">
        <f t="shared" si="26"/>
        <v>25000</v>
      </c>
      <c r="AB253" s="48">
        <f t="shared" si="26"/>
        <v>25000</v>
      </c>
      <c r="AC253" s="48">
        <f t="shared" si="26"/>
        <v>25000</v>
      </c>
      <c r="AD253" s="48">
        <f t="shared" si="26"/>
        <v>25000</v>
      </c>
      <c r="AE253" s="48">
        <f t="shared" si="26"/>
        <v>25000</v>
      </c>
      <c r="AF253" s="48">
        <f t="shared" si="26"/>
        <v>25000</v>
      </c>
      <c r="AG253" s="48">
        <f t="shared" si="26"/>
        <v>25000</v>
      </c>
      <c r="AH253" s="48">
        <f t="shared" si="26"/>
        <v>25000</v>
      </c>
      <c r="AI253" s="48">
        <f t="shared" si="26"/>
        <v>25000</v>
      </c>
      <c r="AJ253" s="48">
        <f t="shared" si="26"/>
        <v>25000</v>
      </c>
      <c r="AK253"/>
    </row>
    <row r="254" spans="1:37" s="8" customFormat="1" ht="12.75">
      <c r="A254" s="469" t="s">
        <v>442</v>
      </c>
      <c r="B254" s="586">
        <f>B253/365</f>
        <v>68.4931506849315</v>
      </c>
      <c r="C254" s="586">
        <f aca="true" t="shared" si="27" ref="C254:AJ254">C253/365</f>
        <v>68.4931506849315</v>
      </c>
      <c r="D254" s="586">
        <f t="shared" si="27"/>
        <v>68.4931506849315</v>
      </c>
      <c r="E254" s="586">
        <f t="shared" si="27"/>
        <v>68.4931506849315</v>
      </c>
      <c r="F254" s="586">
        <f t="shared" si="27"/>
        <v>68.4931506849315</v>
      </c>
      <c r="G254" s="586">
        <f t="shared" si="27"/>
        <v>68.4931506849315</v>
      </c>
      <c r="H254" s="586">
        <f t="shared" si="27"/>
        <v>68.4931506849315</v>
      </c>
      <c r="I254" s="586">
        <f t="shared" si="27"/>
        <v>68.4931506849315</v>
      </c>
      <c r="J254" s="586">
        <f t="shared" si="27"/>
        <v>68.4931506849315</v>
      </c>
      <c r="K254" s="586">
        <f t="shared" si="27"/>
        <v>68.4931506849315</v>
      </c>
      <c r="L254" s="586">
        <f t="shared" si="27"/>
        <v>68.4931506849315</v>
      </c>
      <c r="M254" s="586">
        <f t="shared" si="27"/>
        <v>68.4931506849315</v>
      </c>
      <c r="N254" s="586">
        <f t="shared" si="27"/>
        <v>68.4931506849315</v>
      </c>
      <c r="O254" s="586">
        <f t="shared" si="27"/>
        <v>68.4931506849315</v>
      </c>
      <c r="P254" s="586">
        <f t="shared" si="27"/>
        <v>68.4931506849315</v>
      </c>
      <c r="Q254" s="586">
        <f t="shared" si="27"/>
        <v>68.4931506849315</v>
      </c>
      <c r="R254" s="586">
        <f t="shared" si="27"/>
        <v>68.4931506849315</v>
      </c>
      <c r="S254" s="586">
        <f t="shared" si="27"/>
        <v>68.4931506849315</v>
      </c>
      <c r="T254" s="586">
        <f t="shared" si="27"/>
        <v>68.4931506849315</v>
      </c>
      <c r="U254" s="586">
        <f t="shared" si="27"/>
        <v>68.4931506849315</v>
      </c>
      <c r="V254" s="586">
        <f t="shared" si="27"/>
        <v>68.4931506849315</v>
      </c>
      <c r="W254" s="586">
        <f t="shared" si="27"/>
        <v>68.4931506849315</v>
      </c>
      <c r="X254" s="586">
        <f t="shared" si="27"/>
        <v>68.4931506849315</v>
      </c>
      <c r="Y254" s="586">
        <f t="shared" si="27"/>
        <v>68.4931506849315</v>
      </c>
      <c r="Z254" s="586">
        <f t="shared" si="27"/>
        <v>68.4931506849315</v>
      </c>
      <c r="AA254" s="586">
        <f t="shared" si="27"/>
        <v>68.4931506849315</v>
      </c>
      <c r="AB254" s="586">
        <f t="shared" si="27"/>
        <v>68.4931506849315</v>
      </c>
      <c r="AC254" s="586">
        <f t="shared" si="27"/>
        <v>68.4931506849315</v>
      </c>
      <c r="AD254" s="586">
        <f t="shared" si="27"/>
        <v>68.4931506849315</v>
      </c>
      <c r="AE254" s="586">
        <f t="shared" si="27"/>
        <v>68.4931506849315</v>
      </c>
      <c r="AF254" s="586">
        <f t="shared" si="27"/>
        <v>68.4931506849315</v>
      </c>
      <c r="AG254" s="586">
        <f t="shared" si="27"/>
        <v>68.4931506849315</v>
      </c>
      <c r="AH254" s="586">
        <f t="shared" si="27"/>
        <v>68.4931506849315</v>
      </c>
      <c r="AI254" s="586">
        <f t="shared" si="27"/>
        <v>68.4931506849315</v>
      </c>
      <c r="AJ254" s="586">
        <f t="shared" si="27"/>
        <v>68.4931506849315</v>
      </c>
      <c r="AK254"/>
    </row>
    <row r="255" spans="1:37" s="8" customFormat="1" ht="12.75">
      <c r="A255" s="469" t="s">
        <v>383</v>
      </c>
      <c r="B255" s="205"/>
      <c r="C255" s="205"/>
      <c r="D255" s="205"/>
      <c r="E255" s="594">
        <f>D255*(1+'Datu ievade'!E423)</f>
        <v>0</v>
      </c>
      <c r="F255" s="594">
        <f>E255*(1+'Datu ievade'!F423)</f>
        <v>0</v>
      </c>
      <c r="G255" s="594">
        <f>F255*(1+'Datu ievade'!G423)</f>
        <v>0</v>
      </c>
      <c r="H255" s="594">
        <f>G255*(1+'Datu ievade'!H423)</f>
        <v>0</v>
      </c>
      <c r="I255" s="48">
        <f>H255*(1+'Datu ievade'!I423)</f>
        <v>0</v>
      </c>
      <c r="J255" s="48">
        <f>I255*(1+'Datu ievade'!J423)</f>
        <v>0</v>
      </c>
      <c r="K255" s="48">
        <f>J255*(1+'Datu ievade'!K423)</f>
        <v>0</v>
      </c>
      <c r="L255" s="48">
        <f>K255*(1+'Datu ievade'!L423)</f>
        <v>0</v>
      </c>
      <c r="M255" s="48">
        <f>L255*(1+'Datu ievade'!M423)</f>
        <v>0</v>
      </c>
      <c r="N255" s="48">
        <f>M255*(1+'Datu ievade'!N423)</f>
        <v>0</v>
      </c>
      <c r="O255" s="48">
        <f>N255*(1+'Datu ievade'!O423)</f>
        <v>0</v>
      </c>
      <c r="P255" s="48">
        <f>O255*(1+'Datu ievade'!P423)</f>
        <v>0</v>
      </c>
      <c r="Q255" s="48">
        <f>P255*(1+'Datu ievade'!Q423)</f>
        <v>0</v>
      </c>
      <c r="R255" s="48">
        <f>Q255*(1+'Datu ievade'!R423)</f>
        <v>0</v>
      </c>
      <c r="S255" s="48">
        <f>R255*(1+'Datu ievade'!S423)</f>
        <v>0</v>
      </c>
      <c r="T255" s="48">
        <f>S255*(1+'Datu ievade'!T423)</f>
        <v>0</v>
      </c>
      <c r="U255" s="48">
        <f>T255*(1+'Datu ievade'!U423)</f>
        <v>0</v>
      </c>
      <c r="V255" s="48">
        <f>U255*(1+'Datu ievade'!V423)</f>
        <v>0</v>
      </c>
      <c r="W255" s="48">
        <f>V255*(1+'Datu ievade'!W423)</f>
        <v>0</v>
      </c>
      <c r="X255" s="48">
        <f>W255*(1+'Datu ievade'!X423)</f>
        <v>0</v>
      </c>
      <c r="Y255" s="48">
        <f>X255*(1+'Datu ievade'!Y423)</f>
        <v>0</v>
      </c>
      <c r="Z255" s="48">
        <f>Y255*(1+'Datu ievade'!Z423)</f>
        <v>0</v>
      </c>
      <c r="AA255" s="48">
        <f>Z255*(1+'Datu ievade'!AA423)</f>
        <v>0</v>
      </c>
      <c r="AB255" s="48">
        <f>AA255*(1+'Datu ievade'!AB423)</f>
        <v>0</v>
      </c>
      <c r="AC255" s="48">
        <f>AB255*(1+'Datu ievade'!AC423)</f>
        <v>0</v>
      </c>
      <c r="AD255" s="48">
        <f>AC255*(1+'Datu ievade'!AD423)</f>
        <v>0</v>
      </c>
      <c r="AE255" s="48">
        <f>AD255*(1+'Datu ievade'!AE423)</f>
        <v>0</v>
      </c>
      <c r="AF255" s="48">
        <f>AE255*(1+'Datu ievade'!AF423)</f>
        <v>0</v>
      </c>
      <c r="AG255" s="48">
        <f>AF255*(1+'Datu ievade'!AG423)</f>
        <v>0</v>
      </c>
      <c r="AH255" s="48">
        <f>AG255*(1+'Datu ievade'!AH423)</f>
        <v>0</v>
      </c>
      <c r="AI255" s="48">
        <f>AH255*(1+'Datu ievade'!AI423)</f>
        <v>0</v>
      </c>
      <c r="AJ255" s="48">
        <f>AI255*(1+'Datu ievade'!AJ423)</f>
        <v>0</v>
      </c>
      <c r="AK255"/>
    </row>
    <row r="256" spans="1:37" s="8" customFormat="1" ht="12.75">
      <c r="A256" s="480" t="s">
        <v>401</v>
      </c>
      <c r="B256" s="205"/>
      <c r="C256" s="205"/>
      <c r="D256" s="205"/>
      <c r="E256" s="439"/>
      <c r="F256" s="439"/>
      <c r="G256" s="439"/>
      <c r="H256" s="439"/>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row>
    <row r="257" spans="1:37" s="8" customFormat="1" ht="12.75">
      <c r="A257" s="474" t="s">
        <v>406</v>
      </c>
      <c r="B257" s="272">
        <f>B253</f>
        <v>25000</v>
      </c>
      <c r="C257" s="272">
        <f aca="true" t="shared" si="28" ref="C257:AJ257">C253</f>
        <v>25000</v>
      </c>
      <c r="D257" s="272">
        <f t="shared" si="28"/>
        <v>25000</v>
      </c>
      <c r="E257" s="272">
        <f t="shared" si="28"/>
        <v>25000</v>
      </c>
      <c r="F257" s="272">
        <f t="shared" si="28"/>
        <v>25000</v>
      </c>
      <c r="G257" s="272">
        <f t="shared" si="28"/>
        <v>25000</v>
      </c>
      <c r="H257" s="272">
        <f t="shared" si="28"/>
        <v>25000</v>
      </c>
      <c r="I257" s="272">
        <f t="shared" si="28"/>
        <v>25000</v>
      </c>
      <c r="J257" s="272">
        <f t="shared" si="28"/>
        <v>25000</v>
      </c>
      <c r="K257" s="272">
        <f t="shared" si="28"/>
        <v>25000</v>
      </c>
      <c r="L257" s="272">
        <f t="shared" si="28"/>
        <v>25000</v>
      </c>
      <c r="M257" s="272">
        <f t="shared" si="28"/>
        <v>25000</v>
      </c>
      <c r="N257" s="272">
        <f t="shared" si="28"/>
        <v>25000</v>
      </c>
      <c r="O257" s="272">
        <f t="shared" si="28"/>
        <v>25000</v>
      </c>
      <c r="P257" s="272">
        <f t="shared" si="28"/>
        <v>25000</v>
      </c>
      <c r="Q257" s="272">
        <f t="shared" si="28"/>
        <v>25000</v>
      </c>
      <c r="R257" s="272">
        <f t="shared" si="28"/>
        <v>25000</v>
      </c>
      <c r="S257" s="272">
        <f t="shared" si="28"/>
        <v>25000</v>
      </c>
      <c r="T257" s="272">
        <f t="shared" si="28"/>
        <v>25000</v>
      </c>
      <c r="U257" s="272">
        <f t="shared" si="28"/>
        <v>25000</v>
      </c>
      <c r="V257" s="272">
        <f t="shared" si="28"/>
        <v>25000</v>
      </c>
      <c r="W257" s="272">
        <f t="shared" si="28"/>
        <v>25000</v>
      </c>
      <c r="X257" s="272">
        <f t="shared" si="28"/>
        <v>25000</v>
      </c>
      <c r="Y257" s="272">
        <f t="shared" si="28"/>
        <v>25000</v>
      </c>
      <c r="Z257" s="272">
        <f t="shared" si="28"/>
        <v>25000</v>
      </c>
      <c r="AA257" s="272">
        <f t="shared" si="28"/>
        <v>25000</v>
      </c>
      <c r="AB257" s="272">
        <f t="shared" si="28"/>
        <v>25000</v>
      </c>
      <c r="AC257" s="272">
        <f t="shared" si="28"/>
        <v>25000</v>
      </c>
      <c r="AD257" s="272">
        <f t="shared" si="28"/>
        <v>25000</v>
      </c>
      <c r="AE257" s="272">
        <f t="shared" si="28"/>
        <v>25000</v>
      </c>
      <c r="AF257" s="272">
        <f t="shared" si="28"/>
        <v>25000</v>
      </c>
      <c r="AG257" s="272">
        <f t="shared" si="28"/>
        <v>25000</v>
      </c>
      <c r="AH257" s="272">
        <f t="shared" si="28"/>
        <v>25000</v>
      </c>
      <c r="AI257" s="272">
        <f t="shared" si="28"/>
        <v>25000</v>
      </c>
      <c r="AJ257" s="272">
        <f t="shared" si="28"/>
        <v>25000</v>
      </c>
      <c r="AK257"/>
    </row>
    <row r="258" spans="1:37" s="8" customFormat="1" ht="12.75">
      <c r="A258" s="474" t="s">
        <v>383</v>
      </c>
      <c r="B258" s="272">
        <f>B255</f>
        <v>0</v>
      </c>
      <c r="C258" s="272">
        <f aca="true" t="shared" si="29" ref="C258:AJ258">C255</f>
        <v>0</v>
      </c>
      <c r="D258" s="272">
        <f t="shared" si="29"/>
        <v>0</v>
      </c>
      <c r="E258" s="272">
        <f t="shared" si="29"/>
        <v>0</v>
      </c>
      <c r="F258" s="272">
        <f t="shared" si="29"/>
        <v>0</v>
      </c>
      <c r="G258" s="272">
        <f t="shared" si="29"/>
        <v>0</v>
      </c>
      <c r="H258" s="272">
        <f t="shared" si="29"/>
        <v>0</v>
      </c>
      <c r="I258" s="272">
        <f t="shared" si="29"/>
        <v>0</v>
      </c>
      <c r="J258" s="272">
        <f t="shared" si="29"/>
        <v>0</v>
      </c>
      <c r="K258" s="272">
        <f t="shared" si="29"/>
        <v>0</v>
      </c>
      <c r="L258" s="272">
        <f t="shared" si="29"/>
        <v>0</v>
      </c>
      <c r="M258" s="272">
        <f t="shared" si="29"/>
        <v>0</v>
      </c>
      <c r="N258" s="272">
        <f t="shared" si="29"/>
        <v>0</v>
      </c>
      <c r="O258" s="272">
        <f t="shared" si="29"/>
        <v>0</v>
      </c>
      <c r="P258" s="272">
        <f t="shared" si="29"/>
        <v>0</v>
      </c>
      <c r="Q258" s="272">
        <f t="shared" si="29"/>
        <v>0</v>
      </c>
      <c r="R258" s="272">
        <f t="shared" si="29"/>
        <v>0</v>
      </c>
      <c r="S258" s="272">
        <f t="shared" si="29"/>
        <v>0</v>
      </c>
      <c r="T258" s="272">
        <f t="shared" si="29"/>
        <v>0</v>
      </c>
      <c r="U258" s="272">
        <f t="shared" si="29"/>
        <v>0</v>
      </c>
      <c r="V258" s="272">
        <f t="shared" si="29"/>
        <v>0</v>
      </c>
      <c r="W258" s="272">
        <f t="shared" si="29"/>
        <v>0</v>
      </c>
      <c r="X258" s="272">
        <f t="shared" si="29"/>
        <v>0</v>
      </c>
      <c r="Y258" s="272">
        <f t="shared" si="29"/>
        <v>0</v>
      </c>
      <c r="Z258" s="272">
        <f t="shared" si="29"/>
        <v>0</v>
      </c>
      <c r="AA258" s="272">
        <f t="shared" si="29"/>
        <v>0</v>
      </c>
      <c r="AB258" s="272">
        <f t="shared" si="29"/>
        <v>0</v>
      </c>
      <c r="AC258" s="272">
        <f t="shared" si="29"/>
        <v>0</v>
      </c>
      <c r="AD258" s="272">
        <f t="shared" si="29"/>
        <v>0</v>
      </c>
      <c r="AE258" s="272">
        <f t="shared" si="29"/>
        <v>0</v>
      </c>
      <c r="AF258" s="272">
        <f t="shared" si="29"/>
        <v>0</v>
      </c>
      <c r="AG258" s="272">
        <f t="shared" si="29"/>
        <v>0</v>
      </c>
      <c r="AH258" s="272">
        <f t="shared" si="29"/>
        <v>0</v>
      </c>
      <c r="AI258" s="272">
        <f t="shared" si="29"/>
        <v>0</v>
      </c>
      <c r="AJ258" s="272">
        <f t="shared" si="29"/>
        <v>0</v>
      </c>
      <c r="AK258"/>
    </row>
    <row r="259" spans="1:37" s="8" customFormat="1" ht="25.5">
      <c r="A259" s="481" t="s">
        <v>407</v>
      </c>
      <c r="B259" s="274">
        <f aca="true" t="shared" si="30" ref="B259:AJ259">B237+B246+B253</f>
        <v>73668.75</v>
      </c>
      <c r="C259" s="274">
        <f t="shared" si="30"/>
        <v>73668.75</v>
      </c>
      <c r="D259" s="274">
        <f t="shared" si="30"/>
        <v>73668.75</v>
      </c>
      <c r="E259" s="274">
        <f t="shared" si="30"/>
        <v>73668.75</v>
      </c>
      <c r="F259" s="274">
        <f t="shared" si="30"/>
        <v>73668.75</v>
      </c>
      <c r="G259" s="274">
        <f t="shared" si="30"/>
        <v>80512.5</v>
      </c>
      <c r="H259" s="274">
        <f t="shared" si="30"/>
        <v>80512.5</v>
      </c>
      <c r="I259" s="274">
        <f t="shared" si="30"/>
        <v>80512.5</v>
      </c>
      <c r="J259" s="274">
        <f t="shared" si="30"/>
        <v>80512.5</v>
      </c>
      <c r="K259" s="274">
        <f t="shared" si="30"/>
        <v>80512.5</v>
      </c>
      <c r="L259" s="274">
        <f t="shared" si="30"/>
        <v>80512.5</v>
      </c>
      <c r="M259" s="274">
        <f t="shared" si="30"/>
        <v>80512.5</v>
      </c>
      <c r="N259" s="274">
        <f t="shared" si="30"/>
        <v>80512.5</v>
      </c>
      <c r="O259" s="274">
        <f t="shared" si="30"/>
        <v>80512.5</v>
      </c>
      <c r="P259" s="274">
        <f t="shared" si="30"/>
        <v>80512.5</v>
      </c>
      <c r="Q259" s="274">
        <f t="shared" si="30"/>
        <v>80512.5</v>
      </c>
      <c r="R259" s="274">
        <f t="shared" si="30"/>
        <v>80512.5</v>
      </c>
      <c r="S259" s="274">
        <f t="shared" si="30"/>
        <v>80512.5</v>
      </c>
      <c r="T259" s="274">
        <f t="shared" si="30"/>
        <v>80512.5</v>
      </c>
      <c r="U259" s="274">
        <f t="shared" si="30"/>
        <v>80512.5</v>
      </c>
      <c r="V259" s="274">
        <f t="shared" si="30"/>
        <v>80512.5</v>
      </c>
      <c r="W259" s="274">
        <f t="shared" si="30"/>
        <v>80512.5</v>
      </c>
      <c r="X259" s="274">
        <f t="shared" si="30"/>
        <v>80512.5</v>
      </c>
      <c r="Y259" s="274">
        <f t="shared" si="30"/>
        <v>80512.5</v>
      </c>
      <c r="Z259" s="274">
        <f t="shared" si="30"/>
        <v>80512.5</v>
      </c>
      <c r="AA259" s="274">
        <f t="shared" si="30"/>
        <v>80512.5</v>
      </c>
      <c r="AB259" s="274">
        <f t="shared" si="30"/>
        <v>80512.5</v>
      </c>
      <c r="AC259" s="274">
        <f t="shared" si="30"/>
        <v>80512.5</v>
      </c>
      <c r="AD259" s="274">
        <f t="shared" si="30"/>
        <v>80512.5</v>
      </c>
      <c r="AE259" s="274">
        <f t="shared" si="30"/>
        <v>80512.5</v>
      </c>
      <c r="AF259" s="274">
        <f t="shared" si="30"/>
        <v>80512.5</v>
      </c>
      <c r="AG259" s="274">
        <f t="shared" si="30"/>
        <v>80512.5</v>
      </c>
      <c r="AH259" s="274">
        <f t="shared" si="30"/>
        <v>80512.5</v>
      </c>
      <c r="AI259" s="274">
        <f t="shared" si="30"/>
        <v>80512.5</v>
      </c>
      <c r="AJ259" s="274">
        <f t="shared" si="30"/>
        <v>80512.5</v>
      </c>
      <c r="AK259"/>
    </row>
    <row r="260" spans="1:37" s="8" customFormat="1" ht="25.5">
      <c r="A260" s="480" t="s">
        <v>408</v>
      </c>
      <c r="B260" s="274">
        <f aca="true" t="shared" si="31" ref="B260:AJ260">B242+B250+B257</f>
        <v>73668.75</v>
      </c>
      <c r="C260" s="274">
        <f t="shared" si="31"/>
        <v>73668.75</v>
      </c>
      <c r="D260" s="274">
        <f t="shared" si="31"/>
        <v>73668.75</v>
      </c>
      <c r="E260" s="274">
        <f t="shared" si="31"/>
        <v>73668.75</v>
      </c>
      <c r="F260" s="274">
        <f t="shared" si="31"/>
        <v>73668.75</v>
      </c>
      <c r="G260" s="274">
        <f t="shared" si="31"/>
        <v>73668.75</v>
      </c>
      <c r="H260" s="274">
        <f t="shared" si="31"/>
        <v>73668.75</v>
      </c>
      <c r="I260" s="274">
        <f t="shared" si="31"/>
        <v>73668.75</v>
      </c>
      <c r="J260" s="274">
        <f t="shared" si="31"/>
        <v>73668.75</v>
      </c>
      <c r="K260" s="274">
        <f t="shared" si="31"/>
        <v>73668.75</v>
      </c>
      <c r="L260" s="274">
        <f t="shared" si="31"/>
        <v>73668.75</v>
      </c>
      <c r="M260" s="274">
        <f t="shared" si="31"/>
        <v>73668.75</v>
      </c>
      <c r="N260" s="274">
        <f t="shared" si="31"/>
        <v>73668.75</v>
      </c>
      <c r="O260" s="274">
        <f t="shared" si="31"/>
        <v>73668.75</v>
      </c>
      <c r="P260" s="274">
        <f t="shared" si="31"/>
        <v>73668.75</v>
      </c>
      <c r="Q260" s="274">
        <f t="shared" si="31"/>
        <v>73668.75</v>
      </c>
      <c r="R260" s="274">
        <f t="shared" si="31"/>
        <v>73668.75</v>
      </c>
      <c r="S260" s="274">
        <f t="shared" si="31"/>
        <v>73668.75</v>
      </c>
      <c r="T260" s="274">
        <f t="shared" si="31"/>
        <v>73668.75</v>
      </c>
      <c r="U260" s="274">
        <f t="shared" si="31"/>
        <v>73668.75</v>
      </c>
      <c r="V260" s="274">
        <f t="shared" si="31"/>
        <v>73668.75</v>
      </c>
      <c r="W260" s="274">
        <f t="shared" si="31"/>
        <v>73668.75</v>
      </c>
      <c r="X260" s="274">
        <f t="shared" si="31"/>
        <v>73668.75</v>
      </c>
      <c r="Y260" s="274">
        <f t="shared" si="31"/>
        <v>73668.75</v>
      </c>
      <c r="Z260" s="274">
        <f t="shared" si="31"/>
        <v>73668.75</v>
      </c>
      <c r="AA260" s="274">
        <f t="shared" si="31"/>
        <v>73668.75</v>
      </c>
      <c r="AB260" s="274">
        <f t="shared" si="31"/>
        <v>73668.75</v>
      </c>
      <c r="AC260" s="274">
        <f t="shared" si="31"/>
        <v>73668.75</v>
      </c>
      <c r="AD260" s="274">
        <f t="shared" si="31"/>
        <v>73668.75</v>
      </c>
      <c r="AE260" s="274">
        <f t="shared" si="31"/>
        <v>73668.75</v>
      </c>
      <c r="AF260" s="274">
        <f t="shared" si="31"/>
        <v>73668.75</v>
      </c>
      <c r="AG260" s="274">
        <f t="shared" si="31"/>
        <v>73668.75</v>
      </c>
      <c r="AH260" s="274">
        <f t="shared" si="31"/>
        <v>73668.75</v>
      </c>
      <c r="AI260" s="274">
        <f t="shared" si="31"/>
        <v>73668.75</v>
      </c>
      <c r="AJ260" s="274">
        <f t="shared" si="31"/>
        <v>73668.75</v>
      </c>
      <c r="AK260"/>
    </row>
    <row r="261" spans="1:37" s="8" customFormat="1" ht="12.75">
      <c r="A261" s="273"/>
      <c r="B261" s="274">
        <f>B229</f>
        <v>2008</v>
      </c>
      <c r="C261" s="274">
        <f>B261+1</f>
        <v>2009</v>
      </c>
      <c r="D261" s="274">
        <f aca="true" t="shared" si="32" ref="D261:AJ261">C261+1</f>
        <v>2010</v>
      </c>
      <c r="E261" s="274">
        <f t="shared" si="32"/>
        <v>2011</v>
      </c>
      <c r="F261" s="274">
        <f t="shared" si="32"/>
        <v>2012</v>
      </c>
      <c r="G261" s="274">
        <f t="shared" si="32"/>
        <v>2013</v>
      </c>
      <c r="H261" s="274">
        <f t="shared" si="32"/>
        <v>2014</v>
      </c>
      <c r="I261" s="274">
        <f t="shared" si="32"/>
        <v>2015</v>
      </c>
      <c r="J261" s="274">
        <f t="shared" si="32"/>
        <v>2016</v>
      </c>
      <c r="K261" s="274">
        <f t="shared" si="32"/>
        <v>2017</v>
      </c>
      <c r="L261" s="274">
        <f t="shared" si="32"/>
        <v>2018</v>
      </c>
      <c r="M261" s="274">
        <f t="shared" si="32"/>
        <v>2019</v>
      </c>
      <c r="N261" s="274">
        <f t="shared" si="32"/>
        <v>2020</v>
      </c>
      <c r="O261" s="274">
        <f t="shared" si="32"/>
        <v>2021</v>
      </c>
      <c r="P261" s="274">
        <f t="shared" si="32"/>
        <v>2022</v>
      </c>
      <c r="Q261" s="274">
        <f t="shared" si="32"/>
        <v>2023</v>
      </c>
      <c r="R261" s="274">
        <f t="shared" si="32"/>
        <v>2024</v>
      </c>
      <c r="S261" s="274">
        <f t="shared" si="32"/>
        <v>2025</v>
      </c>
      <c r="T261" s="274">
        <f t="shared" si="32"/>
        <v>2026</v>
      </c>
      <c r="U261" s="274">
        <f t="shared" si="32"/>
        <v>2027</v>
      </c>
      <c r="V261" s="274">
        <f t="shared" si="32"/>
        <v>2028</v>
      </c>
      <c r="W261" s="274">
        <f t="shared" si="32"/>
        <v>2029</v>
      </c>
      <c r="X261" s="274">
        <f t="shared" si="32"/>
        <v>2030</v>
      </c>
      <c r="Y261" s="274">
        <f t="shared" si="32"/>
        <v>2031</v>
      </c>
      <c r="Z261" s="274">
        <f t="shared" si="32"/>
        <v>2032</v>
      </c>
      <c r="AA261" s="274">
        <f t="shared" si="32"/>
        <v>2033</v>
      </c>
      <c r="AB261" s="274">
        <f t="shared" si="32"/>
        <v>2034</v>
      </c>
      <c r="AC261" s="274">
        <f t="shared" si="32"/>
        <v>2035</v>
      </c>
      <c r="AD261" s="274">
        <f t="shared" si="32"/>
        <v>2036</v>
      </c>
      <c r="AE261" s="274">
        <f t="shared" si="32"/>
        <v>2037</v>
      </c>
      <c r="AF261" s="274">
        <f t="shared" si="32"/>
        <v>2038</v>
      </c>
      <c r="AG261" s="274">
        <f t="shared" si="32"/>
        <v>2039</v>
      </c>
      <c r="AH261" s="274">
        <f t="shared" si="32"/>
        <v>2040</v>
      </c>
      <c r="AI261" s="274">
        <f t="shared" si="32"/>
        <v>2041</v>
      </c>
      <c r="AJ261" s="274">
        <f t="shared" si="32"/>
        <v>2042</v>
      </c>
      <c r="AK261"/>
    </row>
    <row r="262" spans="1:37" s="8" customFormat="1" ht="13.5">
      <c r="A262" s="485" t="s">
        <v>70</v>
      </c>
      <c r="B262" s="693">
        <f>B229</f>
        <v>2008</v>
      </c>
      <c r="C262" s="693">
        <f aca="true" t="shared" si="33" ref="C262:AJ262">C229</f>
        <v>2009</v>
      </c>
      <c r="D262" s="693">
        <f t="shared" si="33"/>
        <v>2010</v>
      </c>
      <c r="E262" s="694">
        <f t="shared" si="33"/>
        <v>2011</v>
      </c>
      <c r="F262" s="696">
        <f t="shared" si="33"/>
        <v>2012</v>
      </c>
      <c r="G262" s="696">
        <f t="shared" si="33"/>
        <v>2013</v>
      </c>
      <c r="H262" s="696">
        <f t="shared" si="33"/>
        <v>2014</v>
      </c>
      <c r="I262" s="696">
        <f t="shared" si="33"/>
        <v>2015</v>
      </c>
      <c r="J262" s="696">
        <f t="shared" si="33"/>
        <v>2016</v>
      </c>
      <c r="K262" s="696">
        <f t="shared" si="33"/>
        <v>2017</v>
      </c>
      <c r="L262" s="696">
        <f t="shared" si="33"/>
        <v>2018</v>
      </c>
      <c r="M262" s="696">
        <f t="shared" si="33"/>
        <v>2019</v>
      </c>
      <c r="N262" s="696">
        <f t="shared" si="33"/>
        <v>2020</v>
      </c>
      <c r="O262" s="696">
        <f t="shared" si="33"/>
        <v>2021</v>
      </c>
      <c r="P262" s="696">
        <f t="shared" si="33"/>
        <v>2022</v>
      </c>
      <c r="Q262" s="696">
        <f t="shared" si="33"/>
        <v>2023</v>
      </c>
      <c r="R262" s="696">
        <f t="shared" si="33"/>
        <v>2024</v>
      </c>
      <c r="S262" s="696">
        <f t="shared" si="33"/>
        <v>2025</v>
      </c>
      <c r="T262" s="696">
        <f t="shared" si="33"/>
        <v>2026</v>
      </c>
      <c r="U262" s="696">
        <f t="shared" si="33"/>
        <v>2027</v>
      </c>
      <c r="V262" s="696">
        <f t="shared" si="33"/>
        <v>2028</v>
      </c>
      <c r="W262" s="696">
        <f t="shared" si="33"/>
        <v>2029</v>
      </c>
      <c r="X262" s="696">
        <f t="shared" si="33"/>
        <v>2030</v>
      </c>
      <c r="Y262" s="696">
        <f t="shared" si="33"/>
        <v>2031</v>
      </c>
      <c r="Z262" s="696">
        <f t="shared" si="33"/>
        <v>2032</v>
      </c>
      <c r="AA262" s="696">
        <f t="shared" si="33"/>
        <v>2033</v>
      </c>
      <c r="AB262" s="696">
        <f t="shared" si="33"/>
        <v>2034</v>
      </c>
      <c r="AC262" s="696">
        <f t="shared" si="33"/>
        <v>2035</v>
      </c>
      <c r="AD262" s="696">
        <f t="shared" si="33"/>
        <v>2036</v>
      </c>
      <c r="AE262" s="696">
        <f t="shared" si="33"/>
        <v>2037</v>
      </c>
      <c r="AF262" s="696">
        <f t="shared" si="33"/>
        <v>2038</v>
      </c>
      <c r="AG262" s="696">
        <f t="shared" si="33"/>
        <v>2039</v>
      </c>
      <c r="AH262" s="696">
        <f t="shared" si="33"/>
        <v>2040</v>
      </c>
      <c r="AI262" s="696">
        <f t="shared" si="33"/>
        <v>2041</v>
      </c>
      <c r="AJ262" s="696">
        <f t="shared" si="33"/>
        <v>2042</v>
      </c>
      <c r="AK262"/>
    </row>
    <row r="263" spans="1:37" s="8" customFormat="1" ht="32.25" customHeight="1">
      <c r="A263" s="486" t="s">
        <v>412</v>
      </c>
      <c r="B263" s="484"/>
      <c r="C263" s="484"/>
      <c r="D263" s="484"/>
      <c r="E263" s="208"/>
      <c r="F263"/>
      <c r="G263" s="599">
        <v>250</v>
      </c>
      <c r="H263" t="s">
        <v>382</v>
      </c>
      <c r="J263"/>
      <c r="K263"/>
      <c r="L263"/>
      <c r="M263"/>
      <c r="N263"/>
      <c r="O263"/>
      <c r="P263"/>
      <c r="Q263"/>
      <c r="R263"/>
      <c r="S263"/>
      <c r="T263"/>
      <c r="U263"/>
      <c r="V263"/>
      <c r="W263"/>
      <c r="X263"/>
      <c r="Y263"/>
      <c r="Z263"/>
      <c r="AA263"/>
      <c r="AB263"/>
      <c r="AC263"/>
      <c r="AD263"/>
      <c r="AE263"/>
      <c r="AF263"/>
      <c r="AG263"/>
      <c r="AH263" s="156"/>
      <c r="AI263" s="156"/>
      <c r="AJ263"/>
      <c r="AK263"/>
    </row>
    <row r="264" spans="1:37" s="8" customFormat="1" ht="12.75">
      <c r="A264" s="487" t="s">
        <v>385</v>
      </c>
      <c r="B264" s="177">
        <v>1010</v>
      </c>
      <c r="C264" s="181">
        <v>1010</v>
      </c>
      <c r="D264" s="181">
        <v>1010</v>
      </c>
      <c r="E264" s="181">
        <v>1010</v>
      </c>
      <c r="F264" s="181">
        <v>1010</v>
      </c>
      <c r="G264" s="183">
        <f>F264+G263</f>
        <v>1260</v>
      </c>
      <c r="H264" s="438">
        <f>G264</f>
        <v>1260</v>
      </c>
      <c r="I264" s="275">
        <f aca="true" t="shared" si="34" ref="I264:AJ264">H264</f>
        <v>1260</v>
      </c>
      <c r="J264" s="275">
        <f t="shared" si="34"/>
        <v>1260</v>
      </c>
      <c r="K264" s="275">
        <f t="shared" si="34"/>
        <v>1260</v>
      </c>
      <c r="L264" s="275">
        <f t="shared" si="34"/>
        <v>1260</v>
      </c>
      <c r="M264" s="275">
        <f t="shared" si="34"/>
        <v>1260</v>
      </c>
      <c r="N264" s="275">
        <f t="shared" si="34"/>
        <v>1260</v>
      </c>
      <c r="O264" s="275">
        <f t="shared" si="34"/>
        <v>1260</v>
      </c>
      <c r="P264" s="275">
        <f t="shared" si="34"/>
        <v>1260</v>
      </c>
      <c r="Q264" s="275">
        <f t="shared" si="34"/>
        <v>1260</v>
      </c>
      <c r="R264" s="275">
        <f t="shared" si="34"/>
        <v>1260</v>
      </c>
      <c r="S264" s="275">
        <f t="shared" si="34"/>
        <v>1260</v>
      </c>
      <c r="T264" s="275">
        <f t="shared" si="34"/>
        <v>1260</v>
      </c>
      <c r="U264" s="275">
        <f t="shared" si="34"/>
        <v>1260</v>
      </c>
      <c r="V264" s="275">
        <f t="shared" si="34"/>
        <v>1260</v>
      </c>
      <c r="W264" s="275">
        <f t="shared" si="34"/>
        <v>1260</v>
      </c>
      <c r="X264" s="275">
        <f t="shared" si="34"/>
        <v>1260</v>
      </c>
      <c r="Y264" s="275">
        <f t="shared" si="34"/>
        <v>1260</v>
      </c>
      <c r="Z264" s="275">
        <f t="shared" si="34"/>
        <v>1260</v>
      </c>
      <c r="AA264" s="275">
        <f t="shared" si="34"/>
        <v>1260</v>
      </c>
      <c r="AB264" s="275">
        <f t="shared" si="34"/>
        <v>1260</v>
      </c>
      <c r="AC264" s="275">
        <f t="shared" si="34"/>
        <v>1260</v>
      </c>
      <c r="AD264" s="275">
        <f t="shared" si="34"/>
        <v>1260</v>
      </c>
      <c r="AE264" s="275">
        <f t="shared" si="34"/>
        <v>1260</v>
      </c>
      <c r="AF264" s="275">
        <f t="shared" si="34"/>
        <v>1260</v>
      </c>
      <c r="AG264" s="275">
        <f t="shared" si="34"/>
        <v>1260</v>
      </c>
      <c r="AH264" s="275">
        <f t="shared" si="34"/>
        <v>1260</v>
      </c>
      <c r="AI264" s="275">
        <f t="shared" si="34"/>
        <v>1260</v>
      </c>
      <c r="AJ264" s="275">
        <f t="shared" si="34"/>
        <v>1260</v>
      </c>
      <c r="AK264"/>
    </row>
    <row r="265" spans="1:37" s="8" customFormat="1" ht="12.75">
      <c r="A265" s="487" t="s">
        <v>386</v>
      </c>
      <c r="B265" s="180">
        <f aca="true" t="shared" si="35" ref="B265:AJ265">B264/$B$36</f>
        <v>404</v>
      </c>
      <c r="C265" s="183">
        <f t="shared" si="35"/>
        <v>404</v>
      </c>
      <c r="D265" s="180">
        <f t="shared" si="35"/>
        <v>404</v>
      </c>
      <c r="E265" s="180">
        <f t="shared" si="35"/>
        <v>404</v>
      </c>
      <c r="F265" s="180">
        <f>F264/$B$36</f>
        <v>404</v>
      </c>
      <c r="G265" s="180">
        <f t="shared" si="35"/>
        <v>504</v>
      </c>
      <c r="H265" s="180">
        <f t="shared" si="35"/>
        <v>504</v>
      </c>
      <c r="I265" s="180">
        <f t="shared" si="35"/>
        <v>504</v>
      </c>
      <c r="J265" s="180">
        <f t="shared" si="35"/>
        <v>504</v>
      </c>
      <c r="K265" s="180">
        <f t="shared" si="35"/>
        <v>504</v>
      </c>
      <c r="L265" s="180">
        <f t="shared" si="35"/>
        <v>504</v>
      </c>
      <c r="M265" s="180">
        <f t="shared" si="35"/>
        <v>504</v>
      </c>
      <c r="N265" s="180">
        <f t="shared" si="35"/>
        <v>504</v>
      </c>
      <c r="O265" s="180">
        <f t="shared" si="35"/>
        <v>504</v>
      </c>
      <c r="P265" s="180">
        <f t="shared" si="35"/>
        <v>504</v>
      </c>
      <c r="Q265" s="180">
        <f t="shared" si="35"/>
        <v>504</v>
      </c>
      <c r="R265" s="180">
        <f t="shared" si="35"/>
        <v>504</v>
      </c>
      <c r="S265" s="180">
        <f t="shared" si="35"/>
        <v>504</v>
      </c>
      <c r="T265" s="180">
        <f t="shared" si="35"/>
        <v>504</v>
      </c>
      <c r="U265" s="180">
        <f t="shared" si="35"/>
        <v>504</v>
      </c>
      <c r="V265" s="180">
        <f t="shared" si="35"/>
        <v>504</v>
      </c>
      <c r="W265" s="180">
        <f t="shared" si="35"/>
        <v>504</v>
      </c>
      <c r="X265" s="180">
        <f t="shared" si="35"/>
        <v>504</v>
      </c>
      <c r="Y265" s="180">
        <f t="shared" si="35"/>
        <v>504</v>
      </c>
      <c r="Z265" s="180">
        <f t="shared" si="35"/>
        <v>504</v>
      </c>
      <c r="AA265" s="180">
        <f t="shared" si="35"/>
        <v>504</v>
      </c>
      <c r="AB265" s="180">
        <f t="shared" si="35"/>
        <v>504</v>
      </c>
      <c r="AC265" s="180">
        <f t="shared" si="35"/>
        <v>504</v>
      </c>
      <c r="AD265" s="180">
        <f t="shared" si="35"/>
        <v>504</v>
      </c>
      <c r="AE265" s="180">
        <f t="shared" si="35"/>
        <v>504</v>
      </c>
      <c r="AF265" s="180">
        <f t="shared" si="35"/>
        <v>504</v>
      </c>
      <c r="AG265" s="180">
        <f t="shared" si="35"/>
        <v>504</v>
      </c>
      <c r="AH265" s="180">
        <f t="shared" si="35"/>
        <v>504</v>
      </c>
      <c r="AI265" s="180">
        <f t="shared" si="35"/>
        <v>504</v>
      </c>
      <c r="AJ265" s="180">
        <f t="shared" si="35"/>
        <v>504</v>
      </c>
      <c r="AK265"/>
    </row>
    <row r="266" spans="1:37" s="8" customFormat="1" ht="12.75">
      <c r="A266" s="984" t="s">
        <v>547</v>
      </c>
      <c r="B266" s="983">
        <f>B264/B230</f>
        <v>0.6733333333333333</v>
      </c>
      <c r="C266" s="983">
        <f aca="true" t="shared" si="36" ref="C266:AJ266">C264/C230</f>
        <v>0.6733333333333333</v>
      </c>
      <c r="D266" s="983">
        <f t="shared" si="36"/>
        <v>0.6733333333333333</v>
      </c>
      <c r="E266" s="983">
        <f t="shared" si="36"/>
        <v>0.6733333333333333</v>
      </c>
      <c r="F266" s="983">
        <f t="shared" si="36"/>
        <v>0.6733333333333333</v>
      </c>
      <c r="G266" s="983">
        <f t="shared" si="36"/>
        <v>0.84</v>
      </c>
      <c r="H266" s="983">
        <f t="shared" si="36"/>
        <v>0.84</v>
      </c>
      <c r="I266" s="983">
        <f t="shared" si="36"/>
        <v>0.84</v>
      </c>
      <c r="J266" s="983">
        <f t="shared" si="36"/>
        <v>0.84</v>
      </c>
      <c r="K266" s="983">
        <f t="shared" si="36"/>
        <v>0.84</v>
      </c>
      <c r="L266" s="983">
        <f t="shared" si="36"/>
        <v>0.84</v>
      </c>
      <c r="M266" s="983">
        <f t="shared" si="36"/>
        <v>0.84</v>
      </c>
      <c r="N266" s="983">
        <f t="shared" si="36"/>
        <v>0.84</v>
      </c>
      <c r="O266" s="983">
        <f t="shared" si="36"/>
        <v>0.84</v>
      </c>
      <c r="P266" s="983">
        <f t="shared" si="36"/>
        <v>0.84</v>
      </c>
      <c r="Q266" s="983">
        <f t="shared" si="36"/>
        <v>0.84</v>
      </c>
      <c r="R266" s="983">
        <f t="shared" si="36"/>
        <v>0.84</v>
      </c>
      <c r="S266" s="983">
        <f t="shared" si="36"/>
        <v>0.84</v>
      </c>
      <c r="T266" s="983">
        <f t="shared" si="36"/>
        <v>0.84</v>
      </c>
      <c r="U266" s="983">
        <f t="shared" si="36"/>
        <v>0.84</v>
      </c>
      <c r="V266" s="983">
        <f t="shared" si="36"/>
        <v>0.84</v>
      </c>
      <c r="W266" s="983">
        <f t="shared" si="36"/>
        <v>0.84</v>
      </c>
      <c r="X266" s="983">
        <f t="shared" si="36"/>
        <v>0.84</v>
      </c>
      <c r="Y266" s="983">
        <f t="shared" si="36"/>
        <v>0.84</v>
      </c>
      <c r="Z266" s="983">
        <f t="shared" si="36"/>
        <v>0.84</v>
      </c>
      <c r="AA266" s="983">
        <f t="shared" si="36"/>
        <v>0.84</v>
      </c>
      <c r="AB266" s="983">
        <f t="shared" si="36"/>
        <v>0.84</v>
      </c>
      <c r="AC266" s="983">
        <f t="shared" si="36"/>
        <v>0.84</v>
      </c>
      <c r="AD266" s="983">
        <f t="shared" si="36"/>
        <v>0.84</v>
      </c>
      <c r="AE266" s="983">
        <f t="shared" si="36"/>
        <v>0.84</v>
      </c>
      <c r="AF266" s="983">
        <f t="shared" si="36"/>
        <v>0.84</v>
      </c>
      <c r="AG266" s="983">
        <f t="shared" si="36"/>
        <v>0.84</v>
      </c>
      <c r="AH266" s="983">
        <f t="shared" si="36"/>
        <v>0.84</v>
      </c>
      <c r="AI266" s="983">
        <f t="shared" si="36"/>
        <v>0.84</v>
      </c>
      <c r="AJ266" s="983">
        <f t="shared" si="36"/>
        <v>0.84</v>
      </c>
      <c r="AK266"/>
    </row>
    <row r="267" spans="1:37" s="8" customFormat="1" ht="12.75">
      <c r="A267" s="489" t="s">
        <v>402</v>
      </c>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row>
    <row r="268" spans="1:37" s="8" customFormat="1" ht="12.75">
      <c r="A268" s="490" t="s">
        <v>385</v>
      </c>
      <c r="B268" s="180">
        <f aca="true" t="shared" si="37" ref="B268:E269">B264</f>
        <v>1010</v>
      </c>
      <c r="C268" s="180">
        <f t="shared" si="37"/>
        <v>1010</v>
      </c>
      <c r="D268" s="180">
        <f t="shared" si="37"/>
        <v>1010</v>
      </c>
      <c r="E268" s="180">
        <f t="shared" si="37"/>
        <v>1010</v>
      </c>
      <c r="F268" s="180">
        <f>E268</f>
        <v>1010</v>
      </c>
      <c r="G268" s="180">
        <f aca="true" t="shared" si="38" ref="G268:AJ268">F268</f>
        <v>1010</v>
      </c>
      <c r="H268" s="180">
        <f t="shared" si="38"/>
        <v>1010</v>
      </c>
      <c r="I268" s="180">
        <f t="shared" si="38"/>
        <v>1010</v>
      </c>
      <c r="J268" s="180">
        <f t="shared" si="38"/>
        <v>1010</v>
      </c>
      <c r="K268" s="180">
        <f t="shared" si="38"/>
        <v>1010</v>
      </c>
      <c r="L268" s="180">
        <f t="shared" si="38"/>
        <v>1010</v>
      </c>
      <c r="M268" s="180">
        <f t="shared" si="38"/>
        <v>1010</v>
      </c>
      <c r="N268" s="180">
        <f t="shared" si="38"/>
        <v>1010</v>
      </c>
      <c r="O268" s="180">
        <f t="shared" si="38"/>
        <v>1010</v>
      </c>
      <c r="P268" s="180">
        <f t="shared" si="38"/>
        <v>1010</v>
      </c>
      <c r="Q268" s="180">
        <f t="shared" si="38"/>
        <v>1010</v>
      </c>
      <c r="R268" s="180">
        <f t="shared" si="38"/>
        <v>1010</v>
      </c>
      <c r="S268" s="180">
        <f t="shared" si="38"/>
        <v>1010</v>
      </c>
      <c r="T268" s="180">
        <f t="shared" si="38"/>
        <v>1010</v>
      </c>
      <c r="U268" s="180">
        <f t="shared" si="38"/>
        <v>1010</v>
      </c>
      <c r="V268" s="180">
        <f t="shared" si="38"/>
        <v>1010</v>
      </c>
      <c r="W268" s="180">
        <f t="shared" si="38"/>
        <v>1010</v>
      </c>
      <c r="X268" s="180">
        <f t="shared" si="38"/>
        <v>1010</v>
      </c>
      <c r="Y268" s="180">
        <f t="shared" si="38"/>
        <v>1010</v>
      </c>
      <c r="Z268" s="180">
        <f t="shared" si="38"/>
        <v>1010</v>
      </c>
      <c r="AA268" s="180">
        <f t="shared" si="38"/>
        <v>1010</v>
      </c>
      <c r="AB268" s="180">
        <f t="shared" si="38"/>
        <v>1010</v>
      </c>
      <c r="AC268" s="180">
        <f t="shared" si="38"/>
        <v>1010</v>
      </c>
      <c r="AD268" s="180">
        <f t="shared" si="38"/>
        <v>1010</v>
      </c>
      <c r="AE268" s="180">
        <f t="shared" si="38"/>
        <v>1010</v>
      </c>
      <c r="AF268" s="180">
        <f t="shared" si="38"/>
        <v>1010</v>
      </c>
      <c r="AG268" s="180">
        <f t="shared" si="38"/>
        <v>1010</v>
      </c>
      <c r="AH268" s="180">
        <f t="shared" si="38"/>
        <v>1010</v>
      </c>
      <c r="AI268" s="180">
        <f t="shared" si="38"/>
        <v>1010</v>
      </c>
      <c r="AJ268" s="180">
        <f t="shared" si="38"/>
        <v>1010</v>
      </c>
      <c r="AK268"/>
    </row>
    <row r="269" spans="1:37" s="8" customFormat="1" ht="12.75">
      <c r="A269" s="490" t="s">
        <v>386</v>
      </c>
      <c r="B269" s="180">
        <f t="shared" si="37"/>
        <v>404</v>
      </c>
      <c r="C269" s="180">
        <f t="shared" si="37"/>
        <v>404</v>
      </c>
      <c r="D269" s="180">
        <f t="shared" si="37"/>
        <v>404</v>
      </c>
      <c r="E269" s="180">
        <f t="shared" si="37"/>
        <v>404</v>
      </c>
      <c r="F269" s="180">
        <f>F268/$B$36</f>
        <v>404</v>
      </c>
      <c r="G269" s="180">
        <f aca="true" t="shared" si="39" ref="G269:AJ269">G268/$B$36</f>
        <v>404</v>
      </c>
      <c r="H269" s="180">
        <f t="shared" si="39"/>
        <v>404</v>
      </c>
      <c r="I269" s="180">
        <f t="shared" si="39"/>
        <v>404</v>
      </c>
      <c r="J269" s="180">
        <f t="shared" si="39"/>
        <v>404</v>
      </c>
      <c r="K269" s="180">
        <f t="shared" si="39"/>
        <v>404</v>
      </c>
      <c r="L269" s="180">
        <f t="shared" si="39"/>
        <v>404</v>
      </c>
      <c r="M269" s="180">
        <f t="shared" si="39"/>
        <v>404</v>
      </c>
      <c r="N269" s="180">
        <f t="shared" si="39"/>
        <v>404</v>
      </c>
      <c r="O269" s="180">
        <f t="shared" si="39"/>
        <v>404</v>
      </c>
      <c r="P269" s="180">
        <f t="shared" si="39"/>
        <v>404</v>
      </c>
      <c r="Q269" s="180">
        <f t="shared" si="39"/>
        <v>404</v>
      </c>
      <c r="R269" s="180">
        <f t="shared" si="39"/>
        <v>404</v>
      </c>
      <c r="S269" s="180">
        <f t="shared" si="39"/>
        <v>404</v>
      </c>
      <c r="T269" s="180">
        <f t="shared" si="39"/>
        <v>404</v>
      </c>
      <c r="U269" s="180">
        <f t="shared" si="39"/>
        <v>404</v>
      </c>
      <c r="V269" s="180">
        <f t="shared" si="39"/>
        <v>404</v>
      </c>
      <c r="W269" s="180">
        <f t="shared" si="39"/>
        <v>404</v>
      </c>
      <c r="X269" s="180">
        <f t="shared" si="39"/>
        <v>404</v>
      </c>
      <c r="Y269" s="180">
        <f t="shared" si="39"/>
        <v>404</v>
      </c>
      <c r="Z269" s="180">
        <f t="shared" si="39"/>
        <v>404</v>
      </c>
      <c r="AA269" s="180">
        <f t="shared" si="39"/>
        <v>404</v>
      </c>
      <c r="AB269" s="180">
        <f t="shared" si="39"/>
        <v>404</v>
      </c>
      <c r="AC269" s="180">
        <f t="shared" si="39"/>
        <v>404</v>
      </c>
      <c r="AD269" s="180">
        <f t="shared" si="39"/>
        <v>404</v>
      </c>
      <c r="AE269" s="180">
        <f t="shared" si="39"/>
        <v>404</v>
      </c>
      <c r="AF269" s="180">
        <f t="shared" si="39"/>
        <v>404</v>
      </c>
      <c r="AG269" s="180">
        <f t="shared" si="39"/>
        <v>404</v>
      </c>
      <c r="AH269" s="180">
        <f t="shared" si="39"/>
        <v>404</v>
      </c>
      <c r="AI269" s="180">
        <f t="shared" si="39"/>
        <v>404</v>
      </c>
      <c r="AJ269" s="180">
        <f t="shared" si="39"/>
        <v>404</v>
      </c>
      <c r="AK269"/>
    </row>
    <row r="270" spans="1:37" s="8" customFormat="1" ht="12.75">
      <c r="A270" s="491" t="s">
        <v>400</v>
      </c>
      <c r="B270" s="488"/>
      <c r="C270" s="488"/>
      <c r="D270" s="488"/>
      <c r="E270" s="488"/>
      <c r="F270" s="488"/>
      <c r="G270" s="488"/>
      <c r="H270" s="488"/>
      <c r="I270" s="488"/>
      <c r="J270" s="488"/>
      <c r="K270" s="488"/>
      <c r="L270" s="488"/>
      <c r="M270" s="488"/>
      <c r="N270" s="488"/>
      <c r="O270" s="488"/>
      <c r="P270" s="488"/>
      <c r="Q270" s="488"/>
      <c r="R270" s="488"/>
      <c r="S270" s="488"/>
      <c r="T270" s="488"/>
      <c r="U270" s="488"/>
      <c r="V270" s="488"/>
      <c r="W270" s="488"/>
      <c r="X270" s="488"/>
      <c r="Y270" s="488"/>
      <c r="Z270" s="488"/>
      <c r="AA270" s="488"/>
      <c r="AB270" s="488"/>
      <c r="AC270" s="488"/>
      <c r="AD270" s="488"/>
      <c r="AE270" s="488"/>
      <c r="AF270" s="488"/>
      <c r="AG270" s="488"/>
      <c r="AH270" s="488"/>
      <c r="AI270" s="488"/>
      <c r="AJ270" s="488"/>
      <c r="AK270"/>
    </row>
    <row r="271" spans="1:37" s="8" customFormat="1" ht="25.5">
      <c r="A271" s="492" t="s">
        <v>413</v>
      </c>
      <c r="B271" s="272">
        <f>B274*B264*365/1000</f>
        <v>40551.5</v>
      </c>
      <c r="C271" s="272">
        <f aca="true" t="shared" si="40" ref="C271:AJ271">C274*C264*365/1000</f>
        <v>40551.5</v>
      </c>
      <c r="D271" s="272">
        <f t="shared" si="40"/>
        <v>40551.5</v>
      </c>
      <c r="E271" s="272">
        <f t="shared" si="40"/>
        <v>40551.5</v>
      </c>
      <c r="F271" s="272">
        <f t="shared" si="40"/>
        <v>40551.5</v>
      </c>
      <c r="G271" s="272">
        <f t="shared" si="40"/>
        <v>45990</v>
      </c>
      <c r="H271" s="272">
        <f t="shared" si="40"/>
        <v>45990</v>
      </c>
      <c r="I271" s="272">
        <f t="shared" si="40"/>
        <v>45990</v>
      </c>
      <c r="J271" s="272">
        <f t="shared" si="40"/>
        <v>45990</v>
      </c>
      <c r="K271" s="272">
        <f t="shared" si="40"/>
        <v>45990</v>
      </c>
      <c r="L271" s="272">
        <f t="shared" si="40"/>
        <v>45990</v>
      </c>
      <c r="M271" s="272">
        <f t="shared" si="40"/>
        <v>45990</v>
      </c>
      <c r="N271" s="272">
        <f t="shared" si="40"/>
        <v>45990</v>
      </c>
      <c r="O271" s="272">
        <f t="shared" si="40"/>
        <v>45990</v>
      </c>
      <c r="P271" s="272">
        <f t="shared" si="40"/>
        <v>45990</v>
      </c>
      <c r="Q271" s="272">
        <f t="shared" si="40"/>
        <v>45990</v>
      </c>
      <c r="R271" s="272">
        <f t="shared" si="40"/>
        <v>45990</v>
      </c>
      <c r="S271" s="272">
        <f t="shared" si="40"/>
        <v>45990</v>
      </c>
      <c r="T271" s="272">
        <f t="shared" si="40"/>
        <v>45990</v>
      </c>
      <c r="U271" s="272">
        <f t="shared" si="40"/>
        <v>45990</v>
      </c>
      <c r="V271" s="272">
        <f t="shared" si="40"/>
        <v>45990</v>
      </c>
      <c r="W271" s="272">
        <f t="shared" si="40"/>
        <v>45990</v>
      </c>
      <c r="X271" s="272">
        <f t="shared" si="40"/>
        <v>45990</v>
      </c>
      <c r="Y271" s="272">
        <f t="shared" si="40"/>
        <v>45990</v>
      </c>
      <c r="Z271" s="272">
        <f t="shared" si="40"/>
        <v>45990</v>
      </c>
      <c r="AA271" s="272">
        <f t="shared" si="40"/>
        <v>45990</v>
      </c>
      <c r="AB271" s="272">
        <f t="shared" si="40"/>
        <v>45990</v>
      </c>
      <c r="AC271" s="272">
        <f t="shared" si="40"/>
        <v>45990</v>
      </c>
      <c r="AD271" s="272">
        <f t="shared" si="40"/>
        <v>45990</v>
      </c>
      <c r="AE271" s="272">
        <f t="shared" si="40"/>
        <v>45990</v>
      </c>
      <c r="AF271" s="272">
        <f t="shared" si="40"/>
        <v>45990</v>
      </c>
      <c r="AG271" s="272">
        <f t="shared" si="40"/>
        <v>45990</v>
      </c>
      <c r="AH271" s="272">
        <f t="shared" si="40"/>
        <v>45990</v>
      </c>
      <c r="AI271" s="272">
        <f t="shared" si="40"/>
        <v>45990</v>
      </c>
      <c r="AJ271" s="272">
        <f t="shared" si="40"/>
        <v>45990</v>
      </c>
      <c r="AK271"/>
    </row>
    <row r="272" spans="1:37" s="8" customFormat="1" ht="12.75">
      <c r="A272" s="492" t="s">
        <v>443</v>
      </c>
      <c r="B272" s="586">
        <f>B271/365</f>
        <v>111.1</v>
      </c>
      <c r="C272" s="586">
        <f aca="true" t="shared" si="41" ref="C272:AJ272">C271/365</f>
        <v>111.1</v>
      </c>
      <c r="D272" s="586">
        <f t="shared" si="41"/>
        <v>111.1</v>
      </c>
      <c r="E272" s="586">
        <f t="shared" si="41"/>
        <v>111.1</v>
      </c>
      <c r="F272" s="586">
        <f t="shared" si="41"/>
        <v>111.1</v>
      </c>
      <c r="G272" s="586">
        <f t="shared" si="41"/>
        <v>126</v>
      </c>
      <c r="H272" s="586">
        <f t="shared" si="41"/>
        <v>126</v>
      </c>
      <c r="I272" s="586">
        <f t="shared" si="41"/>
        <v>126</v>
      </c>
      <c r="J272" s="586">
        <f t="shared" si="41"/>
        <v>126</v>
      </c>
      <c r="K272" s="586">
        <f t="shared" si="41"/>
        <v>126</v>
      </c>
      <c r="L272" s="586">
        <f t="shared" si="41"/>
        <v>126</v>
      </c>
      <c r="M272" s="586">
        <f t="shared" si="41"/>
        <v>126</v>
      </c>
      <c r="N272" s="586">
        <f t="shared" si="41"/>
        <v>126</v>
      </c>
      <c r="O272" s="586">
        <f t="shared" si="41"/>
        <v>126</v>
      </c>
      <c r="P272" s="586">
        <f t="shared" si="41"/>
        <v>126</v>
      </c>
      <c r="Q272" s="586">
        <f t="shared" si="41"/>
        <v>126</v>
      </c>
      <c r="R272" s="586">
        <f t="shared" si="41"/>
        <v>126</v>
      </c>
      <c r="S272" s="586">
        <f t="shared" si="41"/>
        <v>126</v>
      </c>
      <c r="T272" s="586">
        <f t="shared" si="41"/>
        <v>126</v>
      </c>
      <c r="U272" s="586">
        <f t="shared" si="41"/>
        <v>126</v>
      </c>
      <c r="V272" s="586">
        <f t="shared" si="41"/>
        <v>126</v>
      </c>
      <c r="W272" s="586">
        <f t="shared" si="41"/>
        <v>126</v>
      </c>
      <c r="X272" s="586">
        <f t="shared" si="41"/>
        <v>126</v>
      </c>
      <c r="Y272" s="586">
        <f t="shared" si="41"/>
        <v>126</v>
      </c>
      <c r="Z272" s="586">
        <f t="shared" si="41"/>
        <v>126</v>
      </c>
      <c r="AA272" s="586">
        <f t="shared" si="41"/>
        <v>126</v>
      </c>
      <c r="AB272" s="586">
        <f t="shared" si="41"/>
        <v>126</v>
      </c>
      <c r="AC272" s="586">
        <f t="shared" si="41"/>
        <v>126</v>
      </c>
      <c r="AD272" s="586">
        <f t="shared" si="41"/>
        <v>126</v>
      </c>
      <c r="AE272" s="586">
        <f t="shared" si="41"/>
        <v>126</v>
      </c>
      <c r="AF272" s="586">
        <f t="shared" si="41"/>
        <v>126</v>
      </c>
      <c r="AG272" s="586">
        <f t="shared" si="41"/>
        <v>126</v>
      </c>
      <c r="AH272" s="586">
        <f t="shared" si="41"/>
        <v>126</v>
      </c>
      <c r="AI272" s="586">
        <f t="shared" si="41"/>
        <v>126</v>
      </c>
      <c r="AJ272" s="586">
        <f t="shared" si="41"/>
        <v>126</v>
      </c>
      <c r="AK272"/>
    </row>
    <row r="273" spans="1:37" s="8" customFormat="1" ht="12.75">
      <c r="A273" s="492" t="s">
        <v>383</v>
      </c>
      <c r="B273" s="205">
        <v>0</v>
      </c>
      <c r="C273" s="205">
        <v>0</v>
      </c>
      <c r="D273" s="205">
        <v>0</v>
      </c>
      <c r="E273" s="594">
        <f>D273*(1+'Datu ievade'!E423)</f>
        <v>0</v>
      </c>
      <c r="F273" s="595">
        <f>E273*(1+'Datu ievade'!F423)</f>
        <v>0</v>
      </c>
      <c r="G273" s="595">
        <f>F273*(1+'Datu ievade'!G423)</f>
        <v>0</v>
      </c>
      <c r="H273" s="595">
        <f>G273*(1+'Datu ievade'!H423)</f>
        <v>0</v>
      </c>
      <c r="I273" s="595">
        <f>H273*(1+'Datu ievade'!I423)</f>
        <v>0</v>
      </c>
      <c r="J273" s="595">
        <f>I273*(1+'Datu ievade'!J423)</f>
        <v>0</v>
      </c>
      <c r="K273" s="595">
        <f>J273*(1+'Datu ievade'!K423)</f>
        <v>0</v>
      </c>
      <c r="L273" s="595">
        <f>K273*(1+'Datu ievade'!L423)</f>
        <v>0</v>
      </c>
      <c r="M273" s="595">
        <f>L273*(1+'Datu ievade'!M423)</f>
        <v>0</v>
      </c>
      <c r="N273" s="595">
        <f>M273*(1+'Datu ievade'!N423)</f>
        <v>0</v>
      </c>
      <c r="O273" s="595">
        <f>N273*(1+'Datu ievade'!O423)</f>
        <v>0</v>
      </c>
      <c r="P273" s="595">
        <f>O273*(1+'Datu ievade'!P423)</f>
        <v>0</v>
      </c>
      <c r="Q273" s="595">
        <f>P273*(1+'Datu ievade'!Q423)</f>
        <v>0</v>
      </c>
      <c r="R273" s="595">
        <f>Q273*(1+'Datu ievade'!R423)</f>
        <v>0</v>
      </c>
      <c r="S273" s="595">
        <f>R273*(1+'Datu ievade'!S423)</f>
        <v>0</v>
      </c>
      <c r="T273" s="595">
        <f>S273*(1+'Datu ievade'!T423)</f>
        <v>0</v>
      </c>
      <c r="U273" s="595">
        <f>T273*(1+'Datu ievade'!U423)</f>
        <v>0</v>
      </c>
      <c r="V273" s="595">
        <f>U273*(1+'Datu ievade'!V423)</f>
        <v>0</v>
      </c>
      <c r="W273" s="595">
        <f>V273*(1+'Datu ievade'!W423)</f>
        <v>0</v>
      </c>
      <c r="X273" s="595">
        <f>W273*(1+'Datu ievade'!X423)</f>
        <v>0</v>
      </c>
      <c r="Y273" s="595">
        <f>X273*(1+'Datu ievade'!Y423)</f>
        <v>0</v>
      </c>
      <c r="Z273" s="595">
        <f>Y273*(1+'Datu ievade'!Z423)</f>
        <v>0</v>
      </c>
      <c r="AA273" s="595">
        <f>Z273*(1+'Datu ievade'!AA423)</f>
        <v>0</v>
      </c>
      <c r="AB273" s="595">
        <f>AA273*(1+'Datu ievade'!AB423)</f>
        <v>0</v>
      </c>
      <c r="AC273" s="595">
        <f>AB273*(1+'Datu ievade'!AC423)</f>
        <v>0</v>
      </c>
      <c r="AD273" s="595">
        <f>AC273*(1+'Datu ievade'!AD423)</f>
        <v>0</v>
      </c>
      <c r="AE273" s="595">
        <f>AD273*(1+'Datu ievade'!AE423)</f>
        <v>0</v>
      </c>
      <c r="AF273" s="595">
        <f>AE273*(1+'Datu ievade'!AF423)</f>
        <v>0</v>
      </c>
      <c r="AG273" s="595">
        <f>AF273*(1+'Datu ievade'!AG423)</f>
        <v>0</v>
      </c>
      <c r="AH273" s="595">
        <f>AG273*(1+'Datu ievade'!AH423)</f>
        <v>0</v>
      </c>
      <c r="AI273" s="595">
        <f>AH273*(1+'Datu ievade'!AI423)</f>
        <v>0</v>
      </c>
      <c r="AJ273" s="595">
        <f>AI273*(1+'Datu ievade'!AJ423)</f>
        <v>0</v>
      </c>
      <c r="AK273"/>
    </row>
    <row r="274" spans="1:37" s="8" customFormat="1" ht="12.75">
      <c r="A274" s="493" t="s">
        <v>384</v>
      </c>
      <c r="B274" s="600">
        <v>110</v>
      </c>
      <c r="C274" s="600">
        <v>110</v>
      </c>
      <c r="D274" s="600">
        <v>110</v>
      </c>
      <c r="E274" s="600">
        <v>110</v>
      </c>
      <c r="F274" s="600">
        <v>110</v>
      </c>
      <c r="G274" s="600">
        <v>100</v>
      </c>
      <c r="H274" s="600">
        <v>100</v>
      </c>
      <c r="I274" s="600">
        <v>100</v>
      </c>
      <c r="J274" s="600">
        <v>100</v>
      </c>
      <c r="K274" s="600">
        <v>100</v>
      </c>
      <c r="L274" s="600">
        <v>100</v>
      </c>
      <c r="M274" s="600">
        <v>100</v>
      </c>
      <c r="N274" s="600">
        <v>100</v>
      </c>
      <c r="O274" s="600">
        <v>100</v>
      </c>
      <c r="P274" s="600">
        <v>100</v>
      </c>
      <c r="Q274" s="600">
        <v>100</v>
      </c>
      <c r="R274" s="600">
        <v>100</v>
      </c>
      <c r="S274" s="600">
        <v>100</v>
      </c>
      <c r="T274" s="600">
        <v>100</v>
      </c>
      <c r="U274" s="600">
        <v>100</v>
      </c>
      <c r="V274" s="600">
        <v>100</v>
      </c>
      <c r="W274" s="600">
        <v>100</v>
      </c>
      <c r="X274" s="600">
        <v>100</v>
      </c>
      <c r="Y274" s="600">
        <v>100</v>
      </c>
      <c r="Z274" s="600">
        <v>100</v>
      </c>
      <c r="AA274" s="600">
        <v>100</v>
      </c>
      <c r="AB274" s="600">
        <v>100</v>
      </c>
      <c r="AC274" s="600">
        <v>100</v>
      </c>
      <c r="AD274" s="600">
        <v>100</v>
      </c>
      <c r="AE274" s="600">
        <v>100</v>
      </c>
      <c r="AF274" s="600">
        <v>100</v>
      </c>
      <c r="AG274" s="600">
        <v>100</v>
      </c>
      <c r="AH274" s="600">
        <v>100</v>
      </c>
      <c r="AI274" s="600">
        <v>100</v>
      </c>
      <c r="AJ274" s="600">
        <v>100</v>
      </c>
      <c r="AK274"/>
    </row>
    <row r="275" spans="1:37" s="8" customFormat="1" ht="12.75">
      <c r="A275" s="494" t="s">
        <v>402</v>
      </c>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row>
    <row r="276" spans="1:37" s="8" customFormat="1" ht="25.5">
      <c r="A276" s="496" t="s">
        <v>413</v>
      </c>
      <c r="B276" s="497">
        <f>B278*B268*365/1000</f>
        <v>40551.5</v>
      </c>
      <c r="C276" s="497">
        <f aca="true" t="shared" si="42" ref="C276:AJ276">C278*C268*365/1000</f>
        <v>40551.5</v>
      </c>
      <c r="D276" s="497">
        <f t="shared" si="42"/>
        <v>40551.5</v>
      </c>
      <c r="E276" s="497">
        <f t="shared" si="42"/>
        <v>40551.5</v>
      </c>
      <c r="F276" s="497">
        <f t="shared" si="42"/>
        <v>40551.5</v>
      </c>
      <c r="G276" s="497">
        <f t="shared" si="42"/>
        <v>40551.5</v>
      </c>
      <c r="H276" s="497">
        <f t="shared" si="42"/>
        <v>40551.5</v>
      </c>
      <c r="I276" s="497">
        <f t="shared" si="42"/>
        <v>40551.5</v>
      </c>
      <c r="J276" s="497">
        <f t="shared" si="42"/>
        <v>40551.5</v>
      </c>
      <c r="K276" s="497">
        <f t="shared" si="42"/>
        <v>40551.5</v>
      </c>
      <c r="L276" s="497">
        <f t="shared" si="42"/>
        <v>40551.5</v>
      </c>
      <c r="M276" s="497">
        <f t="shared" si="42"/>
        <v>40551.5</v>
      </c>
      <c r="N276" s="497">
        <f t="shared" si="42"/>
        <v>40551.5</v>
      </c>
      <c r="O276" s="497">
        <f t="shared" si="42"/>
        <v>40551.5</v>
      </c>
      <c r="P276" s="497">
        <f t="shared" si="42"/>
        <v>40551.5</v>
      </c>
      <c r="Q276" s="497">
        <f t="shared" si="42"/>
        <v>40551.5</v>
      </c>
      <c r="R276" s="497">
        <f t="shared" si="42"/>
        <v>40551.5</v>
      </c>
      <c r="S276" s="497">
        <f t="shared" si="42"/>
        <v>40551.5</v>
      </c>
      <c r="T276" s="497">
        <f t="shared" si="42"/>
        <v>40551.5</v>
      </c>
      <c r="U276" s="497">
        <f t="shared" si="42"/>
        <v>40551.5</v>
      </c>
      <c r="V276" s="497">
        <f t="shared" si="42"/>
        <v>40551.5</v>
      </c>
      <c r="W276" s="497">
        <f t="shared" si="42"/>
        <v>40551.5</v>
      </c>
      <c r="X276" s="497">
        <f t="shared" si="42"/>
        <v>40551.5</v>
      </c>
      <c r="Y276" s="497">
        <f t="shared" si="42"/>
        <v>40551.5</v>
      </c>
      <c r="Z276" s="497">
        <f t="shared" si="42"/>
        <v>40551.5</v>
      </c>
      <c r="AA276" s="497">
        <f t="shared" si="42"/>
        <v>40551.5</v>
      </c>
      <c r="AB276" s="497">
        <f t="shared" si="42"/>
        <v>40551.5</v>
      </c>
      <c r="AC276" s="497">
        <f t="shared" si="42"/>
        <v>40551.5</v>
      </c>
      <c r="AD276" s="497">
        <f t="shared" si="42"/>
        <v>40551.5</v>
      </c>
      <c r="AE276" s="497">
        <f t="shared" si="42"/>
        <v>40551.5</v>
      </c>
      <c r="AF276" s="497">
        <f t="shared" si="42"/>
        <v>40551.5</v>
      </c>
      <c r="AG276" s="497">
        <f t="shared" si="42"/>
        <v>40551.5</v>
      </c>
      <c r="AH276" s="497">
        <f t="shared" si="42"/>
        <v>40551.5</v>
      </c>
      <c r="AI276" s="497">
        <f t="shared" si="42"/>
        <v>40551.5</v>
      </c>
      <c r="AJ276" s="497">
        <f t="shared" si="42"/>
        <v>40551.5</v>
      </c>
      <c r="AK276"/>
    </row>
    <row r="277" spans="1:37" s="8" customFormat="1" ht="12.75">
      <c r="A277" s="499" t="s">
        <v>383</v>
      </c>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row>
    <row r="278" spans="1:37" s="8" customFormat="1" ht="12.75">
      <c r="A278" s="495" t="s">
        <v>384</v>
      </c>
      <c r="B278" s="498">
        <f>B274</f>
        <v>110</v>
      </c>
      <c r="C278" s="497">
        <f>C274</f>
        <v>110</v>
      </c>
      <c r="D278" s="497">
        <f>D274</f>
        <v>110</v>
      </c>
      <c r="E278" s="497">
        <f>E274</f>
        <v>110</v>
      </c>
      <c r="F278" s="497">
        <f>E278</f>
        <v>110</v>
      </c>
      <c r="G278" s="497">
        <f aca="true" t="shared" si="43" ref="G278:AJ278">F278</f>
        <v>110</v>
      </c>
      <c r="H278" s="497">
        <f t="shared" si="43"/>
        <v>110</v>
      </c>
      <c r="I278" s="497">
        <f t="shared" si="43"/>
        <v>110</v>
      </c>
      <c r="J278" s="497">
        <f t="shared" si="43"/>
        <v>110</v>
      </c>
      <c r="K278" s="497">
        <f t="shared" si="43"/>
        <v>110</v>
      </c>
      <c r="L278" s="497">
        <f t="shared" si="43"/>
        <v>110</v>
      </c>
      <c r="M278" s="497">
        <f t="shared" si="43"/>
        <v>110</v>
      </c>
      <c r="N278" s="497">
        <f t="shared" si="43"/>
        <v>110</v>
      </c>
      <c r="O278" s="497">
        <f t="shared" si="43"/>
        <v>110</v>
      </c>
      <c r="P278" s="497">
        <f t="shared" si="43"/>
        <v>110</v>
      </c>
      <c r="Q278" s="497">
        <f t="shared" si="43"/>
        <v>110</v>
      </c>
      <c r="R278" s="497">
        <f t="shared" si="43"/>
        <v>110</v>
      </c>
      <c r="S278" s="497">
        <f t="shared" si="43"/>
        <v>110</v>
      </c>
      <c r="T278" s="497">
        <f t="shared" si="43"/>
        <v>110</v>
      </c>
      <c r="U278" s="497">
        <f t="shared" si="43"/>
        <v>110</v>
      </c>
      <c r="V278" s="497">
        <f t="shared" si="43"/>
        <v>110</v>
      </c>
      <c r="W278" s="497">
        <f t="shared" si="43"/>
        <v>110</v>
      </c>
      <c r="X278" s="497">
        <f t="shared" si="43"/>
        <v>110</v>
      </c>
      <c r="Y278" s="497">
        <f t="shared" si="43"/>
        <v>110</v>
      </c>
      <c r="Z278" s="497">
        <f t="shared" si="43"/>
        <v>110</v>
      </c>
      <c r="AA278" s="497">
        <f t="shared" si="43"/>
        <v>110</v>
      </c>
      <c r="AB278" s="497">
        <f t="shared" si="43"/>
        <v>110</v>
      </c>
      <c r="AC278" s="497">
        <f t="shared" si="43"/>
        <v>110</v>
      </c>
      <c r="AD278" s="497">
        <f t="shared" si="43"/>
        <v>110</v>
      </c>
      <c r="AE278" s="497">
        <f t="shared" si="43"/>
        <v>110</v>
      </c>
      <c r="AF278" s="497">
        <f t="shared" si="43"/>
        <v>110</v>
      </c>
      <c r="AG278" s="497">
        <f t="shared" si="43"/>
        <v>110</v>
      </c>
      <c r="AH278" s="497">
        <f t="shared" si="43"/>
        <v>110</v>
      </c>
      <c r="AI278" s="497">
        <f t="shared" si="43"/>
        <v>110</v>
      </c>
      <c r="AJ278" s="497">
        <f t="shared" si="43"/>
        <v>110</v>
      </c>
      <c r="AK278"/>
    </row>
    <row r="279" spans="1:37" s="8" customFormat="1" ht="12.75">
      <c r="A279" s="500" t="s">
        <v>400</v>
      </c>
      <c r="B279" s="497"/>
      <c r="C279" s="497"/>
      <c r="D279" s="497"/>
      <c r="E279" s="497"/>
      <c r="F279" s="497"/>
      <c r="G279" s="497"/>
      <c r="H279" s="497"/>
      <c r="I279" s="497"/>
      <c r="J279" s="497"/>
      <c r="K279" s="497"/>
      <c r="L279" s="497"/>
      <c r="M279" s="497"/>
      <c r="N279" s="497"/>
      <c r="O279" s="497"/>
      <c r="P279" s="497"/>
      <c r="Q279" s="497"/>
      <c r="R279" s="497"/>
      <c r="S279" s="497"/>
      <c r="T279" s="497"/>
      <c r="U279" s="497"/>
      <c r="V279" s="497"/>
      <c r="W279" s="497"/>
      <c r="X279" s="497"/>
      <c r="Y279" s="497"/>
      <c r="Z279" s="497"/>
      <c r="AA279" s="497"/>
      <c r="AB279" s="497"/>
      <c r="AC279" s="497"/>
      <c r="AD279" s="497"/>
      <c r="AE279" s="497"/>
      <c r="AF279" s="497"/>
      <c r="AG279" s="497"/>
      <c r="AH279" s="497"/>
      <c r="AI279" s="497"/>
      <c r="AJ279" s="497"/>
      <c r="AK279"/>
    </row>
    <row r="280" spans="1:37" s="8" customFormat="1" ht="12.75">
      <c r="A280" s="501" t="s">
        <v>414</v>
      </c>
      <c r="B280" s="203">
        <v>4500</v>
      </c>
      <c r="C280" s="203">
        <v>4500</v>
      </c>
      <c r="D280" s="203">
        <v>4500</v>
      </c>
      <c r="E280" s="203">
        <v>4500</v>
      </c>
      <c r="F280" s="203">
        <v>4500</v>
      </c>
      <c r="G280" s="203">
        <v>4500</v>
      </c>
      <c r="H280" s="223">
        <f aca="true" t="shared" si="44" ref="H280:AJ280">G280</f>
        <v>4500</v>
      </c>
      <c r="I280" s="223">
        <f t="shared" si="44"/>
        <v>4500</v>
      </c>
      <c r="J280" s="223">
        <f t="shared" si="44"/>
        <v>4500</v>
      </c>
      <c r="K280" s="223">
        <f t="shared" si="44"/>
        <v>4500</v>
      </c>
      <c r="L280" s="223">
        <f t="shared" si="44"/>
        <v>4500</v>
      </c>
      <c r="M280" s="223">
        <f t="shared" si="44"/>
        <v>4500</v>
      </c>
      <c r="N280" s="223">
        <f t="shared" si="44"/>
        <v>4500</v>
      </c>
      <c r="O280" s="223">
        <f t="shared" si="44"/>
        <v>4500</v>
      </c>
      <c r="P280" s="223">
        <f t="shared" si="44"/>
        <v>4500</v>
      </c>
      <c r="Q280" s="223">
        <f t="shared" si="44"/>
        <v>4500</v>
      </c>
      <c r="R280" s="223">
        <f t="shared" si="44"/>
        <v>4500</v>
      </c>
      <c r="S280" s="223">
        <f t="shared" si="44"/>
        <v>4500</v>
      </c>
      <c r="T280" s="223">
        <f t="shared" si="44"/>
        <v>4500</v>
      </c>
      <c r="U280" s="223">
        <f t="shared" si="44"/>
        <v>4500</v>
      </c>
      <c r="V280" s="223">
        <f t="shared" si="44"/>
        <v>4500</v>
      </c>
      <c r="W280" s="223">
        <f t="shared" si="44"/>
        <v>4500</v>
      </c>
      <c r="X280" s="223">
        <f t="shared" si="44"/>
        <v>4500</v>
      </c>
      <c r="Y280" s="223">
        <f t="shared" si="44"/>
        <v>4500</v>
      </c>
      <c r="Z280" s="223">
        <f t="shared" si="44"/>
        <v>4500</v>
      </c>
      <c r="AA280" s="223">
        <f t="shared" si="44"/>
        <v>4500</v>
      </c>
      <c r="AB280" s="223">
        <f t="shared" si="44"/>
        <v>4500</v>
      </c>
      <c r="AC280" s="223">
        <f t="shared" si="44"/>
        <v>4500</v>
      </c>
      <c r="AD280" s="223">
        <f t="shared" si="44"/>
        <v>4500</v>
      </c>
      <c r="AE280" s="223">
        <f t="shared" si="44"/>
        <v>4500</v>
      </c>
      <c r="AF280" s="223">
        <f t="shared" si="44"/>
        <v>4500</v>
      </c>
      <c r="AG280" s="223">
        <f t="shared" si="44"/>
        <v>4500</v>
      </c>
      <c r="AH280" s="223">
        <f t="shared" si="44"/>
        <v>4500</v>
      </c>
      <c r="AI280" s="223">
        <f t="shared" si="44"/>
        <v>4500</v>
      </c>
      <c r="AJ280" s="223">
        <f t="shared" si="44"/>
        <v>4500</v>
      </c>
      <c r="AK280"/>
    </row>
    <row r="281" spans="1:37" s="8" customFormat="1" ht="12.75">
      <c r="A281" s="501" t="s">
        <v>444</v>
      </c>
      <c r="B281" s="589">
        <f>B280/365</f>
        <v>12.32876712328767</v>
      </c>
      <c r="C281" s="589">
        <f aca="true" t="shared" si="45" ref="C281:AJ281">C280/365</f>
        <v>12.32876712328767</v>
      </c>
      <c r="D281" s="589">
        <f t="shared" si="45"/>
        <v>12.32876712328767</v>
      </c>
      <c r="E281" s="589">
        <f t="shared" si="45"/>
        <v>12.32876712328767</v>
      </c>
      <c r="F281" s="589">
        <f t="shared" si="45"/>
        <v>12.32876712328767</v>
      </c>
      <c r="G281" s="589">
        <f t="shared" si="45"/>
        <v>12.32876712328767</v>
      </c>
      <c r="H281" s="589">
        <f t="shared" si="45"/>
        <v>12.32876712328767</v>
      </c>
      <c r="I281" s="589">
        <f t="shared" si="45"/>
        <v>12.32876712328767</v>
      </c>
      <c r="J281" s="589">
        <f t="shared" si="45"/>
        <v>12.32876712328767</v>
      </c>
      <c r="K281" s="589">
        <f t="shared" si="45"/>
        <v>12.32876712328767</v>
      </c>
      <c r="L281" s="589">
        <f t="shared" si="45"/>
        <v>12.32876712328767</v>
      </c>
      <c r="M281" s="589">
        <f t="shared" si="45"/>
        <v>12.32876712328767</v>
      </c>
      <c r="N281" s="589">
        <f t="shared" si="45"/>
        <v>12.32876712328767</v>
      </c>
      <c r="O281" s="589">
        <f t="shared" si="45"/>
        <v>12.32876712328767</v>
      </c>
      <c r="P281" s="589">
        <f t="shared" si="45"/>
        <v>12.32876712328767</v>
      </c>
      <c r="Q281" s="589">
        <f t="shared" si="45"/>
        <v>12.32876712328767</v>
      </c>
      <c r="R281" s="589">
        <f t="shared" si="45"/>
        <v>12.32876712328767</v>
      </c>
      <c r="S281" s="589">
        <f t="shared" si="45"/>
        <v>12.32876712328767</v>
      </c>
      <c r="T281" s="589">
        <f t="shared" si="45"/>
        <v>12.32876712328767</v>
      </c>
      <c r="U281" s="589">
        <f t="shared" si="45"/>
        <v>12.32876712328767</v>
      </c>
      <c r="V281" s="589">
        <f t="shared" si="45"/>
        <v>12.32876712328767</v>
      </c>
      <c r="W281" s="589">
        <f t="shared" si="45"/>
        <v>12.32876712328767</v>
      </c>
      <c r="X281" s="589">
        <f t="shared" si="45"/>
        <v>12.32876712328767</v>
      </c>
      <c r="Y281" s="589">
        <f t="shared" si="45"/>
        <v>12.32876712328767</v>
      </c>
      <c r="Z281" s="589">
        <f t="shared" si="45"/>
        <v>12.32876712328767</v>
      </c>
      <c r="AA281" s="589">
        <f t="shared" si="45"/>
        <v>12.32876712328767</v>
      </c>
      <c r="AB281" s="589">
        <f t="shared" si="45"/>
        <v>12.32876712328767</v>
      </c>
      <c r="AC281" s="589">
        <f t="shared" si="45"/>
        <v>12.32876712328767</v>
      </c>
      <c r="AD281" s="589">
        <f t="shared" si="45"/>
        <v>12.32876712328767</v>
      </c>
      <c r="AE281" s="589">
        <f t="shared" si="45"/>
        <v>12.32876712328767</v>
      </c>
      <c r="AF281" s="589">
        <f t="shared" si="45"/>
        <v>12.32876712328767</v>
      </c>
      <c r="AG281" s="589">
        <f t="shared" si="45"/>
        <v>12.32876712328767</v>
      </c>
      <c r="AH281" s="589">
        <f t="shared" si="45"/>
        <v>12.32876712328767</v>
      </c>
      <c r="AI281" s="589">
        <f t="shared" si="45"/>
        <v>12.32876712328767</v>
      </c>
      <c r="AJ281" s="589">
        <f t="shared" si="45"/>
        <v>12.32876712328767</v>
      </c>
      <c r="AK281"/>
    </row>
    <row r="282" spans="1:37" s="8" customFormat="1" ht="12.75">
      <c r="A282" s="492" t="s">
        <v>72</v>
      </c>
      <c r="B282" s="205"/>
      <c r="C282" s="205"/>
      <c r="D282" s="205"/>
      <c r="E282" s="439">
        <f>D282*(1+'Datu ievade'!E423)</f>
        <v>0</v>
      </c>
      <c r="F282" s="439">
        <f>E282*(1+'Datu ievade'!F423)</f>
        <v>0</v>
      </c>
      <c r="G282" s="439">
        <f>F282*(1+'Datu ievade'!G423)</f>
        <v>0</v>
      </c>
      <c r="H282" s="48">
        <f>G282*(1+'Datu ievade'!H423)</f>
        <v>0</v>
      </c>
      <c r="I282" s="48">
        <f>H282*(1+'Datu ievade'!I423)</f>
        <v>0</v>
      </c>
      <c r="J282" s="48">
        <f>I282*(1+'Datu ievade'!J423)</f>
        <v>0</v>
      </c>
      <c r="K282" s="48">
        <f>J282*(1+'Datu ievade'!K423)</f>
        <v>0</v>
      </c>
      <c r="L282" s="48">
        <f>K282*(1+'Datu ievade'!L423)</f>
        <v>0</v>
      </c>
      <c r="M282" s="48">
        <f>L282*(1+'Datu ievade'!M423)</f>
        <v>0</v>
      </c>
      <c r="N282" s="48">
        <f>M282*(1+'Datu ievade'!N423)</f>
        <v>0</v>
      </c>
      <c r="O282" s="48">
        <f>N282*(1+'Datu ievade'!O423)</f>
        <v>0</v>
      </c>
      <c r="P282" s="48">
        <f>O282*(1+'Datu ievade'!P423)</f>
        <v>0</v>
      </c>
      <c r="Q282" s="48">
        <f>P282*(1+'Datu ievade'!Q423)</f>
        <v>0</v>
      </c>
      <c r="R282" s="48">
        <f>Q282*(1+'Datu ievade'!R423)</f>
        <v>0</v>
      </c>
      <c r="S282" s="48">
        <f>R282*(1+'Datu ievade'!S423)</f>
        <v>0</v>
      </c>
      <c r="T282" s="48">
        <f>S282*(1+'Datu ievade'!T423)</f>
        <v>0</v>
      </c>
      <c r="U282" s="48">
        <f>T282*(1+'Datu ievade'!U423)</f>
        <v>0</v>
      </c>
      <c r="V282" s="48">
        <f>U282*(1+'Datu ievade'!V423)</f>
        <v>0</v>
      </c>
      <c r="W282" s="48">
        <f>V282*(1+'Datu ievade'!W423)</f>
        <v>0</v>
      </c>
      <c r="X282" s="48">
        <f>W282*(1+'Datu ievade'!X423)</f>
        <v>0</v>
      </c>
      <c r="Y282" s="48">
        <f>X282*(1+'Datu ievade'!Y423)</f>
        <v>0</v>
      </c>
      <c r="Z282" s="48">
        <f>Y282*(1+'Datu ievade'!Z423)</f>
        <v>0</v>
      </c>
      <c r="AA282" s="48">
        <f>Z282*(1+'Datu ievade'!AA423)</f>
        <v>0</v>
      </c>
      <c r="AB282" s="48">
        <f>AA282*(1+'Datu ievade'!AB423)</f>
        <v>0</v>
      </c>
      <c r="AC282" s="48">
        <f>AB282*(1+'Datu ievade'!AC423)</f>
        <v>0</v>
      </c>
      <c r="AD282" s="48">
        <f>AC282*(1+'Datu ievade'!AD423)</f>
        <v>0</v>
      </c>
      <c r="AE282" s="48">
        <f>AD282*(1+'Datu ievade'!AE423)</f>
        <v>0</v>
      </c>
      <c r="AF282" s="48">
        <f>AE282*(1+'Datu ievade'!AF423)</f>
        <v>0</v>
      </c>
      <c r="AG282" s="48">
        <f>AF282*(1+'Datu ievade'!AG423)</f>
        <v>0</v>
      </c>
      <c r="AH282" s="48">
        <f>AG282*(1+'Datu ievade'!AH423)</f>
        <v>0</v>
      </c>
      <c r="AI282" s="48">
        <f>AH282*(1+'Datu ievade'!AI423)</f>
        <v>0</v>
      </c>
      <c r="AJ282" s="48">
        <f>AI282*(1+'Datu ievade'!AJ423)</f>
        <v>0</v>
      </c>
      <c r="AK282"/>
    </row>
    <row r="283" spans="1:37" s="8" customFormat="1" ht="12.75">
      <c r="A283" s="494" t="s">
        <v>402</v>
      </c>
      <c r="B283" s="272"/>
      <c r="C283" s="272"/>
      <c r="D283" s="272"/>
      <c r="E283" s="466"/>
      <c r="F283" s="466"/>
      <c r="G283" s="466"/>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row>
    <row r="284" spans="1:37" s="8" customFormat="1" ht="12.75">
      <c r="A284" s="502" t="s">
        <v>414</v>
      </c>
      <c r="B284" s="272">
        <f>B280</f>
        <v>4500</v>
      </c>
      <c r="C284" s="272">
        <f>C280</f>
        <v>4500</v>
      </c>
      <c r="D284" s="272">
        <f>D280</f>
        <v>4500</v>
      </c>
      <c r="E284" s="466">
        <f>E280</f>
        <v>4500</v>
      </c>
      <c r="F284" s="466">
        <f aca="true" t="shared" si="46" ref="F284:AJ284">F280</f>
        <v>4500</v>
      </c>
      <c r="G284" s="466">
        <f t="shared" si="46"/>
        <v>4500</v>
      </c>
      <c r="H284" s="466">
        <f t="shared" si="46"/>
        <v>4500</v>
      </c>
      <c r="I284" s="466">
        <f t="shared" si="46"/>
        <v>4500</v>
      </c>
      <c r="J284" s="466">
        <f t="shared" si="46"/>
        <v>4500</v>
      </c>
      <c r="K284" s="466">
        <f t="shared" si="46"/>
        <v>4500</v>
      </c>
      <c r="L284" s="466">
        <f t="shared" si="46"/>
        <v>4500</v>
      </c>
      <c r="M284" s="466">
        <f t="shared" si="46"/>
        <v>4500</v>
      </c>
      <c r="N284" s="466">
        <f t="shared" si="46"/>
        <v>4500</v>
      </c>
      <c r="O284" s="466">
        <f t="shared" si="46"/>
        <v>4500</v>
      </c>
      <c r="P284" s="466">
        <f t="shared" si="46"/>
        <v>4500</v>
      </c>
      <c r="Q284" s="466">
        <f t="shared" si="46"/>
        <v>4500</v>
      </c>
      <c r="R284" s="466">
        <f t="shared" si="46"/>
        <v>4500</v>
      </c>
      <c r="S284" s="466">
        <f t="shared" si="46"/>
        <v>4500</v>
      </c>
      <c r="T284" s="466">
        <f t="shared" si="46"/>
        <v>4500</v>
      </c>
      <c r="U284" s="466">
        <f t="shared" si="46"/>
        <v>4500</v>
      </c>
      <c r="V284" s="466">
        <f t="shared" si="46"/>
        <v>4500</v>
      </c>
      <c r="W284" s="466">
        <f t="shared" si="46"/>
        <v>4500</v>
      </c>
      <c r="X284" s="466">
        <f t="shared" si="46"/>
        <v>4500</v>
      </c>
      <c r="Y284" s="466">
        <f t="shared" si="46"/>
        <v>4500</v>
      </c>
      <c r="Z284" s="466">
        <f t="shared" si="46"/>
        <v>4500</v>
      </c>
      <c r="AA284" s="466">
        <f t="shared" si="46"/>
        <v>4500</v>
      </c>
      <c r="AB284" s="466">
        <f t="shared" si="46"/>
        <v>4500</v>
      </c>
      <c r="AC284" s="466">
        <f t="shared" si="46"/>
        <v>4500</v>
      </c>
      <c r="AD284" s="466">
        <f t="shared" si="46"/>
        <v>4500</v>
      </c>
      <c r="AE284" s="466">
        <f t="shared" si="46"/>
        <v>4500</v>
      </c>
      <c r="AF284" s="466">
        <f t="shared" si="46"/>
        <v>4500</v>
      </c>
      <c r="AG284" s="466">
        <f t="shared" si="46"/>
        <v>4500</v>
      </c>
      <c r="AH284" s="466">
        <f t="shared" si="46"/>
        <v>4500</v>
      </c>
      <c r="AI284" s="466">
        <f t="shared" si="46"/>
        <v>4500</v>
      </c>
      <c r="AJ284" s="466">
        <f t="shared" si="46"/>
        <v>4500</v>
      </c>
      <c r="AK284"/>
    </row>
    <row r="285" spans="1:37" s="8" customFormat="1" ht="12.75">
      <c r="A285" s="496" t="s">
        <v>72</v>
      </c>
      <c r="B285" s="205"/>
      <c r="C285" s="205"/>
      <c r="D285" s="205"/>
      <c r="E285" s="439"/>
      <c r="F285" s="439"/>
      <c r="G285" s="439"/>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row>
    <row r="286" spans="1:37" s="8" customFormat="1" ht="12.75">
      <c r="A286" s="503" t="s">
        <v>400</v>
      </c>
      <c r="B286" s="507"/>
      <c r="C286" s="507"/>
      <c r="D286" s="507"/>
      <c r="E286" s="440"/>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c r="AH286" s="156"/>
      <c r="AI286" s="156"/>
      <c r="AJ286"/>
      <c r="AK286"/>
    </row>
    <row r="287" spans="1:37" s="8" customFormat="1" ht="12.75">
      <c r="A287" s="504" t="s">
        <v>445</v>
      </c>
      <c r="B287" s="508">
        <v>3200</v>
      </c>
      <c r="C287" s="508">
        <v>3200</v>
      </c>
      <c r="D287" s="508">
        <v>3200</v>
      </c>
      <c r="E287" s="508">
        <v>3200</v>
      </c>
      <c r="F287" s="508">
        <v>3200</v>
      </c>
      <c r="G287" s="508">
        <v>3200</v>
      </c>
      <c r="H287" s="233">
        <f aca="true" t="shared" si="47" ref="H287:AJ287">G287</f>
        <v>3200</v>
      </c>
      <c r="I287" s="233">
        <f t="shared" si="47"/>
        <v>3200</v>
      </c>
      <c r="J287" s="233">
        <f t="shared" si="47"/>
        <v>3200</v>
      </c>
      <c r="K287" s="233">
        <f t="shared" si="47"/>
        <v>3200</v>
      </c>
      <c r="L287" s="233">
        <f t="shared" si="47"/>
        <v>3200</v>
      </c>
      <c r="M287" s="233">
        <f t="shared" si="47"/>
        <v>3200</v>
      </c>
      <c r="N287" s="233">
        <f t="shared" si="47"/>
        <v>3200</v>
      </c>
      <c r="O287" s="233">
        <f t="shared" si="47"/>
        <v>3200</v>
      </c>
      <c r="P287" s="233">
        <f t="shared" si="47"/>
        <v>3200</v>
      </c>
      <c r="Q287" s="233">
        <f t="shared" si="47"/>
        <v>3200</v>
      </c>
      <c r="R287" s="233">
        <f t="shared" si="47"/>
        <v>3200</v>
      </c>
      <c r="S287" s="233">
        <f t="shared" si="47"/>
        <v>3200</v>
      </c>
      <c r="T287" s="233">
        <f t="shared" si="47"/>
        <v>3200</v>
      </c>
      <c r="U287" s="233">
        <f t="shared" si="47"/>
        <v>3200</v>
      </c>
      <c r="V287" s="233">
        <f t="shared" si="47"/>
        <v>3200</v>
      </c>
      <c r="W287" s="233">
        <f t="shared" si="47"/>
        <v>3200</v>
      </c>
      <c r="X287" s="233">
        <f t="shared" si="47"/>
        <v>3200</v>
      </c>
      <c r="Y287" s="233">
        <f t="shared" si="47"/>
        <v>3200</v>
      </c>
      <c r="Z287" s="233">
        <f t="shared" si="47"/>
        <v>3200</v>
      </c>
      <c r="AA287" s="233">
        <f t="shared" si="47"/>
        <v>3200</v>
      </c>
      <c r="AB287" s="233">
        <f t="shared" si="47"/>
        <v>3200</v>
      </c>
      <c r="AC287" s="233">
        <f t="shared" si="47"/>
        <v>3200</v>
      </c>
      <c r="AD287" s="233">
        <f t="shared" si="47"/>
        <v>3200</v>
      </c>
      <c r="AE287" s="233">
        <f t="shared" si="47"/>
        <v>3200</v>
      </c>
      <c r="AF287" s="233">
        <f t="shared" si="47"/>
        <v>3200</v>
      </c>
      <c r="AG287" s="233">
        <f t="shared" si="47"/>
        <v>3200</v>
      </c>
      <c r="AH287" s="233">
        <f t="shared" si="47"/>
        <v>3200</v>
      </c>
      <c r="AI287" s="233">
        <f t="shared" si="47"/>
        <v>3200</v>
      </c>
      <c r="AJ287" s="233">
        <f t="shared" si="47"/>
        <v>3200</v>
      </c>
      <c r="AK287"/>
    </row>
    <row r="288" spans="1:37" s="8" customFormat="1" ht="12.75">
      <c r="A288" s="504" t="s">
        <v>446</v>
      </c>
      <c r="B288" s="590">
        <f>B287/365</f>
        <v>8.767123287671232</v>
      </c>
      <c r="C288" s="590">
        <f aca="true" t="shared" si="48" ref="C288:AJ288">C287/365</f>
        <v>8.767123287671232</v>
      </c>
      <c r="D288" s="590">
        <f t="shared" si="48"/>
        <v>8.767123287671232</v>
      </c>
      <c r="E288" s="590">
        <f t="shared" si="48"/>
        <v>8.767123287671232</v>
      </c>
      <c r="F288" s="590">
        <f t="shared" si="48"/>
        <v>8.767123287671232</v>
      </c>
      <c r="G288" s="590">
        <f t="shared" si="48"/>
        <v>8.767123287671232</v>
      </c>
      <c r="H288" s="590">
        <f t="shared" si="48"/>
        <v>8.767123287671232</v>
      </c>
      <c r="I288" s="590">
        <f t="shared" si="48"/>
        <v>8.767123287671232</v>
      </c>
      <c r="J288" s="590">
        <f t="shared" si="48"/>
        <v>8.767123287671232</v>
      </c>
      <c r="K288" s="590">
        <f t="shared" si="48"/>
        <v>8.767123287671232</v>
      </c>
      <c r="L288" s="590">
        <f t="shared" si="48"/>
        <v>8.767123287671232</v>
      </c>
      <c r="M288" s="590">
        <f t="shared" si="48"/>
        <v>8.767123287671232</v>
      </c>
      <c r="N288" s="590">
        <f t="shared" si="48"/>
        <v>8.767123287671232</v>
      </c>
      <c r="O288" s="590">
        <f t="shared" si="48"/>
        <v>8.767123287671232</v>
      </c>
      <c r="P288" s="590">
        <f t="shared" si="48"/>
        <v>8.767123287671232</v>
      </c>
      <c r="Q288" s="590">
        <f t="shared" si="48"/>
        <v>8.767123287671232</v>
      </c>
      <c r="R288" s="590">
        <f t="shared" si="48"/>
        <v>8.767123287671232</v>
      </c>
      <c r="S288" s="590">
        <f t="shared" si="48"/>
        <v>8.767123287671232</v>
      </c>
      <c r="T288" s="590">
        <f t="shared" si="48"/>
        <v>8.767123287671232</v>
      </c>
      <c r="U288" s="590">
        <f t="shared" si="48"/>
        <v>8.767123287671232</v>
      </c>
      <c r="V288" s="590">
        <f t="shared" si="48"/>
        <v>8.767123287671232</v>
      </c>
      <c r="W288" s="590">
        <f t="shared" si="48"/>
        <v>8.767123287671232</v>
      </c>
      <c r="X288" s="590">
        <f t="shared" si="48"/>
        <v>8.767123287671232</v>
      </c>
      <c r="Y288" s="590">
        <f t="shared" si="48"/>
        <v>8.767123287671232</v>
      </c>
      <c r="Z288" s="590">
        <f t="shared" si="48"/>
        <v>8.767123287671232</v>
      </c>
      <c r="AA288" s="590">
        <f t="shared" si="48"/>
        <v>8.767123287671232</v>
      </c>
      <c r="AB288" s="590">
        <f t="shared" si="48"/>
        <v>8.767123287671232</v>
      </c>
      <c r="AC288" s="590">
        <f t="shared" si="48"/>
        <v>8.767123287671232</v>
      </c>
      <c r="AD288" s="590">
        <f t="shared" si="48"/>
        <v>8.767123287671232</v>
      </c>
      <c r="AE288" s="590">
        <f t="shared" si="48"/>
        <v>8.767123287671232</v>
      </c>
      <c r="AF288" s="590">
        <f t="shared" si="48"/>
        <v>8.767123287671232</v>
      </c>
      <c r="AG288" s="590">
        <f t="shared" si="48"/>
        <v>8.767123287671232</v>
      </c>
      <c r="AH288" s="590">
        <f t="shared" si="48"/>
        <v>8.767123287671232</v>
      </c>
      <c r="AI288" s="590">
        <f t="shared" si="48"/>
        <v>8.767123287671232</v>
      </c>
      <c r="AJ288" s="590">
        <f t="shared" si="48"/>
        <v>8.767123287671232</v>
      </c>
      <c r="AK288"/>
    </row>
    <row r="289" spans="1:37" s="8" customFormat="1" ht="12.75">
      <c r="A289" s="504" t="s">
        <v>72</v>
      </c>
      <c r="B289" s="508">
        <v>0</v>
      </c>
      <c r="C289" s="508">
        <v>0</v>
      </c>
      <c r="D289" s="508">
        <v>0</v>
      </c>
      <c r="E289" s="509">
        <f>D289*(1+'Datu ievade'!E423)</f>
        <v>0</v>
      </c>
      <c r="F289" s="509">
        <f>E289*(1+'Datu ievade'!F423)</f>
        <v>0</v>
      </c>
      <c r="G289" s="509">
        <f>F289*(1+'Datu ievade'!G423)</f>
        <v>0</v>
      </c>
      <c r="H289" s="233">
        <f>G289*(1+'Datu ievade'!H423)</f>
        <v>0</v>
      </c>
      <c r="I289" s="233">
        <f>H289*(1+'Datu ievade'!I423)</f>
        <v>0</v>
      </c>
      <c r="J289" s="233">
        <f>I289*(1+'Datu ievade'!J423)</f>
        <v>0</v>
      </c>
      <c r="K289" s="233">
        <f>J289*(1+'Datu ievade'!K423)</f>
        <v>0</v>
      </c>
      <c r="L289" s="233">
        <f>K289*(1+'Datu ievade'!L423)</f>
        <v>0</v>
      </c>
      <c r="M289" s="233">
        <f>L289*(1+'Datu ievade'!M423)</f>
        <v>0</v>
      </c>
      <c r="N289" s="233">
        <f>M289*(1+'Datu ievade'!N423)</f>
        <v>0</v>
      </c>
      <c r="O289" s="233">
        <f>N289*(1+'Datu ievade'!O423)</f>
        <v>0</v>
      </c>
      <c r="P289" s="233">
        <f>O289*(1+'Datu ievade'!P423)</f>
        <v>0</v>
      </c>
      <c r="Q289" s="233">
        <f>P289*(1+'Datu ievade'!Q423)</f>
        <v>0</v>
      </c>
      <c r="R289" s="233">
        <f>Q289*(1+'Datu ievade'!R423)</f>
        <v>0</v>
      </c>
      <c r="S289" s="233">
        <f>R289*(1+'Datu ievade'!S423)</f>
        <v>0</v>
      </c>
      <c r="T289" s="233">
        <f>S289*(1+'Datu ievade'!T423)</f>
        <v>0</v>
      </c>
      <c r="U289" s="233">
        <f>T289*(1+'Datu ievade'!U423)</f>
        <v>0</v>
      </c>
      <c r="V289" s="233">
        <f>U289*(1+'Datu ievade'!V423)</f>
        <v>0</v>
      </c>
      <c r="W289" s="233">
        <f>V289*(1+'Datu ievade'!W423)</f>
        <v>0</v>
      </c>
      <c r="X289" s="233">
        <f>W289*(1+'Datu ievade'!X423)</f>
        <v>0</v>
      </c>
      <c r="Y289" s="233">
        <f>X289*(1+'Datu ievade'!Y423)</f>
        <v>0</v>
      </c>
      <c r="Z289" s="233">
        <f>Y289*(1+'Datu ievade'!Z423)</f>
        <v>0</v>
      </c>
      <c r="AA289" s="233">
        <f>Z289*(1+'Datu ievade'!AA423)</f>
        <v>0</v>
      </c>
      <c r="AB289" s="233">
        <f>AA289*(1+'Datu ievade'!AB423)</f>
        <v>0</v>
      </c>
      <c r="AC289" s="233">
        <f>AB289*(1+'Datu ievade'!AC423)</f>
        <v>0</v>
      </c>
      <c r="AD289" s="233">
        <f>AC289*(1+'Datu ievade'!AD423)</f>
        <v>0</v>
      </c>
      <c r="AE289" s="233">
        <f>AD289*(1+'Datu ievade'!AE423)</f>
        <v>0</v>
      </c>
      <c r="AF289" s="233">
        <f>AE289*(1+'Datu ievade'!AF423)</f>
        <v>0</v>
      </c>
      <c r="AG289" s="233">
        <f>AF289*(1+'Datu ievade'!AG423)</f>
        <v>0</v>
      </c>
      <c r="AH289" s="233">
        <f>AG289*(1+'Datu ievade'!AH423)</f>
        <v>0</v>
      </c>
      <c r="AI289" s="233">
        <f>AH289*(1+'Datu ievade'!AI423)</f>
        <v>0</v>
      </c>
      <c r="AJ289" s="233">
        <f>AI289*(1+'Datu ievade'!AJ423)</f>
        <v>0</v>
      </c>
      <c r="AK289"/>
    </row>
    <row r="290" spans="1:37" s="8" customFormat="1" ht="12.75">
      <c r="A290" s="505" t="s">
        <v>402</v>
      </c>
      <c r="B290" s="463"/>
      <c r="C290" s="463"/>
      <c r="D290" s="463"/>
      <c r="E290" s="510"/>
      <c r="F290" s="510"/>
      <c r="G290" s="510"/>
      <c r="H290" s="233"/>
      <c r="I290" s="233"/>
      <c r="J290" s="233"/>
      <c r="K290" s="233"/>
      <c r="L290" s="233"/>
      <c r="M290" s="233"/>
      <c r="N290" s="233"/>
      <c r="O290" s="233"/>
      <c r="P290" s="233"/>
      <c r="Q290" s="233"/>
      <c r="R290" s="233"/>
      <c r="S290" s="233"/>
      <c r="T290" s="233"/>
      <c r="U290" s="233"/>
      <c r="V290" s="233"/>
      <c r="W290" s="233"/>
      <c r="X290" s="233"/>
      <c r="Y290" s="233"/>
      <c r="Z290" s="233"/>
      <c r="AA290" s="233"/>
      <c r="AB290" s="233"/>
      <c r="AC290" s="233"/>
      <c r="AD290" s="233"/>
      <c r="AE290" s="233"/>
      <c r="AF290" s="233"/>
      <c r="AG290" s="233"/>
      <c r="AH290" s="233"/>
      <c r="AI290" s="233"/>
      <c r="AJ290" s="233"/>
      <c r="AK290"/>
    </row>
    <row r="291" spans="1:37" s="8" customFormat="1" ht="12.75">
      <c r="A291" s="506" t="s">
        <v>445</v>
      </c>
      <c r="B291" s="463">
        <f>B287</f>
        <v>3200</v>
      </c>
      <c r="C291" s="463">
        <f>C287</f>
        <v>3200</v>
      </c>
      <c r="D291" s="463">
        <f>D287</f>
        <v>3200</v>
      </c>
      <c r="E291" s="510">
        <f>E287</f>
        <v>3200</v>
      </c>
      <c r="F291" s="510">
        <f aca="true" t="shared" si="49" ref="F291:AJ291">F287</f>
        <v>3200</v>
      </c>
      <c r="G291" s="510">
        <f t="shared" si="49"/>
        <v>3200</v>
      </c>
      <c r="H291" s="510">
        <f t="shared" si="49"/>
        <v>3200</v>
      </c>
      <c r="I291" s="510">
        <f t="shared" si="49"/>
        <v>3200</v>
      </c>
      <c r="J291" s="510">
        <f t="shared" si="49"/>
        <v>3200</v>
      </c>
      <c r="K291" s="510">
        <f t="shared" si="49"/>
        <v>3200</v>
      </c>
      <c r="L291" s="510">
        <f t="shared" si="49"/>
        <v>3200</v>
      </c>
      <c r="M291" s="510">
        <f t="shared" si="49"/>
        <v>3200</v>
      </c>
      <c r="N291" s="510">
        <f t="shared" si="49"/>
        <v>3200</v>
      </c>
      <c r="O291" s="510">
        <f t="shared" si="49"/>
        <v>3200</v>
      </c>
      <c r="P291" s="510">
        <f t="shared" si="49"/>
        <v>3200</v>
      </c>
      <c r="Q291" s="510">
        <f t="shared" si="49"/>
        <v>3200</v>
      </c>
      <c r="R291" s="510">
        <f t="shared" si="49"/>
        <v>3200</v>
      </c>
      <c r="S291" s="510">
        <f t="shared" si="49"/>
        <v>3200</v>
      </c>
      <c r="T291" s="510">
        <f t="shared" si="49"/>
        <v>3200</v>
      </c>
      <c r="U291" s="510">
        <f t="shared" si="49"/>
        <v>3200</v>
      </c>
      <c r="V291" s="510">
        <f t="shared" si="49"/>
        <v>3200</v>
      </c>
      <c r="W291" s="510">
        <f t="shared" si="49"/>
        <v>3200</v>
      </c>
      <c r="X291" s="510">
        <f t="shared" si="49"/>
        <v>3200</v>
      </c>
      <c r="Y291" s="510">
        <f t="shared" si="49"/>
        <v>3200</v>
      </c>
      <c r="Z291" s="510">
        <f t="shared" si="49"/>
        <v>3200</v>
      </c>
      <c r="AA291" s="510">
        <f t="shared" si="49"/>
        <v>3200</v>
      </c>
      <c r="AB291" s="510">
        <f t="shared" si="49"/>
        <v>3200</v>
      </c>
      <c r="AC291" s="510">
        <f t="shared" si="49"/>
        <v>3200</v>
      </c>
      <c r="AD291" s="510">
        <f t="shared" si="49"/>
        <v>3200</v>
      </c>
      <c r="AE291" s="510">
        <f t="shared" si="49"/>
        <v>3200</v>
      </c>
      <c r="AF291" s="510">
        <f t="shared" si="49"/>
        <v>3200</v>
      </c>
      <c r="AG291" s="510">
        <f t="shared" si="49"/>
        <v>3200</v>
      </c>
      <c r="AH291" s="510">
        <f t="shared" si="49"/>
        <v>3200</v>
      </c>
      <c r="AI291" s="510">
        <f t="shared" si="49"/>
        <v>3200</v>
      </c>
      <c r="AJ291" s="510">
        <f t="shared" si="49"/>
        <v>3200</v>
      </c>
      <c r="AK291"/>
    </row>
    <row r="292" spans="1:37" s="8" customFormat="1" ht="12.75">
      <c r="A292" s="506" t="s">
        <v>72</v>
      </c>
      <c r="B292" s="508"/>
      <c r="C292" s="508"/>
      <c r="D292" s="508"/>
      <c r="E292" s="509"/>
      <c r="F292" s="509"/>
      <c r="G292" s="509"/>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3"/>
      <c r="AD292" s="233"/>
      <c r="AE292" s="233"/>
      <c r="AF292" s="233"/>
      <c r="AG292" s="233"/>
      <c r="AH292" s="233"/>
      <c r="AI292" s="233"/>
      <c r="AJ292" s="233"/>
      <c r="AK292"/>
    </row>
    <row r="293" spans="1:37" s="8" customFormat="1" ht="25.5">
      <c r="A293" s="486" t="s">
        <v>417</v>
      </c>
      <c r="B293" s="276">
        <f aca="true" t="shared" si="50" ref="B293:AJ293">B287+B280+B271</f>
        <v>48251.5</v>
      </c>
      <c r="C293" s="276">
        <f t="shared" si="50"/>
        <v>48251.5</v>
      </c>
      <c r="D293" s="276">
        <f t="shared" si="50"/>
        <v>48251.5</v>
      </c>
      <c r="E293" s="276">
        <f t="shared" si="50"/>
        <v>48251.5</v>
      </c>
      <c r="F293" s="276">
        <f t="shared" si="50"/>
        <v>48251.5</v>
      </c>
      <c r="G293" s="276">
        <f t="shared" si="50"/>
        <v>53690</v>
      </c>
      <c r="H293" s="276">
        <f t="shared" si="50"/>
        <v>53690</v>
      </c>
      <c r="I293" s="276">
        <f t="shared" si="50"/>
        <v>53690</v>
      </c>
      <c r="J293" s="276">
        <f t="shared" si="50"/>
        <v>53690</v>
      </c>
      <c r="K293" s="276">
        <f t="shared" si="50"/>
        <v>53690</v>
      </c>
      <c r="L293" s="276">
        <f t="shared" si="50"/>
        <v>53690</v>
      </c>
      <c r="M293" s="276">
        <f t="shared" si="50"/>
        <v>53690</v>
      </c>
      <c r="N293" s="276">
        <f t="shared" si="50"/>
        <v>53690</v>
      </c>
      <c r="O293" s="276">
        <f t="shared" si="50"/>
        <v>53690</v>
      </c>
      <c r="P293" s="276">
        <f t="shared" si="50"/>
        <v>53690</v>
      </c>
      <c r="Q293" s="276">
        <f t="shared" si="50"/>
        <v>53690</v>
      </c>
      <c r="R293" s="276">
        <f t="shared" si="50"/>
        <v>53690</v>
      </c>
      <c r="S293" s="276">
        <f t="shared" si="50"/>
        <v>53690</v>
      </c>
      <c r="T293" s="276">
        <f t="shared" si="50"/>
        <v>53690</v>
      </c>
      <c r="U293" s="276">
        <f t="shared" si="50"/>
        <v>53690</v>
      </c>
      <c r="V293" s="276">
        <f t="shared" si="50"/>
        <v>53690</v>
      </c>
      <c r="W293" s="276">
        <f t="shared" si="50"/>
        <v>53690</v>
      </c>
      <c r="X293" s="276">
        <f t="shared" si="50"/>
        <v>53690</v>
      </c>
      <c r="Y293" s="276">
        <f t="shared" si="50"/>
        <v>53690</v>
      </c>
      <c r="Z293" s="276">
        <f t="shared" si="50"/>
        <v>53690</v>
      </c>
      <c r="AA293" s="276">
        <f t="shared" si="50"/>
        <v>53690</v>
      </c>
      <c r="AB293" s="276">
        <f t="shared" si="50"/>
        <v>53690</v>
      </c>
      <c r="AC293" s="276">
        <f t="shared" si="50"/>
        <v>53690</v>
      </c>
      <c r="AD293" s="276">
        <f t="shared" si="50"/>
        <v>53690</v>
      </c>
      <c r="AE293" s="276">
        <f t="shared" si="50"/>
        <v>53690</v>
      </c>
      <c r="AF293" s="276">
        <f t="shared" si="50"/>
        <v>53690</v>
      </c>
      <c r="AG293" s="276">
        <f t="shared" si="50"/>
        <v>53690</v>
      </c>
      <c r="AH293" s="276">
        <f t="shared" si="50"/>
        <v>53690</v>
      </c>
      <c r="AI293" s="276">
        <f t="shared" si="50"/>
        <v>53690</v>
      </c>
      <c r="AJ293" s="276">
        <f t="shared" si="50"/>
        <v>53690</v>
      </c>
      <c r="AK293"/>
    </row>
    <row r="294" spans="1:37" s="8" customFormat="1" ht="25.5">
      <c r="A294" s="511" t="s">
        <v>415</v>
      </c>
      <c r="B294" s="276">
        <f>B276+B284+B291</f>
        <v>48251.5</v>
      </c>
      <c r="C294" s="276">
        <f aca="true" t="shared" si="51" ref="C294:AJ294">C276+C284+C291</f>
        <v>48251.5</v>
      </c>
      <c r="D294" s="276">
        <f t="shared" si="51"/>
        <v>48251.5</v>
      </c>
      <c r="E294" s="276">
        <f t="shared" si="51"/>
        <v>48251.5</v>
      </c>
      <c r="F294" s="276">
        <f t="shared" si="51"/>
        <v>48251.5</v>
      </c>
      <c r="G294" s="276">
        <f t="shared" si="51"/>
        <v>48251.5</v>
      </c>
      <c r="H294" s="276">
        <f t="shared" si="51"/>
        <v>48251.5</v>
      </c>
      <c r="I294" s="276">
        <f t="shared" si="51"/>
        <v>48251.5</v>
      </c>
      <c r="J294" s="276">
        <f t="shared" si="51"/>
        <v>48251.5</v>
      </c>
      <c r="K294" s="276">
        <f t="shared" si="51"/>
        <v>48251.5</v>
      </c>
      <c r="L294" s="276">
        <f t="shared" si="51"/>
        <v>48251.5</v>
      </c>
      <c r="M294" s="276">
        <f t="shared" si="51"/>
        <v>48251.5</v>
      </c>
      <c r="N294" s="276">
        <f t="shared" si="51"/>
        <v>48251.5</v>
      </c>
      <c r="O294" s="276">
        <f t="shared" si="51"/>
        <v>48251.5</v>
      </c>
      <c r="P294" s="276">
        <f t="shared" si="51"/>
        <v>48251.5</v>
      </c>
      <c r="Q294" s="276">
        <f t="shared" si="51"/>
        <v>48251.5</v>
      </c>
      <c r="R294" s="276">
        <f t="shared" si="51"/>
        <v>48251.5</v>
      </c>
      <c r="S294" s="276">
        <f t="shared" si="51"/>
        <v>48251.5</v>
      </c>
      <c r="T294" s="276">
        <f t="shared" si="51"/>
        <v>48251.5</v>
      </c>
      <c r="U294" s="276">
        <f t="shared" si="51"/>
        <v>48251.5</v>
      </c>
      <c r="V294" s="276">
        <f t="shared" si="51"/>
        <v>48251.5</v>
      </c>
      <c r="W294" s="276">
        <f t="shared" si="51"/>
        <v>48251.5</v>
      </c>
      <c r="X294" s="276">
        <f t="shared" si="51"/>
        <v>48251.5</v>
      </c>
      <c r="Y294" s="276">
        <f t="shared" si="51"/>
        <v>48251.5</v>
      </c>
      <c r="Z294" s="276">
        <f t="shared" si="51"/>
        <v>48251.5</v>
      </c>
      <c r="AA294" s="276">
        <f t="shared" si="51"/>
        <v>48251.5</v>
      </c>
      <c r="AB294" s="276">
        <f t="shared" si="51"/>
        <v>48251.5</v>
      </c>
      <c r="AC294" s="276">
        <f t="shared" si="51"/>
        <v>48251.5</v>
      </c>
      <c r="AD294" s="276">
        <f t="shared" si="51"/>
        <v>48251.5</v>
      </c>
      <c r="AE294" s="276">
        <f t="shared" si="51"/>
        <v>48251.5</v>
      </c>
      <c r="AF294" s="276">
        <f t="shared" si="51"/>
        <v>48251.5</v>
      </c>
      <c r="AG294" s="276">
        <f t="shared" si="51"/>
        <v>48251.5</v>
      </c>
      <c r="AH294" s="276">
        <f t="shared" si="51"/>
        <v>48251.5</v>
      </c>
      <c r="AI294" s="276">
        <f t="shared" si="51"/>
        <v>48251.5</v>
      </c>
      <c r="AJ294" s="276">
        <f t="shared" si="51"/>
        <v>48251.5</v>
      </c>
      <c r="AK294"/>
    </row>
    <row r="295" spans="1:36" s="8" customFormat="1" ht="14.25">
      <c r="A295" s="53" t="s">
        <v>73</v>
      </c>
      <c r="B295" s="512">
        <v>0.02</v>
      </c>
      <c r="C295" s="512">
        <v>0.02</v>
      </c>
      <c r="D295" s="512">
        <v>0.03</v>
      </c>
      <c r="E295" s="512">
        <v>0.03</v>
      </c>
      <c r="F295" s="512">
        <v>0.03</v>
      </c>
      <c r="G295" s="512">
        <v>0.04</v>
      </c>
      <c r="H295" s="512">
        <f aca="true" t="shared" si="52" ref="H295:AJ295">G295</f>
        <v>0.04</v>
      </c>
      <c r="I295" s="512">
        <f>H295</f>
        <v>0.04</v>
      </c>
      <c r="J295" s="512">
        <f t="shared" si="52"/>
        <v>0.04</v>
      </c>
      <c r="K295" s="512">
        <v>0.04</v>
      </c>
      <c r="L295" s="512">
        <f t="shared" si="52"/>
        <v>0.04</v>
      </c>
      <c r="M295" s="512">
        <f t="shared" si="52"/>
        <v>0.04</v>
      </c>
      <c r="N295" s="512">
        <f>M295</f>
        <v>0.04</v>
      </c>
      <c r="O295" s="512">
        <v>0.03</v>
      </c>
      <c r="P295" s="512">
        <f t="shared" si="52"/>
        <v>0.03</v>
      </c>
      <c r="Q295" s="512">
        <v>0.03</v>
      </c>
      <c r="R295" s="512">
        <f t="shared" si="52"/>
        <v>0.03</v>
      </c>
      <c r="S295" s="512">
        <v>0.03</v>
      </c>
      <c r="T295" s="512">
        <f t="shared" si="52"/>
        <v>0.03</v>
      </c>
      <c r="U295" s="512">
        <f t="shared" si="52"/>
        <v>0.03</v>
      </c>
      <c r="V295" s="512">
        <f t="shared" si="52"/>
        <v>0.03</v>
      </c>
      <c r="W295" s="512">
        <f t="shared" si="52"/>
        <v>0.03</v>
      </c>
      <c r="X295" s="512">
        <f t="shared" si="52"/>
        <v>0.03</v>
      </c>
      <c r="Y295" s="512">
        <v>0.03</v>
      </c>
      <c r="Z295" s="512">
        <f t="shared" si="52"/>
        <v>0.03</v>
      </c>
      <c r="AA295" s="512">
        <f t="shared" si="52"/>
        <v>0.03</v>
      </c>
      <c r="AB295" s="512">
        <f>AA295</f>
        <v>0.03</v>
      </c>
      <c r="AC295" s="512">
        <f t="shared" si="52"/>
        <v>0.03</v>
      </c>
      <c r="AD295" s="512">
        <f t="shared" si="52"/>
        <v>0.03</v>
      </c>
      <c r="AE295" s="512">
        <f t="shared" si="52"/>
        <v>0.03</v>
      </c>
      <c r="AF295" s="512">
        <f t="shared" si="52"/>
        <v>0.03</v>
      </c>
      <c r="AG295" s="605">
        <f t="shared" si="52"/>
        <v>0.03</v>
      </c>
      <c r="AH295" s="605">
        <f t="shared" si="52"/>
        <v>0.03</v>
      </c>
      <c r="AI295" s="605">
        <f>AH295</f>
        <v>0.03</v>
      </c>
      <c r="AJ295" s="605">
        <f t="shared" si="52"/>
        <v>0.03</v>
      </c>
    </row>
    <row r="296" spans="34:36" ht="12.75">
      <c r="AH296" s="245"/>
      <c r="AI296" s="245"/>
      <c r="AJ296"/>
    </row>
    <row r="297" spans="1:36" ht="28.5">
      <c r="A297" s="53" t="s">
        <v>74</v>
      </c>
      <c r="B297" s="583"/>
      <c r="C297" s="583"/>
      <c r="D297" s="583"/>
      <c r="E297" s="583">
        <v>20000</v>
      </c>
      <c r="F297" s="583">
        <v>20000</v>
      </c>
      <c r="G297" s="583">
        <v>15000</v>
      </c>
      <c r="H297" s="583">
        <v>0</v>
      </c>
      <c r="I297" s="583">
        <v>0</v>
      </c>
      <c r="J297" s="583">
        <v>0</v>
      </c>
      <c r="AH297" s="245"/>
      <c r="AI297" s="245"/>
      <c r="AJ297"/>
    </row>
    <row r="298" spans="1:36" ht="15.75">
      <c r="A298" s="582" t="s">
        <v>436</v>
      </c>
      <c r="B298" s="584"/>
      <c r="C298" s="584"/>
      <c r="D298" s="585">
        <f>D297</f>
        <v>0</v>
      </c>
      <c r="E298" s="585">
        <f aca="true" t="shared" si="53" ref="E298:J298">B144+E297+B99+B103</f>
        <v>65050</v>
      </c>
      <c r="F298" s="585">
        <f t="shared" si="53"/>
        <v>20000</v>
      </c>
      <c r="G298" s="585">
        <f t="shared" si="53"/>
        <v>15000</v>
      </c>
      <c r="H298" s="585">
        <f t="shared" si="53"/>
        <v>0</v>
      </c>
      <c r="I298" s="585">
        <f t="shared" si="53"/>
        <v>0</v>
      </c>
      <c r="J298" s="585">
        <f t="shared" si="53"/>
        <v>0</v>
      </c>
      <c r="AH298" s="245"/>
      <c r="AI298" s="245"/>
      <c r="AJ298"/>
    </row>
    <row r="299" spans="1:35" s="8" customFormat="1" ht="31.5">
      <c r="A299" s="56" t="s">
        <v>75</v>
      </c>
      <c r="B299" s="119"/>
      <c r="C299" s="119"/>
      <c r="D299" s="119"/>
      <c r="E299" s="119"/>
      <c r="F299" s="119"/>
      <c r="G299" s="119"/>
      <c r="H299" s="119"/>
      <c r="I299" s="119"/>
      <c r="J299" s="119"/>
      <c r="K299" s="57"/>
      <c r="L299" s="57"/>
      <c r="M299" s="57"/>
      <c r="N299" s="57"/>
      <c r="O299" s="57"/>
      <c r="P299" s="57"/>
      <c r="Q299" s="57"/>
      <c r="R299" s="57"/>
      <c r="S299" s="57"/>
      <c r="T299" s="57"/>
      <c r="U299" s="57"/>
      <c r="V299" s="57"/>
      <c r="W299" s="57"/>
      <c r="X299" s="57"/>
      <c r="Y299" s="57"/>
      <c r="Z299" s="16"/>
      <c r="AA299" s="16"/>
      <c r="AB299" s="16"/>
      <c r="AC299" s="16"/>
      <c r="AD299" s="16"/>
      <c r="AE299" s="16"/>
      <c r="AF299" s="16"/>
      <c r="AG299" s="57"/>
      <c r="AH299" s="6"/>
      <c r="AI299" s="6"/>
    </row>
    <row r="300" spans="1:35" s="8" customFormat="1" ht="12.75">
      <c r="A300" s="58" t="s">
        <v>76</v>
      </c>
      <c r="B300" s="959">
        <f>B29</f>
        <v>2011</v>
      </c>
      <c r="C300" s="960">
        <f>B300+1</f>
        <v>2012</v>
      </c>
      <c r="D300" s="55">
        <f aca="true" t="shared" si="54" ref="D300:AG300">C300+1</f>
        <v>2013</v>
      </c>
      <c r="E300" s="55">
        <f t="shared" si="54"/>
        <v>2014</v>
      </c>
      <c r="F300" s="55">
        <f t="shared" si="54"/>
        <v>2015</v>
      </c>
      <c r="G300" s="55">
        <f t="shared" si="54"/>
        <v>2016</v>
      </c>
      <c r="H300" s="55">
        <f t="shared" si="54"/>
        <v>2017</v>
      </c>
      <c r="I300" s="55">
        <f t="shared" si="54"/>
        <v>2018</v>
      </c>
      <c r="J300" s="55">
        <f t="shared" si="54"/>
        <v>2019</v>
      </c>
      <c r="K300" s="55">
        <f t="shared" si="54"/>
        <v>2020</v>
      </c>
      <c r="L300" s="55">
        <f t="shared" si="54"/>
        <v>2021</v>
      </c>
      <c r="M300" s="55">
        <f t="shared" si="54"/>
        <v>2022</v>
      </c>
      <c r="N300" s="55">
        <f t="shared" si="54"/>
        <v>2023</v>
      </c>
      <c r="O300" s="55">
        <f t="shared" si="54"/>
        <v>2024</v>
      </c>
      <c r="P300" s="55">
        <f t="shared" si="54"/>
        <v>2025</v>
      </c>
      <c r="Q300" s="55">
        <f t="shared" si="54"/>
        <v>2026</v>
      </c>
      <c r="R300" s="55">
        <f t="shared" si="54"/>
        <v>2027</v>
      </c>
      <c r="S300" s="55">
        <f t="shared" si="54"/>
        <v>2028</v>
      </c>
      <c r="T300" s="55">
        <f t="shared" si="54"/>
        <v>2029</v>
      </c>
      <c r="U300" s="55">
        <f t="shared" si="54"/>
        <v>2030</v>
      </c>
      <c r="V300" s="55">
        <f t="shared" si="54"/>
        <v>2031</v>
      </c>
      <c r="W300" s="55">
        <f t="shared" si="54"/>
        <v>2032</v>
      </c>
      <c r="X300" s="55">
        <f t="shared" si="54"/>
        <v>2033</v>
      </c>
      <c r="Y300" s="55">
        <f t="shared" si="54"/>
        <v>2034</v>
      </c>
      <c r="Z300" s="55">
        <f t="shared" si="54"/>
        <v>2035</v>
      </c>
      <c r="AA300" s="55">
        <f t="shared" si="54"/>
        <v>2036</v>
      </c>
      <c r="AB300" s="55">
        <f t="shared" si="54"/>
        <v>2037</v>
      </c>
      <c r="AC300" s="55">
        <f t="shared" si="54"/>
        <v>2038</v>
      </c>
      <c r="AD300" s="55">
        <f t="shared" si="54"/>
        <v>2039</v>
      </c>
      <c r="AE300" s="55">
        <f t="shared" si="54"/>
        <v>2040</v>
      </c>
      <c r="AF300" s="55">
        <f t="shared" si="54"/>
        <v>2041</v>
      </c>
      <c r="AG300" s="55">
        <f t="shared" si="54"/>
        <v>2042</v>
      </c>
      <c r="AH300" s="244"/>
      <c r="AI300" s="244"/>
    </row>
    <row r="301" spans="1:35" s="60" customFormat="1" ht="12.75">
      <c r="A301" s="285" t="s">
        <v>416</v>
      </c>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239"/>
      <c r="AH301" s="246"/>
      <c r="AI301" s="246"/>
    </row>
    <row r="302" spans="1:35" s="60" customFormat="1" ht="12.75">
      <c r="A302" s="59"/>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239"/>
      <c r="AH302" s="246"/>
      <c r="AI302" s="246"/>
    </row>
    <row r="303" spans="1:35" s="60" customFormat="1" ht="12.75">
      <c r="A303" s="59"/>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239"/>
      <c r="AH303" s="246"/>
      <c r="AI303" s="246"/>
    </row>
    <row r="304" spans="1:35" s="60" customFormat="1" ht="12.75">
      <c r="A304" s="59"/>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239"/>
      <c r="AH304" s="246"/>
      <c r="AI304" s="246"/>
    </row>
    <row r="305" spans="1:35" s="60" customFormat="1" ht="12.75">
      <c r="A305" s="59"/>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239"/>
      <c r="AH305" s="246"/>
      <c r="AI305" s="246"/>
    </row>
    <row r="306" spans="1:35" s="60" customFormat="1" ht="12.75">
      <c r="A306" s="59"/>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239"/>
      <c r="AH306" s="246"/>
      <c r="AI306" s="246"/>
    </row>
    <row r="307" spans="1:35" s="60" customFormat="1" ht="12.75">
      <c r="A307" s="59"/>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239"/>
      <c r="AH307" s="246"/>
      <c r="AI307" s="246"/>
    </row>
    <row r="308" spans="1:35" s="60" customFormat="1" ht="12.75">
      <c r="A308" s="59"/>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239"/>
      <c r="AH308" s="246"/>
      <c r="AI308" s="246"/>
    </row>
    <row r="309" spans="1:35" s="60" customFormat="1" ht="12.75">
      <c r="A309" s="59"/>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239"/>
      <c r="AH309" s="246"/>
      <c r="AI309" s="246"/>
    </row>
    <row r="310" spans="1:35" s="60" customFormat="1" ht="12.75">
      <c r="A310" s="59"/>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239"/>
      <c r="AH310" s="246"/>
      <c r="AI310" s="246"/>
    </row>
    <row r="311" spans="1:35" s="60" customFormat="1" ht="12.75">
      <c r="A311" s="59"/>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239"/>
      <c r="AH311" s="246"/>
      <c r="AI311" s="246"/>
    </row>
    <row r="312" spans="1:35" s="60" customFormat="1" ht="12.75">
      <c r="A312" s="59"/>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239"/>
      <c r="AH312" s="246"/>
      <c r="AI312" s="246"/>
    </row>
    <row r="313" spans="1:35" s="60" customFormat="1" ht="12.75">
      <c r="A313" s="59"/>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239"/>
      <c r="AH313" s="246"/>
      <c r="AI313" s="246"/>
    </row>
    <row r="314" spans="1:35" s="60" customFormat="1" ht="12.75">
      <c r="A314" s="59"/>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239"/>
      <c r="AH314" s="246"/>
      <c r="AI314" s="246"/>
    </row>
    <row r="315" spans="1:35" s="60" customFormat="1" ht="12.75">
      <c r="A315" s="59"/>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239"/>
      <c r="AH315" s="246"/>
      <c r="AI315" s="246"/>
    </row>
    <row r="316" spans="1:35" s="60" customFormat="1" ht="12.75">
      <c r="A316" s="59"/>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239"/>
      <c r="AH316" s="246"/>
      <c r="AI316" s="246"/>
    </row>
    <row r="317" spans="1:35" s="60" customFormat="1" ht="12.75">
      <c r="A317" s="59"/>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239"/>
      <c r="AH317" s="246"/>
      <c r="AI317" s="246"/>
    </row>
    <row r="318" spans="1:35" s="60" customFormat="1" ht="12.75">
      <c r="A318" s="59"/>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239"/>
      <c r="AH318" s="246"/>
      <c r="AI318" s="246"/>
    </row>
    <row r="319" spans="1:35" s="60" customFormat="1" ht="12.75">
      <c r="A319" s="59" t="s">
        <v>77</v>
      </c>
      <c r="B319" s="46"/>
      <c r="C319" s="46">
        <f>'Ilgtermina saistibas'!C7</f>
        <v>0</v>
      </c>
      <c r="D319" s="46">
        <f>'Ilgtermina saistibas'!D7</f>
        <v>0</v>
      </c>
      <c r="E319" s="46">
        <f>'Ilgtermina saistibas'!E7</f>
        <v>0</v>
      </c>
      <c r="F319" s="46">
        <f>'Ilgtermina saistibas'!F7</f>
        <v>0</v>
      </c>
      <c r="G319" s="46">
        <f>'Ilgtermina saistibas'!G7</f>
        <v>0</v>
      </c>
      <c r="H319" s="46">
        <f>'Ilgtermina saistibas'!H7</f>
        <v>0</v>
      </c>
      <c r="I319" s="46">
        <f>'Ilgtermina saistibas'!I7</f>
        <v>0</v>
      </c>
      <c r="J319" s="46">
        <f>'Ilgtermina saistibas'!J7</f>
        <v>0</v>
      </c>
      <c r="K319" s="46">
        <f>'Ilgtermina saistibas'!K7</f>
        <v>0</v>
      </c>
      <c r="L319" s="46">
        <f>'Ilgtermina saistibas'!L7</f>
        <v>0</v>
      </c>
      <c r="M319" s="46">
        <f>'Ilgtermina saistibas'!M7</f>
        <v>0</v>
      </c>
      <c r="N319" s="46">
        <f>'Ilgtermina saistibas'!N7</f>
        <v>0</v>
      </c>
      <c r="O319" s="46">
        <f>'Ilgtermina saistibas'!O7</f>
        <v>0</v>
      </c>
      <c r="P319" s="46">
        <f>'Ilgtermina saistibas'!P7</f>
        <v>0</v>
      </c>
      <c r="Q319" s="46">
        <f>'Ilgtermina saistibas'!Q7</f>
        <v>0</v>
      </c>
      <c r="R319" s="46">
        <f>'Ilgtermina saistibas'!R7</f>
        <v>0</v>
      </c>
      <c r="S319" s="46">
        <f>'Ilgtermina saistibas'!S7</f>
        <v>0</v>
      </c>
      <c r="T319" s="46">
        <f>'Ilgtermina saistibas'!T7</f>
        <v>0</v>
      </c>
      <c r="U319" s="46">
        <f>'Ilgtermina saistibas'!U7</f>
        <v>0</v>
      </c>
      <c r="V319" s="46">
        <f>'Ilgtermina saistibas'!V7</f>
        <v>0</v>
      </c>
      <c r="W319" s="46">
        <f>'Ilgtermina saistibas'!W7</f>
        <v>0</v>
      </c>
      <c r="X319" s="46">
        <f>'Ilgtermina saistibas'!X7</f>
        <v>0</v>
      </c>
      <c r="Y319" s="46">
        <f>'Ilgtermina saistibas'!Y7</f>
        <v>0</v>
      </c>
      <c r="Z319" s="46">
        <f>'Ilgtermina saistibas'!Z7</f>
        <v>0</v>
      </c>
      <c r="AA319" s="46">
        <f>'Ilgtermina saistibas'!AA7</f>
        <v>0</v>
      </c>
      <c r="AB319" s="46">
        <f>'Ilgtermina saistibas'!AB7</f>
        <v>0</v>
      </c>
      <c r="AC319" s="46">
        <f>'Ilgtermina saistibas'!AC7</f>
        <v>0</v>
      </c>
      <c r="AD319" s="46">
        <f>'Ilgtermina saistibas'!AD7</f>
        <v>0</v>
      </c>
      <c r="AE319" s="46">
        <f>'Ilgtermina saistibas'!AE7</f>
        <v>0</v>
      </c>
      <c r="AF319" s="46">
        <f>'Ilgtermina saistibas'!AF7</f>
        <v>0</v>
      </c>
      <c r="AG319" s="239">
        <f>'Ilgtermina saistibas'!AG7</f>
        <v>0</v>
      </c>
      <c r="AH319" s="246"/>
      <c r="AI319" s="246"/>
    </row>
    <row r="320" spans="1:35" s="8" customFormat="1" ht="12.75">
      <c r="A320" s="18" t="s">
        <v>78</v>
      </c>
      <c r="B320" s="61"/>
      <c r="C320" s="62">
        <f>'Ilgtermina saistibas'!C24</f>
        <v>0</v>
      </c>
      <c r="D320" s="62">
        <f>'Ilgtermina saistibas'!D24</f>
        <v>3622.8561682988006</v>
      </c>
      <c r="E320" s="62">
        <f>'Ilgtermina saistibas'!E24</f>
        <v>19471.347126</v>
      </c>
      <c r="F320" s="62">
        <f>'Ilgtermina saistibas'!F24</f>
        <v>36249.759126000004</v>
      </c>
      <c r="G320" s="62">
        <f>'Ilgtermina saistibas'!G24</f>
        <v>35470.90524096</v>
      </c>
      <c r="H320" s="62">
        <f>'Ilgtermina saistibas'!H24</f>
        <v>34692.051355920004</v>
      </c>
      <c r="I320" s="62">
        <f>'Ilgtermina saistibas'!I24</f>
        <v>33913.19747088</v>
      </c>
      <c r="J320" s="62">
        <f>'Ilgtermina saistibas'!J24</f>
        <v>33134.34358584</v>
      </c>
      <c r="K320" s="62">
        <f>'Ilgtermina saistibas'!K24</f>
        <v>32355.489700799997</v>
      </c>
      <c r="L320" s="62">
        <f>'Ilgtermina saistibas'!L24</f>
        <v>31576.635815759997</v>
      </c>
      <c r="M320" s="62">
        <f>'Ilgtermina saistibas'!M24</f>
        <v>30797.781930719997</v>
      </c>
      <c r="N320" s="62">
        <f>'Ilgtermina saistibas'!N24</f>
        <v>30018.928045679997</v>
      </c>
      <c r="O320" s="62">
        <f>'Ilgtermina saistibas'!O24</f>
        <v>29240.074160639997</v>
      </c>
      <c r="P320" s="62">
        <f>'Ilgtermina saistibas'!P24</f>
        <v>28461.220275599997</v>
      </c>
      <c r="Q320" s="62">
        <f>'Ilgtermina saistibas'!Q24</f>
        <v>27682.366390559997</v>
      </c>
      <c r="R320" s="62">
        <f>'Ilgtermina saistibas'!R24</f>
        <v>26903.512505519993</v>
      </c>
      <c r="S320" s="62">
        <f>'Ilgtermina saistibas'!S24</f>
        <v>26124.658620479993</v>
      </c>
      <c r="T320" s="62">
        <f>'Ilgtermina saistibas'!T24</f>
        <v>25345.804735439993</v>
      </c>
      <c r="U320" s="62">
        <f>'Ilgtermina saistibas'!U24</f>
        <v>24566.950850399993</v>
      </c>
      <c r="V320" s="62">
        <f>'Ilgtermina saistibas'!V24</f>
        <v>23788.096965359993</v>
      </c>
      <c r="W320" s="62">
        <f>'Ilgtermina saistibas'!W24</f>
        <v>23009.24308031999</v>
      </c>
      <c r="X320" s="62">
        <f>'Ilgtermina saistibas'!X24</f>
        <v>22230.38919527999</v>
      </c>
      <c r="Y320" s="62">
        <f>'Ilgtermina saistibas'!Y24</f>
        <v>21451.53531023999</v>
      </c>
      <c r="Z320" s="62">
        <f>'Ilgtermina saistibas'!Z24</f>
        <v>20672.681425199993</v>
      </c>
      <c r="AA320" s="62">
        <f>'Ilgtermina saistibas'!AA24</f>
        <v>19893.827540159993</v>
      </c>
      <c r="AB320" s="62">
        <f>'Ilgtermina saistibas'!AB24</f>
        <v>19114.973655119993</v>
      </c>
      <c r="AC320" s="62">
        <f>'Ilgtermina saistibas'!AC24</f>
        <v>18336.119770079993</v>
      </c>
      <c r="AD320" s="62">
        <f>'Ilgtermina saistibas'!AD24</f>
        <v>17557.265885039993</v>
      </c>
      <c r="AE320" s="62">
        <f>'Ilgtermina saistibas'!AE24</f>
        <v>-8.443748811259866E-12</v>
      </c>
      <c r="AF320" s="62">
        <f>'Ilgtermina saistibas'!AF24</f>
        <v>-8.443748811259866E-12</v>
      </c>
      <c r="AG320" s="240">
        <f>'Ilgtermina saistibas'!AG24</f>
        <v>-8.443748811259866E-12</v>
      </c>
      <c r="AH320" s="247"/>
      <c r="AI320" s="247"/>
    </row>
    <row r="321" spans="1:35" s="8" customFormat="1" ht="12.75">
      <c r="A321" s="63" t="s">
        <v>79</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241"/>
      <c r="AH321" s="248"/>
      <c r="AI321" s="248"/>
    </row>
    <row r="322" spans="1:35" s="8" customFormat="1" ht="12.75">
      <c r="A322" s="6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239"/>
      <c r="AH322" s="246"/>
      <c r="AI322" s="246"/>
    </row>
    <row r="323" spans="1:35" s="8" customFormat="1" ht="12.75">
      <c r="A323" s="6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239"/>
      <c r="AH323" s="246"/>
      <c r="AI323" s="246"/>
    </row>
    <row r="324" spans="1:35" s="8" customFormat="1" ht="12.75">
      <c r="A324" s="6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239"/>
      <c r="AH324" s="246"/>
      <c r="AI324" s="246"/>
    </row>
    <row r="325" spans="1:35" s="8" customFormat="1" ht="12.75" hidden="1">
      <c r="A325" s="6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239"/>
      <c r="AH325" s="246"/>
      <c r="AI325" s="246"/>
    </row>
    <row r="326" spans="1:35" s="8" customFormat="1" ht="12.75" hidden="1">
      <c r="A326" s="6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239"/>
      <c r="AH326" s="246"/>
      <c r="AI326" s="246"/>
    </row>
    <row r="327" spans="1:35" s="8" customFormat="1" ht="12.75" hidden="1">
      <c r="A327" s="6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239"/>
      <c r="AH327" s="246"/>
      <c r="AI327" s="246"/>
    </row>
    <row r="328" spans="1:35" s="8" customFormat="1" ht="12.75" hidden="1">
      <c r="A328" s="6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239"/>
      <c r="AH328" s="246"/>
      <c r="AI328" s="246"/>
    </row>
    <row r="329" spans="1:35" s="8" customFormat="1" ht="12.75" hidden="1">
      <c r="A329" s="6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239"/>
      <c r="AH329" s="246"/>
      <c r="AI329" s="246"/>
    </row>
    <row r="330" spans="1:35" s="8" customFormat="1" ht="12.75" hidden="1">
      <c r="A330" s="6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239"/>
      <c r="AH330" s="246"/>
      <c r="AI330" s="246"/>
    </row>
    <row r="331" spans="1:35" s="8" customFormat="1" ht="12.75" hidden="1">
      <c r="A331" s="6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239"/>
      <c r="AH331" s="246"/>
      <c r="AI331" s="246"/>
    </row>
    <row r="332" spans="1:35" s="8" customFormat="1" ht="12.75" hidden="1">
      <c r="A332" s="6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239"/>
      <c r="AH332" s="246"/>
      <c r="AI332" s="246"/>
    </row>
    <row r="333" spans="1:35" s="8" customFormat="1" ht="12.75" hidden="1">
      <c r="A333" s="6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239"/>
      <c r="AH333" s="246"/>
      <c r="AI333" s="246"/>
    </row>
    <row r="334" spans="1:35" s="8" customFormat="1" ht="12.75" hidden="1">
      <c r="A334" s="6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239"/>
      <c r="AH334" s="246"/>
      <c r="AI334" s="246"/>
    </row>
    <row r="335" spans="1:35" s="8" customFormat="1" ht="12.75" hidden="1">
      <c r="A335" s="6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239"/>
      <c r="AH335" s="246"/>
      <c r="AI335" s="246"/>
    </row>
    <row r="336" spans="1:35" s="8" customFormat="1" ht="12.75" hidden="1">
      <c r="A336" s="6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239"/>
      <c r="AH336" s="246"/>
      <c r="AI336" s="246"/>
    </row>
    <row r="337" spans="1:35" s="8" customFormat="1" ht="12.75" hidden="1">
      <c r="A337" s="6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239"/>
      <c r="AH337" s="246"/>
      <c r="AI337" s="246"/>
    </row>
    <row r="338" spans="1:35" s="8" customFormat="1" ht="12.75">
      <c r="A338" s="18" t="s">
        <v>80</v>
      </c>
      <c r="B338" s="61"/>
      <c r="C338" s="62">
        <f>'Ilgtermina saistibas'!C43</f>
        <v>0</v>
      </c>
      <c r="D338" s="62">
        <f>'Ilgtermina saistibas'!D43</f>
        <v>0</v>
      </c>
      <c r="E338" s="62">
        <f>'Ilgtermina saistibas'!E43</f>
        <v>0</v>
      </c>
      <c r="F338" s="62">
        <f>'Ilgtermina saistibas'!F43</f>
        <v>0</v>
      </c>
      <c r="G338" s="62">
        <f>'Ilgtermina saistibas'!G43</f>
        <v>0</v>
      </c>
      <c r="H338" s="62">
        <f>'Ilgtermina saistibas'!H43</f>
        <v>0</v>
      </c>
      <c r="I338" s="62">
        <f>'Ilgtermina saistibas'!I43</f>
        <v>0</v>
      </c>
      <c r="J338" s="62">
        <f>'Ilgtermina saistibas'!J43</f>
        <v>0</v>
      </c>
      <c r="K338" s="62">
        <f>'Ilgtermina saistibas'!K43</f>
        <v>0</v>
      </c>
      <c r="L338" s="62">
        <f>'Ilgtermina saistibas'!L43</f>
        <v>0</v>
      </c>
      <c r="M338" s="62">
        <f>'Ilgtermina saistibas'!M43</f>
        <v>0</v>
      </c>
      <c r="N338" s="62">
        <f>'Ilgtermina saistibas'!N43</f>
        <v>0</v>
      </c>
      <c r="O338" s="62">
        <f>'Ilgtermina saistibas'!O43</f>
        <v>0</v>
      </c>
      <c r="P338" s="62">
        <f>'Ilgtermina saistibas'!P43</f>
        <v>0</v>
      </c>
      <c r="Q338" s="62">
        <f>'Ilgtermina saistibas'!Q43</f>
        <v>0</v>
      </c>
      <c r="R338" s="62">
        <f>'Ilgtermina saistibas'!R43</f>
        <v>0</v>
      </c>
      <c r="S338" s="62">
        <f>'Ilgtermina saistibas'!S43</f>
        <v>0</v>
      </c>
      <c r="T338" s="62">
        <f>'Ilgtermina saistibas'!T43</f>
        <v>0</v>
      </c>
      <c r="U338" s="62">
        <f>'Ilgtermina saistibas'!U43</f>
        <v>0</v>
      </c>
      <c r="V338" s="62">
        <f>'Ilgtermina saistibas'!V43</f>
        <v>0</v>
      </c>
      <c r="W338" s="62">
        <f>'Ilgtermina saistibas'!W43</f>
        <v>0</v>
      </c>
      <c r="X338" s="62">
        <f>'Ilgtermina saistibas'!X43</f>
        <v>0</v>
      </c>
      <c r="Y338" s="62">
        <f>'Ilgtermina saistibas'!Y43</f>
        <v>0</v>
      </c>
      <c r="Z338" s="62">
        <f>'Ilgtermina saistibas'!Z43</f>
        <v>0</v>
      </c>
      <c r="AA338" s="62">
        <f>'Ilgtermina saistibas'!AA43</f>
        <v>0</v>
      </c>
      <c r="AB338" s="62">
        <f>'Ilgtermina saistibas'!AB43</f>
        <v>0</v>
      </c>
      <c r="AC338" s="62">
        <f>'Ilgtermina saistibas'!AC43</f>
        <v>0</v>
      </c>
      <c r="AD338" s="62">
        <f>'Ilgtermina saistibas'!AD43</f>
        <v>0</v>
      </c>
      <c r="AE338" s="62">
        <f>'Ilgtermina saistibas'!AE43</f>
        <v>0</v>
      </c>
      <c r="AF338" s="62">
        <f>'Ilgtermina saistibas'!AF43</f>
        <v>0</v>
      </c>
      <c r="AG338" s="240">
        <f>'Ilgtermina saistibas'!AG43</f>
        <v>0</v>
      </c>
      <c r="AH338" s="247"/>
      <c r="AI338" s="247"/>
    </row>
    <row r="339" spans="1:35" s="8" customFormat="1" ht="12.75">
      <c r="A339" s="66" t="s">
        <v>81</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241"/>
      <c r="AH339" s="248"/>
      <c r="AI339" s="248"/>
    </row>
    <row r="340" spans="1:35" s="8" customFormat="1" ht="12.75">
      <c r="A340" s="65"/>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242"/>
      <c r="AH340" s="248"/>
      <c r="AI340" s="248"/>
    </row>
    <row r="341" spans="1:35" s="8" customFormat="1" ht="12.75">
      <c r="A341" s="68"/>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242"/>
      <c r="AH341" s="248"/>
      <c r="AI341" s="248"/>
    </row>
    <row r="342" spans="1:35" s="8" customFormat="1" ht="12.75">
      <c r="A342" s="68"/>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242"/>
      <c r="AH342" s="248"/>
      <c r="AI342" s="248"/>
    </row>
    <row r="343" spans="1:35" ht="12.75">
      <c r="A343" s="67"/>
      <c r="C343" s="34"/>
      <c r="AH343" s="245"/>
      <c r="AI343" s="245"/>
    </row>
    <row r="344" spans="1:35" s="8" customFormat="1" ht="14.25">
      <c r="A344" s="15" t="s">
        <v>82</v>
      </c>
      <c r="B344" s="176">
        <v>970000</v>
      </c>
      <c r="C344" s="176">
        <v>970000</v>
      </c>
      <c r="D344" s="176">
        <v>970000</v>
      </c>
      <c r="E344" s="176">
        <v>970000</v>
      </c>
      <c r="F344" s="176">
        <v>970000</v>
      </c>
      <c r="G344"/>
      <c r="H344"/>
      <c r="I344"/>
      <c r="J344"/>
      <c r="K344"/>
      <c r="L344"/>
      <c r="M344"/>
      <c r="N344"/>
      <c r="O344"/>
      <c r="P344"/>
      <c r="Q344"/>
      <c r="R344"/>
      <c r="S344"/>
      <c r="T344"/>
      <c r="U344"/>
      <c r="V344"/>
      <c r="W344"/>
      <c r="X344"/>
      <c r="Y344"/>
      <c r="Z344"/>
      <c r="AA344"/>
      <c r="AB344"/>
      <c r="AC344"/>
      <c r="AD344"/>
      <c r="AE344"/>
      <c r="AF344"/>
      <c r="AG344"/>
      <c r="AH344" s="156"/>
      <c r="AI344" s="156"/>
    </row>
    <row r="345" spans="2:35" ht="12.75">
      <c r="B345"/>
      <c r="C345"/>
      <c r="AH345" s="245"/>
      <c r="AI345" s="245"/>
    </row>
    <row r="346" spans="1:35" ht="12.75">
      <c r="A346" s="67"/>
      <c r="AH346" s="245"/>
      <c r="AI346" s="245"/>
    </row>
    <row r="347" spans="1:35" ht="13.5" thickBot="1">
      <c r="A347" s="67" t="s">
        <v>83</v>
      </c>
      <c r="B347"/>
      <c r="C347"/>
      <c r="D347"/>
      <c r="E347" s="8"/>
      <c r="F347" s="8"/>
      <c r="G347" s="8"/>
      <c r="AH347" s="245"/>
      <c r="AI347" s="245"/>
    </row>
    <row r="348" spans="1:35" ht="13.5" hidden="1" thickBot="1">
      <c r="A348" s="67" t="s">
        <v>84</v>
      </c>
      <c r="B348"/>
      <c r="C348" s="8"/>
      <c r="D348" s="8"/>
      <c r="E348" s="8"/>
      <c r="F348" s="8"/>
      <c r="G348" s="8"/>
      <c r="AH348" s="245"/>
      <c r="AI348" s="245"/>
    </row>
    <row r="349" spans="1:35" ht="13.5" hidden="1" thickBot="1">
      <c r="A349" s="69" t="s">
        <v>85</v>
      </c>
      <c r="B349" s="186" t="s">
        <v>86</v>
      </c>
      <c r="AH349" s="245"/>
      <c r="AI349" s="245"/>
    </row>
    <row r="350" spans="1:35" ht="12.75" hidden="1" outlineLevel="1">
      <c r="A350" s="70"/>
      <c r="B350" s="11" t="s">
        <v>86</v>
      </c>
      <c r="AH350" s="245"/>
      <c r="AI350" s="245"/>
    </row>
    <row r="351" spans="1:35" ht="25.5" hidden="1" outlineLevel="1">
      <c r="A351" s="70"/>
      <c r="B351" s="11" t="s">
        <v>87</v>
      </c>
      <c r="AH351" s="245"/>
      <c r="AI351" s="245"/>
    </row>
    <row r="352" spans="1:35" ht="15" hidden="1" thickBot="1">
      <c r="A352" s="21" t="s">
        <v>88</v>
      </c>
      <c r="B352" s="71"/>
      <c r="G352" s="72" t="s">
        <v>89</v>
      </c>
      <c r="AH352" s="245"/>
      <c r="AI352" s="245"/>
    </row>
    <row r="353" spans="1:35" ht="33" customHeight="1" thickBot="1">
      <c r="A353" s="73" t="s">
        <v>90</v>
      </c>
      <c r="B353" s="1010" t="s">
        <v>91</v>
      </c>
      <c r="C353" s="1010"/>
      <c r="D353" s="1010"/>
      <c r="E353" s="1010"/>
      <c r="F353" s="1011"/>
      <c r="G353" s="530">
        <f>MAX('Iedzivotaju maksatspeja'!B25:AG25)</f>
        <v>0.027222098372616178</v>
      </c>
      <c r="H353" s="74" t="str">
        <f>IF(OR(G353&lt;0.02,G353&gt;0.04),"Mājsaimniecību maksājumi par ūdenssaimniecību neiekļaujas 2%-4% robežās","-")</f>
        <v>-</v>
      </c>
      <c r="AH353" s="245"/>
      <c r="AI353" s="245"/>
    </row>
    <row r="354" spans="1:2" ht="25.5" hidden="1" outlineLevel="1">
      <c r="A354" s="70"/>
      <c r="B354" s="11" t="s">
        <v>91</v>
      </c>
    </row>
    <row r="355" spans="1:7" ht="89.25" hidden="1" outlineLevel="1">
      <c r="A355" s="70"/>
      <c r="B355" s="11" t="s">
        <v>92</v>
      </c>
      <c r="C355" s="75"/>
      <c r="D355" s="75"/>
      <c r="E355" s="75"/>
      <c r="F355" s="75"/>
      <c r="G355" s="75"/>
    </row>
    <row r="356" spans="1:2" ht="23.25" customHeight="1" collapsed="1" thickBot="1">
      <c r="A356" s="21" t="s">
        <v>93</v>
      </c>
      <c r="B356" s="76"/>
    </row>
    <row r="357" spans="1:2" ht="13.5" thickBot="1">
      <c r="A357" s="77" t="s">
        <v>94</v>
      </c>
      <c r="B357" s="185" t="s">
        <v>95</v>
      </c>
    </row>
    <row r="358" spans="1:7" ht="12.75" outlineLevel="1">
      <c r="A358" s="70"/>
      <c r="B358" s="11" t="s">
        <v>96</v>
      </c>
      <c r="C358" s="75"/>
      <c r="D358" s="75"/>
      <c r="E358" s="75"/>
      <c r="F358" s="75"/>
      <c r="G358" s="75"/>
    </row>
    <row r="359" spans="1:7" ht="25.5" outlineLevel="1">
      <c r="A359" s="70"/>
      <c r="B359" s="11" t="s">
        <v>95</v>
      </c>
      <c r="C359" s="75"/>
      <c r="D359" s="75"/>
      <c r="E359" s="75"/>
      <c r="F359" s="75"/>
      <c r="G359" s="75"/>
    </row>
    <row r="360" spans="1:2" ht="14.25">
      <c r="A360" s="28"/>
      <c r="B360" s="29"/>
    </row>
    <row r="361" spans="1:7" ht="12.75">
      <c r="A361" s="58" t="s">
        <v>97</v>
      </c>
      <c r="B361" s="184">
        <v>0</v>
      </c>
      <c r="C361"/>
      <c r="D361"/>
      <c r="E361"/>
      <c r="F361"/>
      <c r="G361"/>
    </row>
    <row r="362" s="78" customFormat="1" ht="25.5">
      <c r="A362" s="81" t="s">
        <v>99</v>
      </c>
    </row>
    <row r="363" spans="1:6" s="78" customFormat="1" ht="12.75">
      <c r="A363" s="79"/>
      <c r="B363" s="284">
        <f>C363-1</f>
        <v>2008</v>
      </c>
      <c r="C363" s="284">
        <f>D363-1</f>
        <v>2009</v>
      </c>
      <c r="D363" s="284">
        <f>E363-1</f>
        <v>2010</v>
      </c>
      <c r="E363" s="284">
        <f>B29</f>
        <v>2011</v>
      </c>
      <c r="F363" s="284">
        <f>E363+1</f>
        <v>2012</v>
      </c>
    </row>
    <row r="364" spans="1:6" s="78" customFormat="1" ht="12.75">
      <c r="A364" s="80" t="s">
        <v>100</v>
      </c>
      <c r="B364"/>
      <c r="C364"/>
      <c r="D364"/>
      <c r="E364"/>
      <c r="F364"/>
    </row>
    <row r="365" spans="1:6" s="78" customFormat="1" ht="12.75">
      <c r="A365" s="82" t="s">
        <v>59</v>
      </c>
      <c r="B365" s="961">
        <v>0.2</v>
      </c>
      <c r="C365" s="961">
        <v>0.2</v>
      </c>
      <c r="D365" s="961">
        <v>0.2</v>
      </c>
      <c r="E365" s="961">
        <v>0.2</v>
      </c>
      <c r="F365" s="961">
        <v>0.2</v>
      </c>
    </row>
    <row r="366" spans="1:6" s="78" customFormat="1" ht="12.75">
      <c r="A366" s="82" t="s">
        <v>70</v>
      </c>
      <c r="B366" s="961">
        <v>0.3</v>
      </c>
      <c r="C366" s="961">
        <v>0.3</v>
      </c>
      <c r="D366" s="961">
        <v>0.3</v>
      </c>
      <c r="E366" s="961">
        <v>0.3</v>
      </c>
      <c r="F366" s="961">
        <v>0.3</v>
      </c>
    </row>
    <row r="367" spans="1:6" s="78" customFormat="1" ht="12.75">
      <c r="A367" s="178" t="s">
        <v>101</v>
      </c>
      <c r="B367" s="962"/>
      <c r="C367" s="962"/>
      <c r="D367" s="962"/>
      <c r="E367" s="962"/>
      <c r="F367" s="962"/>
    </row>
    <row r="368" spans="1:6" s="78" customFormat="1" ht="12.75">
      <c r="A368" s="82" t="s">
        <v>59</v>
      </c>
      <c r="B368" s="961">
        <v>0.2</v>
      </c>
      <c r="C368" s="961">
        <v>0.2</v>
      </c>
      <c r="D368" s="961">
        <v>0.2</v>
      </c>
      <c r="E368" s="961">
        <v>0.2</v>
      </c>
      <c r="F368" s="961">
        <v>0.2</v>
      </c>
    </row>
    <row r="369" spans="1:6" s="78" customFormat="1" ht="12.75">
      <c r="A369" s="82" t="s">
        <v>70</v>
      </c>
      <c r="B369" s="961">
        <v>0.3</v>
      </c>
      <c r="C369" s="961">
        <v>0.3</v>
      </c>
      <c r="D369" s="961">
        <v>0.3</v>
      </c>
      <c r="E369" s="961">
        <v>0.3</v>
      </c>
      <c r="F369" s="961">
        <v>0.3</v>
      </c>
    </row>
    <row r="370" spans="1:6" s="78" customFormat="1" ht="12.75">
      <c r="A370" s="251"/>
      <c r="B370" s="265"/>
      <c r="C370" s="265"/>
      <c r="D370" s="266"/>
      <c r="E370" s="266"/>
      <c r="F370" s="266"/>
    </row>
    <row r="371" spans="1:6" s="78" customFormat="1" ht="12.75">
      <c r="A371" s="264" t="s">
        <v>373</v>
      </c>
      <c r="B371" s="1002"/>
      <c r="C371" s="1002"/>
      <c r="D371" s="1003"/>
      <c r="E371" s="1003"/>
      <c r="F371" s="1003"/>
    </row>
    <row r="372" spans="1:6" s="78" customFormat="1" ht="12.75">
      <c r="A372" s="1004" t="s">
        <v>400</v>
      </c>
      <c r="B372" s="1002"/>
      <c r="C372" s="1002"/>
      <c r="D372" s="1003"/>
      <c r="E372" s="1003"/>
      <c r="F372" s="1003"/>
    </row>
    <row r="373" spans="1:35" s="456" customFormat="1" ht="12.75">
      <c r="A373" s="1005" t="s">
        <v>97</v>
      </c>
      <c r="B373" s="1006">
        <f>'Datu ievade'!$B$361</f>
        <v>0</v>
      </c>
      <c r="C373" s="1007">
        <f aca="true" t="shared" si="55" ref="C373:AG373">B373</f>
        <v>0</v>
      </c>
      <c r="D373" s="1007">
        <f t="shared" si="55"/>
        <v>0</v>
      </c>
      <c r="E373" s="1007">
        <f t="shared" si="55"/>
        <v>0</v>
      </c>
      <c r="F373" s="1007">
        <f t="shared" si="55"/>
        <v>0</v>
      </c>
      <c r="G373" s="1007">
        <f t="shared" si="55"/>
        <v>0</v>
      </c>
      <c r="H373" s="1007">
        <f t="shared" si="55"/>
        <v>0</v>
      </c>
      <c r="I373" s="1007">
        <f t="shared" si="55"/>
        <v>0</v>
      </c>
      <c r="J373" s="1007">
        <f t="shared" si="55"/>
        <v>0</v>
      </c>
      <c r="K373" s="1007">
        <f t="shared" si="55"/>
        <v>0</v>
      </c>
      <c r="L373" s="1007">
        <f t="shared" si="55"/>
        <v>0</v>
      </c>
      <c r="M373" s="1007">
        <f t="shared" si="55"/>
        <v>0</v>
      </c>
      <c r="N373" s="1007">
        <f t="shared" si="55"/>
        <v>0</v>
      </c>
      <c r="O373" s="1007">
        <f t="shared" si="55"/>
        <v>0</v>
      </c>
      <c r="P373" s="1007">
        <f t="shared" si="55"/>
        <v>0</v>
      </c>
      <c r="Q373" s="1007">
        <f t="shared" si="55"/>
        <v>0</v>
      </c>
      <c r="R373" s="1007">
        <f t="shared" si="55"/>
        <v>0</v>
      </c>
      <c r="S373" s="1007">
        <f t="shared" si="55"/>
        <v>0</v>
      </c>
      <c r="T373" s="1007">
        <f t="shared" si="55"/>
        <v>0</v>
      </c>
      <c r="U373" s="1007">
        <f t="shared" si="55"/>
        <v>0</v>
      </c>
      <c r="V373" s="1007">
        <f t="shared" si="55"/>
        <v>0</v>
      </c>
      <c r="W373" s="1007">
        <f t="shared" si="55"/>
        <v>0</v>
      </c>
      <c r="X373" s="1007">
        <f t="shared" si="55"/>
        <v>0</v>
      </c>
      <c r="Y373" s="1007">
        <f t="shared" si="55"/>
        <v>0</v>
      </c>
      <c r="Z373" s="1007">
        <f t="shared" si="55"/>
        <v>0</v>
      </c>
      <c r="AA373" s="1007">
        <f t="shared" si="55"/>
        <v>0</v>
      </c>
      <c r="AB373" s="1007">
        <f t="shared" si="55"/>
        <v>0</v>
      </c>
      <c r="AC373" s="1007">
        <f t="shared" si="55"/>
        <v>0</v>
      </c>
      <c r="AD373" s="1007">
        <f t="shared" si="55"/>
        <v>0</v>
      </c>
      <c r="AE373" s="1007">
        <f t="shared" si="55"/>
        <v>0</v>
      </c>
      <c r="AF373" s="1007">
        <f t="shared" si="55"/>
        <v>0</v>
      </c>
      <c r="AG373" s="1007">
        <f t="shared" si="55"/>
        <v>0</v>
      </c>
      <c r="AH373" s="1008"/>
      <c r="AI373" s="1008"/>
    </row>
    <row r="374" spans="2:35" s="8" customFormat="1" ht="12.75">
      <c r="B374" s="148"/>
      <c r="C374" s="148"/>
      <c r="D374" s="148"/>
      <c r="E374" s="148"/>
      <c r="F374" s="148"/>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0"/>
      <c r="AI374" s="140"/>
    </row>
    <row r="375" spans="1:35" s="8" customFormat="1" ht="12.75">
      <c r="A375" s="263" t="s">
        <v>59</v>
      </c>
      <c r="B375" s="528">
        <f>B29</f>
        <v>2011</v>
      </c>
      <c r="C375" s="529">
        <f>B375+1</f>
        <v>2012</v>
      </c>
      <c r="D375" s="529">
        <f aca="true" t="shared" si="56" ref="D375:AG375">C375+1</f>
        <v>2013</v>
      </c>
      <c r="E375" s="529">
        <f t="shared" si="56"/>
        <v>2014</v>
      </c>
      <c r="F375" s="529">
        <f t="shared" si="56"/>
        <v>2015</v>
      </c>
      <c r="G375" s="529">
        <f t="shared" si="56"/>
        <v>2016</v>
      </c>
      <c r="H375" s="529">
        <f t="shared" si="56"/>
        <v>2017</v>
      </c>
      <c r="I375" s="529">
        <f t="shared" si="56"/>
        <v>2018</v>
      </c>
      <c r="J375" s="529">
        <f t="shared" si="56"/>
        <v>2019</v>
      </c>
      <c r="K375" s="529">
        <f t="shared" si="56"/>
        <v>2020</v>
      </c>
      <c r="L375" s="529">
        <f t="shared" si="56"/>
        <v>2021</v>
      </c>
      <c r="M375" s="529">
        <f t="shared" si="56"/>
        <v>2022</v>
      </c>
      <c r="N375" s="529">
        <f t="shared" si="56"/>
        <v>2023</v>
      </c>
      <c r="O375" s="529">
        <f t="shared" si="56"/>
        <v>2024</v>
      </c>
      <c r="P375" s="529">
        <f t="shared" si="56"/>
        <v>2025</v>
      </c>
      <c r="Q375" s="529">
        <f t="shared" si="56"/>
        <v>2026</v>
      </c>
      <c r="R375" s="529">
        <f t="shared" si="56"/>
        <v>2027</v>
      </c>
      <c r="S375" s="529">
        <f t="shared" si="56"/>
        <v>2028</v>
      </c>
      <c r="T375" s="529">
        <f t="shared" si="56"/>
        <v>2029</v>
      </c>
      <c r="U375" s="529">
        <f t="shared" si="56"/>
        <v>2030</v>
      </c>
      <c r="V375" s="529">
        <f t="shared" si="56"/>
        <v>2031</v>
      </c>
      <c r="W375" s="529">
        <f t="shared" si="56"/>
        <v>2032</v>
      </c>
      <c r="X375" s="529">
        <f t="shared" si="56"/>
        <v>2033</v>
      </c>
      <c r="Y375" s="529">
        <f t="shared" si="56"/>
        <v>2034</v>
      </c>
      <c r="Z375" s="529">
        <f t="shared" si="56"/>
        <v>2035</v>
      </c>
      <c r="AA375" s="529">
        <f t="shared" si="56"/>
        <v>2036</v>
      </c>
      <c r="AB375" s="529">
        <f t="shared" si="56"/>
        <v>2037</v>
      </c>
      <c r="AC375" s="529">
        <f t="shared" si="56"/>
        <v>2038</v>
      </c>
      <c r="AD375" s="529">
        <f t="shared" si="56"/>
        <v>2039</v>
      </c>
      <c r="AE375" s="529">
        <f t="shared" si="56"/>
        <v>2040</v>
      </c>
      <c r="AF375" s="529">
        <f t="shared" si="56"/>
        <v>2041</v>
      </c>
      <c r="AG375" s="529">
        <f t="shared" si="56"/>
        <v>2042</v>
      </c>
      <c r="AH375" s="253"/>
      <c r="AI375" s="253"/>
    </row>
    <row r="376" spans="1:35" s="443" customFormat="1" ht="13.5">
      <c r="A376" s="444" t="s">
        <v>418</v>
      </c>
      <c r="B376" s="527">
        <f>E365</f>
        <v>0.2</v>
      </c>
      <c r="C376" s="527">
        <f>F365</f>
        <v>0.2</v>
      </c>
      <c r="D376" s="527">
        <f aca="true" t="shared" si="57" ref="D376:AG376">IF(D377&lt;D416/1.22,D377,D416/1.22)</f>
        <v>0.201</v>
      </c>
      <c r="E376" s="527">
        <f t="shared" si="57"/>
        <v>0.308</v>
      </c>
      <c r="F376" s="527">
        <f t="shared" si="57"/>
        <v>0.313</v>
      </c>
      <c r="G376" s="527">
        <f t="shared" si="57"/>
        <v>0.314</v>
      </c>
      <c r="H376" s="527">
        <f t="shared" si="57"/>
        <v>0.316</v>
      </c>
      <c r="I376" s="527">
        <f t="shared" si="57"/>
        <v>0.321</v>
      </c>
      <c r="J376" s="527">
        <f t="shared" si="57"/>
        <v>0.326</v>
      </c>
      <c r="K376" s="527">
        <f t="shared" si="57"/>
        <v>0.32799999999999996</v>
      </c>
      <c r="L376" s="527">
        <f t="shared" si="57"/>
        <v>0.33599999999999997</v>
      </c>
      <c r="M376" s="527">
        <f t="shared" si="57"/>
        <v>0.34</v>
      </c>
      <c r="N376" s="527">
        <f t="shared" si="57"/>
        <v>0.345</v>
      </c>
      <c r="O376" s="527">
        <f t="shared" si="57"/>
        <v>0.347</v>
      </c>
      <c r="P376" s="527">
        <f t="shared" si="57"/>
        <v>0.35</v>
      </c>
      <c r="Q376" s="527">
        <f t="shared" si="57"/>
        <v>0.3549999999999999</v>
      </c>
      <c r="R376" s="527">
        <f t="shared" si="57"/>
        <v>0.35999999999999993</v>
      </c>
      <c r="S376" s="527">
        <f t="shared" si="57"/>
        <v>0.37099999999999994</v>
      </c>
      <c r="T376" s="527">
        <f t="shared" si="57"/>
        <v>0.376</v>
      </c>
      <c r="U376" s="527">
        <f t="shared" si="57"/>
        <v>0.37799999999999995</v>
      </c>
      <c r="V376" s="527">
        <f t="shared" si="57"/>
        <v>0.38099999999999995</v>
      </c>
      <c r="W376" s="527">
        <f t="shared" si="57"/>
        <v>0.38299999999999995</v>
      </c>
      <c r="X376" s="527">
        <f t="shared" si="57"/>
        <v>0.38500000000000006</v>
      </c>
      <c r="Y376" s="527">
        <f t="shared" si="57"/>
        <v>0.38800000000000007</v>
      </c>
      <c r="Z376" s="527">
        <f t="shared" si="57"/>
        <v>0.39000000000000007</v>
      </c>
      <c r="AA376" s="527">
        <f t="shared" si="57"/>
        <v>0.39300000000000007</v>
      </c>
      <c r="AB376" s="527">
        <f t="shared" si="57"/>
        <v>0.399</v>
      </c>
      <c r="AC376" s="527">
        <f t="shared" si="57"/>
        <v>0.402</v>
      </c>
      <c r="AD376" s="527">
        <f t="shared" si="57"/>
        <v>0.4000000000000001</v>
      </c>
      <c r="AE376" s="527">
        <f t="shared" si="57"/>
        <v>0.407</v>
      </c>
      <c r="AF376" s="527">
        <f t="shared" si="57"/>
        <v>0.414</v>
      </c>
      <c r="AG376" s="527">
        <f t="shared" si="57"/>
        <v>0.418</v>
      </c>
      <c r="AH376" s="254"/>
      <c r="AI376" s="254"/>
    </row>
    <row r="377" spans="1:35" s="443" customFormat="1" ht="12.75">
      <c r="A377" s="521" t="s">
        <v>387</v>
      </c>
      <c r="B377" s="522">
        <f>ROUND(IF('Datu ievade'!$B$357='Datu ievade'!$B$358,(1+B373)*((SUM(B208:B216)+SUM(Aprekini!B39+Aprekini!B45+Aprekini!B51)*B381+SUM(Aprekini!B19+Aprekini!B20+Aprekini!B21+Aprekini!B22)+Aprekini!$B$108*SUM(Aprekini!B252:B253,Aprekini!B260:B261)*(1-Aprekini!B157))/(E237+E246+E253)),IF('Datu ievade'!$B$357='Datu ievade'!$B$359,(1+B373)*((SUM(B208:B216)+SUM(Aprekini!B39+Aprekini!B45+Aprekini!B51)*B381+SUM(Aprekini!B19+Aprekini!B20+Aprekini!B21+Aprekini!B22)+Aprekini!$B$108*SUM(Aprekini!B252,Aprekini!B260))/(E237+E246+E253)),)),3)</f>
        <v>0.207</v>
      </c>
      <c r="C377" s="522">
        <f>ROUND(IF('Datu ievade'!$B$357='Datu ievade'!$B$358,(1+C373)*((SUM(C208:C216)+SUM(Aprekini!C39+Aprekini!C45+Aprekini!C51)*C381+SUM(Aprekini!C19+Aprekini!C20+Aprekini!C21+Aprekini!C22)+Aprekini!$B$108*SUM(Aprekini!C252:C253,Aprekini!C260:C261)*(1-Aprekini!C157))/(F237+F246+F253)),IF('Datu ievade'!$B$357='Datu ievade'!$B$359,(1+C373)*((SUM(C208:C216)+SUM(Aprekini!C39+Aprekini!C45+Aprekini!C51)*C381+SUM(Aprekini!C19+Aprekini!C20+Aprekini!C21+Aprekini!C22)+Aprekini!$B$108*SUM(Aprekini!C252,Aprekini!C260))/(F237+F246+F253)),)),3)</f>
        <v>0.211</v>
      </c>
      <c r="D377" s="522">
        <f>ROUND(IF('Datu ievade'!$B$357='Datu ievade'!$B$358,(1+D373)*((SUM(D208:D216)+SUM(Aprekini!D39+Aprekini!D45+Aprekini!D51)*D381+SUM(Aprekini!D19+Aprekini!D20+Aprekini!D21+Aprekini!D22)+Aprekini!$B$108*SUM(Aprekini!D252:D253,Aprekini!D260:D261)*(1-Aprekini!D157))/(G237+G246+G253)),IF('Datu ievade'!$B$357='Datu ievade'!$B$359,(1+D373)*((SUM(D208:D216)+SUM(Aprekini!D39+Aprekini!D45+Aprekini!D51)*D381+SUM(Aprekini!D19+Aprekini!D20+Aprekini!D21+Aprekini!D22)+Aprekini!$B$108*SUM(Aprekini!D252,Aprekini!D260))/(G237+G246+G253)),)),3)</f>
        <v>0.201</v>
      </c>
      <c r="E377" s="522">
        <f>ROUND(IF('Datu ievade'!$B$357='Datu ievade'!$B$358,(1+E373)*((SUM(E208:E216)+SUM(Aprekini!E39+Aprekini!E45+Aprekini!E51)*E381+SUM(Aprekini!E19+Aprekini!E20+Aprekini!E21+Aprekini!E22)+Aprekini!$B$108*SUM(Aprekini!E252:E253,Aprekini!E260:E261)*(1-Aprekini!E157))/(H237+H246+H253)),IF('Datu ievade'!$B$357='Datu ievade'!$B$359,(1+E373)*((SUM(E208:E216)+SUM(Aprekini!E39+Aprekini!E45+Aprekini!E51)*E381+SUM(Aprekini!E19+Aprekini!E20+Aprekini!E21+Aprekini!E22)+Aprekini!$B$108*SUM(Aprekini!E252,Aprekini!E260))/(H237+H246+H253)),)),3)</f>
        <v>0.308</v>
      </c>
      <c r="F377" s="522">
        <f>ROUND(IF('Datu ievade'!$B$357='Datu ievade'!$B$358,(1+F373)*((SUM(F208:F216)+SUM(Aprekini!F39+Aprekini!F45+Aprekini!F51)*F381+SUM(Aprekini!F19+Aprekini!F20+Aprekini!F21+Aprekini!F22)+Aprekini!$B$108*SUM(Aprekini!F252:F253,Aprekini!F260:F261)*(1-Aprekini!F157))/(I237+I246+I253)),IF('Datu ievade'!$B$357='Datu ievade'!$B$359,(1+F373)*((SUM(F208:F216)+SUM(Aprekini!F39+Aprekini!F45+Aprekini!F51)*F381+SUM(Aprekini!F19+Aprekini!F20+Aprekini!F21+Aprekini!F22)+Aprekini!$B$108*SUM(Aprekini!F252,Aprekini!F260))/(I237+I246+I253)),)),3)</f>
        <v>0.313</v>
      </c>
      <c r="G377" s="522">
        <f>ROUND(IF('Datu ievade'!$B$357='Datu ievade'!$B$358,(1+G373)*((SUM(G208:G216)+SUM(Aprekini!G39+Aprekini!G45+Aprekini!G51)*G381+SUM(Aprekini!G19+Aprekini!G20+Aprekini!G21+Aprekini!G22)+Aprekini!$B$108*SUM(Aprekini!G252:G253,Aprekini!G260:G261)*(1-Aprekini!G157))/(J237+J246+J253)),IF('Datu ievade'!$B$357='Datu ievade'!$B$359,(1+G373)*((SUM(G208:G216)+SUM(Aprekini!G39+Aprekini!G45+Aprekini!G51)*G381+SUM(Aprekini!G19+Aprekini!G20+Aprekini!G21+Aprekini!G22)+Aprekini!$B$108*SUM(Aprekini!G252,Aprekini!G260))/(J237+J246+J253)),)),3)</f>
        <v>0.314</v>
      </c>
      <c r="H377" s="522">
        <f>ROUND(IF('Datu ievade'!$B$357='Datu ievade'!$B$358,(1+H373)*((SUM(H208:H216)+SUM(Aprekini!H39+Aprekini!H45+Aprekini!H51)*H381+SUM(Aprekini!H19+Aprekini!H20+Aprekini!H21+Aprekini!H22)+Aprekini!$B$108*SUM(Aprekini!H252:H253,Aprekini!H260:H261)*(1-Aprekini!H157))/(K237+K246+K253)),IF('Datu ievade'!$B$357='Datu ievade'!$B$359,(1+H373)*((SUM(H208:H216)+SUM(Aprekini!H39+Aprekini!H45+Aprekini!H51)*H381+SUM(Aprekini!H19+Aprekini!H20+Aprekini!H21+Aprekini!H22)+Aprekini!$B$108*SUM(Aprekini!H252,Aprekini!H260))/(K237+K246+K253)),)),3)</f>
        <v>0.316</v>
      </c>
      <c r="I377" s="522">
        <f>ROUND(IF('Datu ievade'!$B$357='Datu ievade'!$B$358,(1+I373)*((SUM(I208:I216)+SUM(Aprekini!I39+Aprekini!I45+Aprekini!I51)*I381+SUM(Aprekini!I19+Aprekini!I20+Aprekini!I21+Aprekini!I22)+Aprekini!$B$108*SUM(Aprekini!I252:I253,Aprekini!I260:I261)*(1-Aprekini!I157))/(L237+L246+L253)),IF('Datu ievade'!$B$357='Datu ievade'!$B$359,(1+I373)*((SUM(I208:I216)+SUM(Aprekini!I39+Aprekini!I45+Aprekini!I51)*I381+SUM(Aprekini!I19+Aprekini!I20+Aprekini!I21+Aprekini!I22)+Aprekini!$B$108*SUM(Aprekini!I252,Aprekini!I260))/(L237+L246+L253)),)),3)</f>
        <v>0.321</v>
      </c>
      <c r="J377" s="522">
        <f>ROUND(IF('Datu ievade'!$B$357='Datu ievade'!$B$358,(1+J373)*((SUM(J208:J216)+SUM(Aprekini!J39+Aprekini!J45+Aprekini!J51)*J381+SUM(Aprekini!J19+Aprekini!J20+Aprekini!J21+Aprekini!J22)+Aprekini!$B$108*SUM(Aprekini!J252:J253,Aprekini!J260:J261)*(1-Aprekini!J157))/(M237+M246+M253)),IF('Datu ievade'!$B$357='Datu ievade'!$B$359,(1+J373)*((SUM(J208:J216)+SUM(Aprekini!J39+Aprekini!J45+Aprekini!J51)*J381+SUM(Aprekini!J19+Aprekini!J20+Aprekini!J21+Aprekini!J22)+Aprekini!$B$108*SUM(Aprekini!J252,Aprekini!J260))/(M237+M246+M253)),)),3)</f>
        <v>0.326</v>
      </c>
      <c r="K377" s="522">
        <f>ROUND(IF('Datu ievade'!$B$357='Datu ievade'!$B$358,(1+K373)*((SUM(K208:K216)+SUM(Aprekini!K39+Aprekini!K45+Aprekini!K51)*K381+SUM(Aprekini!K19+Aprekini!K20+Aprekini!K21+Aprekini!K22)+Aprekini!$B$108*SUM(Aprekini!K252:K253,Aprekini!K260:K261)*(1-Aprekini!K157))/(N237+N246+N253)),IF('Datu ievade'!$B$357='Datu ievade'!$B$359,(1+K373)*((SUM(K208:K216)+SUM(Aprekini!K39+Aprekini!K45+Aprekini!K51)*K381+SUM(Aprekini!K19+Aprekini!K20+Aprekini!K21+Aprekini!K22)+Aprekini!$B$108*SUM(Aprekini!K252,Aprekini!K260))/(N237+N246+N253)),)),3)</f>
        <v>0.328</v>
      </c>
      <c r="L377" s="522">
        <f>ROUND(IF('Datu ievade'!$B$357='Datu ievade'!$B$358,(1+L373)*((SUM(L208:L216)+SUM(Aprekini!L39+Aprekini!L45+Aprekini!L51)*L381+SUM(Aprekini!L19+Aprekini!L20+Aprekini!L21+Aprekini!L22)+Aprekini!$B$108*SUM(Aprekini!L252:L253,Aprekini!L260:L261)*(1-Aprekini!L157))/(O237+O246+O253)),IF('Datu ievade'!$B$357='Datu ievade'!$B$359,(1+L373)*((SUM(L208:L216)+SUM(Aprekini!L39+Aprekini!L45+Aprekini!L51)*L381+SUM(Aprekini!L19+Aprekini!L20+Aprekini!L21+Aprekini!L22)+Aprekini!$B$108*SUM(Aprekini!L252,Aprekini!L260))/(O237+O246+O253)),)),3)</f>
        <v>0.336</v>
      </c>
      <c r="M377" s="522">
        <f>ROUND(IF('Datu ievade'!$B$357='Datu ievade'!$B$358,(1+M373)*((SUM(M208:M216)+SUM(Aprekini!M39+Aprekini!M45+Aprekini!M51)*M381+SUM(Aprekini!M19+Aprekini!M20+Aprekini!M21+Aprekini!M22)+Aprekini!$B$108*SUM(Aprekini!M252:M253,Aprekini!M260:M261)*(1-Aprekini!M157))/(P237+P246+P253)),IF('Datu ievade'!$B$357='Datu ievade'!$B$359,(1+M373)*((SUM(M208:M216)+SUM(Aprekini!M39+Aprekini!M45+Aprekini!M51)*M381+SUM(Aprekini!M19+Aprekini!M20+Aprekini!M21+Aprekini!M22)+Aprekini!$B$108*SUM(Aprekini!M252,Aprekini!M260))/(P237+P246+P253)),)),3)</f>
        <v>0.34</v>
      </c>
      <c r="N377" s="522">
        <f>ROUND(IF('Datu ievade'!$B$357='Datu ievade'!$B$358,(1+N373)*((SUM(N208:N216)+SUM(Aprekini!N39+Aprekini!N45+Aprekini!N51)*N381+SUM(Aprekini!N19+Aprekini!N20+Aprekini!N21+Aprekini!N22)+Aprekini!$B$108*SUM(Aprekini!N252:N253,Aprekini!N260:N261)*(1-Aprekini!N157))/(Q237+Q246+Q253)),IF('Datu ievade'!$B$357='Datu ievade'!$B$359,(1+N373)*((SUM(N208:N216)+SUM(Aprekini!N39+Aprekini!N45+Aprekini!N51)*N381+SUM(Aprekini!N19+Aprekini!N20+Aprekini!N21+Aprekini!N22)+Aprekini!$B$108*SUM(Aprekini!N252,Aprekini!N260))/(Q237+Q246+Q253)),)),3)</f>
        <v>0.345</v>
      </c>
      <c r="O377" s="522">
        <f>ROUND(IF('Datu ievade'!$B$357='Datu ievade'!$B$358,(1+O373)*((SUM(O208:O216)+SUM(Aprekini!O39+Aprekini!O45+Aprekini!O51)*O381+SUM(Aprekini!O19+Aprekini!O20+Aprekini!O21+Aprekini!O22)+Aprekini!$B$108*SUM(Aprekini!O252:O253,Aprekini!O260:O261)*(1-Aprekini!O157))/(R237+R246+R253)),IF('Datu ievade'!$B$357='Datu ievade'!$B$359,(1+O373)*((SUM(O208:O216)+SUM(Aprekini!O39+Aprekini!O45+Aprekini!O51)*O381+SUM(Aprekini!O19+Aprekini!O20+Aprekini!O21+Aprekini!O22)+Aprekini!$B$108*SUM(Aprekini!O252,Aprekini!O260))/(R237+R246+R253)),)),3)</f>
        <v>0.347</v>
      </c>
      <c r="P377" s="522">
        <f>ROUND(IF('Datu ievade'!$B$357='Datu ievade'!$B$358,(1+P373)*((SUM(P208:P216)+SUM(Aprekini!P39+Aprekini!P45+Aprekini!P51)*P381+SUM(Aprekini!P19+Aprekini!P20+Aprekini!P21+Aprekini!P22)+Aprekini!$B$108*SUM(Aprekini!P252:P253,Aprekini!P260:P261)*(1-Aprekini!P157))/(S237+S246+S253)),IF('Datu ievade'!$B$357='Datu ievade'!$B$359,(1+P373)*((SUM(P208:P216)+SUM(Aprekini!P39+Aprekini!P45+Aprekini!P51)*P381+SUM(Aprekini!P19+Aprekini!P20+Aprekini!P21+Aprekini!P22)+Aprekini!$B$108*SUM(Aprekini!P252,Aprekini!P260))/(S237+S246+S253)),)),3)</f>
        <v>0.35</v>
      </c>
      <c r="Q377" s="522">
        <f>ROUND(IF('Datu ievade'!$B$357='Datu ievade'!$B$358,(1+Q373)*((SUM(Q208:Q216)+SUM(Aprekini!Q39+Aprekini!Q45+Aprekini!Q51)*Q381+SUM(Aprekini!Q19+Aprekini!Q20+Aprekini!Q21+Aprekini!Q22)+Aprekini!$B$108*SUM(Aprekini!Q252:Q253,Aprekini!Q260:Q261)*(1-Aprekini!Q157))/(T237+T246+T253)),IF('Datu ievade'!$B$357='Datu ievade'!$B$359,(1+Q373)*((SUM(Q208:Q216)+SUM(Aprekini!Q39+Aprekini!Q45+Aprekini!Q51)*Q381+SUM(Aprekini!Q19+Aprekini!Q20+Aprekini!Q21+Aprekini!Q22)+Aprekini!$B$108*SUM(Aprekini!Q252,Aprekini!Q260))/(T237+T246+T253)),)),3)</f>
        <v>0.355</v>
      </c>
      <c r="R377" s="522">
        <f>ROUND(IF('Datu ievade'!$B$357='Datu ievade'!$B$358,(1+R373)*((SUM(R208:R216)+SUM(Aprekini!R39+Aprekini!R45+Aprekini!R51)*R381+SUM(Aprekini!R19+Aprekini!R20+Aprekini!R21+Aprekini!R22)+Aprekini!$B$108*SUM(Aprekini!R252:R253,Aprekini!R260:R261)*(1-Aprekini!R157))/(U237+U246+U253)),IF('Datu ievade'!$B$357='Datu ievade'!$B$359,(1+R373)*((SUM(R208:R216)+SUM(Aprekini!R39+Aprekini!R45+Aprekini!R51)*R381+SUM(Aprekini!R19+Aprekini!R20+Aprekini!R21+Aprekini!R22)+Aprekini!$B$108*SUM(Aprekini!R252,Aprekini!R260))/(U237+U246+U253)),)),3)</f>
        <v>0.36</v>
      </c>
      <c r="S377" s="522">
        <f>ROUND(IF('Datu ievade'!$B$357='Datu ievade'!$B$358,(1+S373)*((SUM(S208:S216)+SUM(Aprekini!S39+Aprekini!S45+Aprekini!S51)*S381+SUM(Aprekini!S19+Aprekini!S20+Aprekini!S21+Aprekini!S22)+Aprekini!$B$108*SUM(Aprekini!S252:S253,Aprekini!S260:S261)*(1-Aprekini!S157))/(V237+V246+V253)),IF('Datu ievade'!$B$357='Datu ievade'!$B$359,(1+S373)*((SUM(S208:S216)+SUM(Aprekini!S39+Aprekini!S45+Aprekini!S51)*S381+SUM(Aprekini!S19+Aprekini!S20+Aprekini!S21+Aprekini!S22)+Aprekini!$B$108*SUM(Aprekini!S252,Aprekini!S260))/(V237+V246+V253)),)),3)</f>
        <v>0.371</v>
      </c>
      <c r="T377" s="522">
        <f>ROUND(IF('Datu ievade'!$B$357='Datu ievade'!$B$358,(1+T373)*((SUM(T208:T216)+SUM(Aprekini!T39+Aprekini!T45+Aprekini!T51)*T381+SUM(Aprekini!T19+Aprekini!T20+Aprekini!T21+Aprekini!T22)+Aprekini!$B$108*SUM(Aprekini!T252:T253,Aprekini!T260:T261)*(1-Aprekini!T157))/(W237+W246+W253)),IF('Datu ievade'!$B$357='Datu ievade'!$B$359,(1+T373)*((SUM(T208:T216)+SUM(Aprekini!T39+Aprekini!T45+Aprekini!T51)*T381+SUM(Aprekini!T19+Aprekini!T20+Aprekini!T21+Aprekini!T22)+Aprekini!$B$108*SUM(Aprekini!T252,Aprekini!T260))/(W237+W246+W253)),)),3)</f>
        <v>0.376</v>
      </c>
      <c r="U377" s="522">
        <f>ROUND(IF('Datu ievade'!$B$357='Datu ievade'!$B$358,(1+U373)*((SUM(U208:U216)+SUM(Aprekini!U39+Aprekini!U45+Aprekini!U51)*U381+SUM(Aprekini!U19+Aprekini!U20+Aprekini!U21+Aprekini!U22)+Aprekini!$B$108*SUM(Aprekini!U252:U253,Aprekini!U260:U261)*(1-Aprekini!U157))/(X237+X246+X253)),IF('Datu ievade'!$B$357='Datu ievade'!$B$359,(1+U373)*((SUM(U208:U216)+SUM(Aprekini!U39+Aprekini!U45+Aprekini!U51)*U381+SUM(Aprekini!U19+Aprekini!U20+Aprekini!U21+Aprekini!U22)+Aprekini!$B$108*SUM(Aprekini!U252,Aprekini!U260))/(X237+X246+X253)),)),3)</f>
        <v>0.378</v>
      </c>
      <c r="V377" s="522">
        <f>ROUND(IF('Datu ievade'!$B$357='Datu ievade'!$B$358,(1+V373)*((SUM(V208:V216)+SUM(Aprekini!V39+Aprekini!V45+Aprekini!V51)*V381+SUM(Aprekini!V19+Aprekini!V20+Aprekini!V21+Aprekini!V22)+Aprekini!$B$108*SUM(Aprekini!V252:V253,Aprekini!V260:V261)*(1-Aprekini!V157))/(Y237+Y246+Y253)),IF('Datu ievade'!$B$357='Datu ievade'!$B$359,(1+V373)*((SUM(V208:V216)+SUM(Aprekini!V39+Aprekini!V45+Aprekini!V51)*V381+SUM(Aprekini!V19+Aprekini!V20+Aprekini!V21+Aprekini!V22)+Aprekini!$B$108*SUM(Aprekini!V252,Aprekini!V260))/(Y237+Y246+Y253)),)),3)</f>
        <v>0.381</v>
      </c>
      <c r="W377" s="522">
        <f>ROUND(IF('Datu ievade'!$B$357='Datu ievade'!$B$358,(1+W373)*((SUM(W208:W216)+SUM(Aprekini!W39+Aprekini!W45+Aprekini!W51)*W381+SUM(Aprekini!W19+Aprekini!W20+Aprekini!W21+Aprekini!W22)+Aprekini!$B$108*SUM(Aprekini!W252:W253,Aprekini!W260:W261)*(1-Aprekini!W157))/(Z237+Z246+Z253)),IF('Datu ievade'!$B$357='Datu ievade'!$B$359,(1+W373)*((SUM(W208:W216)+SUM(Aprekini!W39+Aprekini!W45+Aprekini!W51)*W381+SUM(Aprekini!W19+Aprekini!W20+Aprekini!W21+Aprekini!W22)+Aprekini!$B$108*SUM(Aprekini!W252,Aprekini!W260))/(Z237+Z246+Z253)),)),3)</f>
        <v>0.383</v>
      </c>
      <c r="X377" s="522">
        <f>ROUND(IF('Datu ievade'!$B$357='Datu ievade'!$B$358,(1+X373)*((SUM(X208:X216)+SUM(Aprekini!X39+Aprekini!X45+Aprekini!X51)*X381+SUM(Aprekini!X19+Aprekini!X20+Aprekini!X21+Aprekini!X22)+Aprekini!$B$108*SUM(Aprekini!X252:X253,Aprekini!X260:X261)*(1-Aprekini!X157))/(AA237+AA246+AA253)),IF('Datu ievade'!$B$357='Datu ievade'!$B$359,(1+X373)*((SUM(X208:X216)+SUM(Aprekini!X39+Aprekini!X45+Aprekini!X51)*X381+SUM(Aprekini!X19+Aprekini!X20+Aprekini!X21+Aprekini!X22)+Aprekini!$B$108*SUM(Aprekini!X252,Aprekini!X260))/(AA237+AA246+AA253)),)),3)</f>
        <v>0.385</v>
      </c>
      <c r="Y377" s="522">
        <f>ROUND(IF('Datu ievade'!$B$357='Datu ievade'!$B$358,(1+Y373)*((SUM(Y208:Y216)+SUM(Aprekini!Y39+Aprekini!Y45+Aprekini!Y51)*Y381+SUM(Aprekini!Y19+Aprekini!Y20+Aprekini!Y21+Aprekini!Y22)+Aprekini!$B$108*SUM(Aprekini!Y252:Y253,Aprekini!Y260:Y261)*(1-Aprekini!Y157))/(AB237+AB246+AB253)),IF('Datu ievade'!$B$357='Datu ievade'!$B$359,(1+Y373)*((SUM(Y208:Y216)+SUM(Aprekini!Y39+Aprekini!Y45+Aprekini!Y51)*Y381+SUM(Aprekini!Y19+Aprekini!Y20+Aprekini!Y21+Aprekini!Y22)+Aprekini!$B$108*SUM(Aprekini!Y252,Aprekini!Y260))/(AB237+AB246+AB253)),)),3)</f>
        <v>0.388</v>
      </c>
      <c r="Z377" s="522">
        <f>ROUND(IF('Datu ievade'!$B$357='Datu ievade'!$B$358,(1+Z373)*((SUM(Z208:Z216)+SUM(Aprekini!Z39+Aprekini!Z45+Aprekini!Z51)*Z381+SUM(Aprekini!Z19+Aprekini!Z20+Aprekini!Z21+Aprekini!Z22)+Aprekini!$B$108*SUM(Aprekini!Z252:Z253,Aprekini!Z260:Z261)*(1-Aprekini!Z157))/(AC237+AC246+AC253)),IF('Datu ievade'!$B$357='Datu ievade'!$B$359,(1+Z373)*((SUM(Z208:Z216)+SUM(Aprekini!Z39+Aprekini!Z45+Aprekini!Z51)*Z381+SUM(Aprekini!Z19+Aprekini!Z20+Aprekini!Z21+Aprekini!Z22)+Aprekini!$B$108*SUM(Aprekini!Z252,Aprekini!Z260))/(AC237+AC246+AC253)),)),3)</f>
        <v>0.39</v>
      </c>
      <c r="AA377" s="522">
        <f>ROUND(IF('Datu ievade'!$B$357='Datu ievade'!$B$358,(1+AA373)*((SUM(AA208:AA216)+SUM(Aprekini!AA39+Aprekini!AA45+Aprekini!AA51)*AA381+SUM(Aprekini!AA19+Aprekini!AA20+Aprekini!AA21+Aprekini!AA22)+Aprekini!$B$108*SUM(Aprekini!AA252:AA253,Aprekini!AA260:AA261)*(1-Aprekini!AA157))/(AD237+AD246+AD253)),IF('Datu ievade'!$B$357='Datu ievade'!$B$359,(1+AA373)*((SUM(AA208:AA216)+SUM(Aprekini!AA39+Aprekini!AA45+Aprekini!AA51)*AA381+SUM(Aprekini!AA19+Aprekini!AA20+Aprekini!AA21+Aprekini!AA22)+Aprekini!$B$108*SUM(Aprekini!AA252,Aprekini!AA260))/(AD237+AD246+AD253)),)),3)</f>
        <v>0.393</v>
      </c>
      <c r="AB377" s="522">
        <f>ROUND(IF('Datu ievade'!$B$357='Datu ievade'!$B$358,(1+AB373)*((SUM(AB208:AB216)+SUM(Aprekini!AB39+Aprekini!AB45+Aprekini!AB51)*AB381+SUM(Aprekini!AB19+Aprekini!AB20+Aprekini!AB21+Aprekini!AB22)+Aprekini!$B$108*SUM(Aprekini!AB252:AB253,Aprekini!AB260:AB261)*(1-Aprekini!AB157))/(AE237+AE246+AE253)),IF('Datu ievade'!$B$357='Datu ievade'!$B$359,(1+AB373)*((SUM(AB208:AB216)+SUM(Aprekini!AB39+Aprekini!AB45+Aprekini!AB51)*AB381+SUM(Aprekini!AB19+Aprekini!AB20+Aprekini!AB21+Aprekini!AB22)+Aprekini!$B$108*SUM(Aprekini!AB252,Aprekini!AB260))/(AE237+AE246+AE253)),)),3)</f>
        <v>0.399</v>
      </c>
      <c r="AC377" s="522">
        <f>ROUND(IF('Datu ievade'!$B$357='Datu ievade'!$B$358,(1+AC373)*((SUM(AC208:AC216)+SUM(Aprekini!AC39+Aprekini!AC45+Aprekini!AC51)*AC381+SUM(Aprekini!AC19+Aprekini!AC20+Aprekini!AC21+Aprekini!AC22)+Aprekini!$B$108*SUM(Aprekini!AC252:AC253,Aprekini!AC260:AC261)*(1-Aprekini!AC157))/(AF237+AF246+AF253)),IF('Datu ievade'!$B$357='Datu ievade'!$B$359,(1+AC373)*((SUM(AC208:AC216)+SUM(Aprekini!AC39+Aprekini!AC45+Aprekini!AC51)*AC381+SUM(Aprekini!AC19+Aprekini!AC20+Aprekini!AC21+Aprekini!AC22)+Aprekini!$B$108*SUM(Aprekini!AC252,Aprekini!AC260))/(AF237+AF246+AF253)),)),3)</f>
        <v>0.402</v>
      </c>
      <c r="AD377" s="522">
        <f>ROUND(IF('Datu ievade'!$B$357='Datu ievade'!$B$358,(1+AD373)*((SUM(AD208:AD216)+SUM(Aprekini!AD39+Aprekini!AD45+Aprekini!AD51)*AD381+SUM(Aprekini!AD19+Aprekini!AD20+Aprekini!AD21+Aprekini!AD22)+Aprekini!$B$108*SUM(Aprekini!AD252:AD253,Aprekini!AD260:AD261)*(1-Aprekini!AD157))/(AG237+AG246+AG253)),IF('Datu ievade'!$B$357='Datu ievade'!$B$359,(1+AD373)*((SUM(AD208:AD216)+SUM(Aprekini!AD39+Aprekini!AD45+Aprekini!AD51)*AD381+SUM(Aprekini!AD19+Aprekini!AD20+Aprekini!AD21+Aprekini!AD22)+Aprekini!$B$108*SUM(Aprekini!AD252,Aprekini!AD260))/(AG237+AG246+AG253)),)),3)</f>
        <v>0.4</v>
      </c>
      <c r="AE377" s="522">
        <f>ROUND(IF('Datu ievade'!$B$357='Datu ievade'!$B$358,(1+AE373)*((SUM(AE208:AE216)+SUM(Aprekini!AE39+Aprekini!AE45+Aprekini!AE51)*AE381+SUM(Aprekini!AE19+Aprekini!AE20+Aprekini!AE21+Aprekini!AE22)+Aprekini!$B$108*SUM(Aprekini!AE252:AE253,Aprekini!AE260:AE261)*(1-Aprekini!AE157))/(AH237+AH246+AH253)),IF('Datu ievade'!$B$357='Datu ievade'!$B$359,(1+AE373)*((SUM(AE208:AE216)+SUM(Aprekini!AE39+Aprekini!AE45+Aprekini!AE51)*AE381+SUM(Aprekini!AE19+Aprekini!AE20+Aprekini!AE21+Aprekini!AE22)+Aprekini!$B$108*SUM(Aprekini!AE252,Aprekini!AE260))/(AH237+AH246+AH253)),)),3)</f>
        <v>0.407</v>
      </c>
      <c r="AF377" s="522">
        <f>ROUND(IF('Datu ievade'!$B$357='Datu ievade'!$B$358,(1+AF373)*((SUM(AF208:AF216)+SUM(Aprekini!AF39+Aprekini!AF45+Aprekini!AF51)*AF381+SUM(Aprekini!AF19+Aprekini!AF20+Aprekini!AF21+Aprekini!AF22)+Aprekini!$B$108*SUM(Aprekini!AF252:AF253,Aprekini!AF260:AF261)*(1-Aprekini!AF157))/(AI237+AI246+AI253)),IF('Datu ievade'!$B$357='Datu ievade'!$B$359,(1+AF373)*((SUM(AF208:AF216)+SUM(Aprekini!AF39+Aprekini!AF45+Aprekini!AF51)*AF381+SUM(Aprekini!AF19+Aprekini!AF20+Aprekini!AF21+Aprekini!AF22)+Aprekini!$B$108*SUM(Aprekini!AF252,Aprekini!AF260))/(AI237+AI246+AI253)),)),3)</f>
        <v>0.414</v>
      </c>
      <c r="AG377" s="522">
        <f>ROUND(IF('Datu ievade'!$B$357='Datu ievade'!$B$358,(1+AG373)*((SUM(AG208:AG216)+SUM(Aprekini!AG39+Aprekini!AG45+Aprekini!AG51)*AG381+SUM(Aprekini!AG19+Aprekini!AG20+Aprekini!AG21+Aprekini!AG22)+Aprekini!$B$108*SUM(Aprekini!AG252:AG253,Aprekini!AG260:AG261)*(1-Aprekini!AG157))/(AJ237+AJ246+AJ253)),IF('Datu ievade'!$B$357='Datu ievade'!$B$359,(1+AG373)*((SUM(AG208:AG216)+SUM(Aprekini!AG39+Aprekini!AG45+Aprekini!AG51)*AG381+SUM(Aprekini!AG19+Aprekini!AG20+Aprekini!AG21+Aprekini!AG22)+Aprekini!$B$108*SUM(Aprekini!AG252,Aprekini!AG260))/(AJ237+AJ246+AJ253)),)),3)</f>
        <v>0.418</v>
      </c>
      <c r="AH377" s="254"/>
      <c r="AI377" s="254"/>
    </row>
    <row r="378" spans="1:35" s="257" customFormat="1" ht="12.75">
      <c r="A378" s="521" t="s">
        <v>388</v>
      </c>
      <c r="B378" s="271"/>
      <c r="C378" s="271">
        <f>C377-B377</f>
        <v>0.0040000000000000036</v>
      </c>
      <c r="D378" s="271">
        <f>D377-C377</f>
        <v>-0.009999999999999981</v>
      </c>
      <c r="E378" s="271">
        <f aca="true" t="shared" si="58" ref="E378:AG378">E377-D377</f>
        <v>0.10699999999999998</v>
      </c>
      <c r="F378" s="271">
        <f t="shared" si="58"/>
        <v>0.0050000000000000044</v>
      </c>
      <c r="G378" s="271">
        <f t="shared" si="58"/>
        <v>0.0010000000000000009</v>
      </c>
      <c r="H378" s="271">
        <f t="shared" si="58"/>
        <v>0.0020000000000000018</v>
      </c>
      <c r="I378" s="271">
        <f t="shared" si="58"/>
        <v>0.0050000000000000044</v>
      </c>
      <c r="J378" s="271">
        <f t="shared" si="58"/>
        <v>0.0050000000000000044</v>
      </c>
      <c r="K378" s="271">
        <f t="shared" si="58"/>
        <v>0.0020000000000000018</v>
      </c>
      <c r="L378" s="271">
        <f t="shared" si="58"/>
        <v>0.008000000000000007</v>
      </c>
      <c r="M378" s="271">
        <f t="shared" si="58"/>
        <v>0.0040000000000000036</v>
      </c>
      <c r="N378" s="271">
        <f t="shared" si="58"/>
        <v>0.004999999999999949</v>
      </c>
      <c r="O378" s="271">
        <f t="shared" si="58"/>
        <v>0.0020000000000000018</v>
      </c>
      <c r="P378" s="271">
        <f t="shared" si="58"/>
        <v>0.0030000000000000027</v>
      </c>
      <c r="Q378" s="271">
        <f t="shared" si="58"/>
        <v>0.0050000000000000044</v>
      </c>
      <c r="R378" s="271">
        <f t="shared" si="58"/>
        <v>0.0050000000000000044</v>
      </c>
      <c r="S378" s="271">
        <f t="shared" si="58"/>
        <v>0.01100000000000001</v>
      </c>
      <c r="T378" s="271">
        <f t="shared" si="58"/>
        <v>0.0050000000000000044</v>
      </c>
      <c r="U378" s="271">
        <f t="shared" si="58"/>
        <v>0.0020000000000000018</v>
      </c>
      <c r="V378" s="271">
        <f t="shared" si="58"/>
        <v>0.0030000000000000027</v>
      </c>
      <c r="W378" s="271">
        <f t="shared" si="58"/>
        <v>0.0020000000000000018</v>
      </c>
      <c r="X378" s="271">
        <f t="shared" si="58"/>
        <v>0.0020000000000000018</v>
      </c>
      <c r="Y378" s="271">
        <f t="shared" si="58"/>
        <v>0.0030000000000000027</v>
      </c>
      <c r="Z378" s="271">
        <f t="shared" si="58"/>
        <v>0.0020000000000000018</v>
      </c>
      <c r="AA378" s="271">
        <f t="shared" si="58"/>
        <v>0.0030000000000000027</v>
      </c>
      <c r="AB378" s="271">
        <f t="shared" si="58"/>
        <v>0.006000000000000005</v>
      </c>
      <c r="AC378" s="271">
        <f t="shared" si="58"/>
        <v>0.0030000000000000027</v>
      </c>
      <c r="AD378" s="271">
        <f t="shared" si="58"/>
        <v>-0.0020000000000000018</v>
      </c>
      <c r="AE378" s="271">
        <f t="shared" si="58"/>
        <v>0.006999999999999951</v>
      </c>
      <c r="AF378" s="271">
        <f t="shared" si="58"/>
        <v>0.007000000000000006</v>
      </c>
      <c r="AG378" s="271">
        <f t="shared" si="58"/>
        <v>0.0040000000000000036</v>
      </c>
      <c r="AH378" s="256"/>
      <c r="AI378" s="256"/>
    </row>
    <row r="379" spans="1:35" s="257" customFormat="1" ht="25.5">
      <c r="A379" s="261" t="s">
        <v>389</v>
      </c>
      <c r="B379" s="271"/>
      <c r="C379" s="271">
        <f aca="true" t="shared" si="59" ref="C379:AG379">C416-C377</f>
        <v>0.04641999999999999</v>
      </c>
      <c r="D379" s="271">
        <f t="shared" si="59"/>
        <v>0.04422000000000001</v>
      </c>
      <c r="E379" s="271">
        <f t="shared" si="59"/>
        <v>0.06775999999999999</v>
      </c>
      <c r="F379" s="271">
        <f t="shared" si="59"/>
        <v>0.06885999999999998</v>
      </c>
      <c r="G379" s="271">
        <f t="shared" si="59"/>
        <v>0.06907999999999997</v>
      </c>
      <c r="H379" s="271">
        <f t="shared" si="59"/>
        <v>0.06951999999999997</v>
      </c>
      <c r="I379" s="271">
        <f t="shared" si="59"/>
        <v>0.07062000000000002</v>
      </c>
      <c r="J379" s="271">
        <f t="shared" si="59"/>
        <v>0.07172</v>
      </c>
      <c r="K379" s="271">
        <f t="shared" si="59"/>
        <v>0.07215999999999995</v>
      </c>
      <c r="L379" s="271">
        <f t="shared" si="59"/>
        <v>0.07391999999999993</v>
      </c>
      <c r="M379" s="271">
        <f t="shared" si="59"/>
        <v>0.07479999999999998</v>
      </c>
      <c r="N379" s="271">
        <f t="shared" si="59"/>
        <v>0.07589999999999997</v>
      </c>
      <c r="O379" s="271">
        <f t="shared" si="59"/>
        <v>0.07634000000000002</v>
      </c>
      <c r="P379" s="271">
        <f t="shared" si="59"/>
        <v>0.07700000000000001</v>
      </c>
      <c r="Q379" s="271">
        <f t="shared" si="59"/>
        <v>0.07809999999999995</v>
      </c>
      <c r="R379" s="271">
        <f t="shared" si="59"/>
        <v>0.07919999999999994</v>
      </c>
      <c r="S379" s="271">
        <f t="shared" si="59"/>
        <v>0.08161999999999991</v>
      </c>
      <c r="T379" s="271">
        <f t="shared" si="59"/>
        <v>0.08271999999999996</v>
      </c>
      <c r="U379" s="271">
        <f t="shared" si="59"/>
        <v>0.08315999999999996</v>
      </c>
      <c r="V379" s="271">
        <f t="shared" si="59"/>
        <v>0.08381999999999995</v>
      </c>
      <c r="W379" s="271">
        <f t="shared" si="59"/>
        <v>0.08425999999999995</v>
      </c>
      <c r="X379" s="271">
        <f t="shared" si="59"/>
        <v>0.08470000000000005</v>
      </c>
      <c r="Y379" s="271">
        <f t="shared" si="59"/>
        <v>0.08536000000000005</v>
      </c>
      <c r="Z379" s="271">
        <f t="shared" si="59"/>
        <v>0.08580000000000004</v>
      </c>
      <c r="AA379" s="271">
        <f t="shared" si="59"/>
        <v>0.08646000000000004</v>
      </c>
      <c r="AB379" s="271">
        <f t="shared" si="59"/>
        <v>0.08778000000000002</v>
      </c>
      <c r="AC379" s="271">
        <f t="shared" si="59"/>
        <v>0.08844000000000002</v>
      </c>
      <c r="AD379" s="271">
        <f t="shared" si="59"/>
        <v>0.08800000000000008</v>
      </c>
      <c r="AE379" s="271">
        <f t="shared" si="59"/>
        <v>0.08953999999999995</v>
      </c>
      <c r="AF379" s="271">
        <f t="shared" si="59"/>
        <v>0.09108</v>
      </c>
      <c r="AG379" s="271">
        <f t="shared" si="59"/>
        <v>0.09195999999999999</v>
      </c>
      <c r="AH379" s="256"/>
      <c r="AI379" s="256"/>
    </row>
    <row r="380" spans="1:35" s="219" customFormat="1" ht="12.75">
      <c r="A380" s="521" t="s">
        <v>374</v>
      </c>
      <c r="B380" s="271">
        <f>B377</f>
        <v>0.207</v>
      </c>
      <c r="C380" s="271">
        <f>C377</f>
        <v>0.211</v>
      </c>
      <c r="D380" s="271">
        <f aca="true" t="shared" si="60" ref="D380:AG380">D377</f>
        <v>0.201</v>
      </c>
      <c r="E380" s="271">
        <f t="shared" si="60"/>
        <v>0.308</v>
      </c>
      <c r="F380" s="271">
        <f t="shared" si="60"/>
        <v>0.313</v>
      </c>
      <c r="G380" s="271">
        <f t="shared" si="60"/>
        <v>0.314</v>
      </c>
      <c r="H380" s="271">
        <f t="shared" si="60"/>
        <v>0.316</v>
      </c>
      <c r="I380" s="271">
        <f t="shared" si="60"/>
        <v>0.321</v>
      </c>
      <c r="J380" s="271">
        <f t="shared" si="60"/>
        <v>0.326</v>
      </c>
      <c r="K380" s="271">
        <f t="shared" si="60"/>
        <v>0.328</v>
      </c>
      <c r="L380" s="271">
        <f t="shared" si="60"/>
        <v>0.336</v>
      </c>
      <c r="M380" s="271">
        <f t="shared" si="60"/>
        <v>0.34</v>
      </c>
      <c r="N380" s="271">
        <f t="shared" si="60"/>
        <v>0.345</v>
      </c>
      <c r="O380" s="271">
        <f t="shared" si="60"/>
        <v>0.347</v>
      </c>
      <c r="P380" s="271">
        <f t="shared" si="60"/>
        <v>0.35</v>
      </c>
      <c r="Q380" s="271">
        <f t="shared" si="60"/>
        <v>0.355</v>
      </c>
      <c r="R380" s="271">
        <f t="shared" si="60"/>
        <v>0.36</v>
      </c>
      <c r="S380" s="271">
        <f t="shared" si="60"/>
        <v>0.371</v>
      </c>
      <c r="T380" s="271">
        <f t="shared" si="60"/>
        <v>0.376</v>
      </c>
      <c r="U380" s="271">
        <f t="shared" si="60"/>
        <v>0.378</v>
      </c>
      <c r="V380" s="271">
        <f t="shared" si="60"/>
        <v>0.381</v>
      </c>
      <c r="W380" s="271">
        <f t="shared" si="60"/>
        <v>0.383</v>
      </c>
      <c r="X380" s="271">
        <f t="shared" si="60"/>
        <v>0.385</v>
      </c>
      <c r="Y380" s="271">
        <f t="shared" si="60"/>
        <v>0.388</v>
      </c>
      <c r="Z380" s="271">
        <f t="shared" si="60"/>
        <v>0.39</v>
      </c>
      <c r="AA380" s="271">
        <f t="shared" si="60"/>
        <v>0.393</v>
      </c>
      <c r="AB380" s="271">
        <f t="shared" si="60"/>
        <v>0.399</v>
      </c>
      <c r="AC380" s="271">
        <f t="shared" si="60"/>
        <v>0.402</v>
      </c>
      <c r="AD380" s="271">
        <f t="shared" si="60"/>
        <v>0.4</v>
      </c>
      <c r="AE380" s="271">
        <f t="shared" si="60"/>
        <v>0.407</v>
      </c>
      <c r="AF380" s="271">
        <f t="shared" si="60"/>
        <v>0.414</v>
      </c>
      <c r="AG380" s="271">
        <f t="shared" si="60"/>
        <v>0.418</v>
      </c>
      <c r="AH380" s="523"/>
      <c r="AI380" s="523"/>
    </row>
    <row r="381" spans="1:35" s="219" customFormat="1" ht="25.5">
      <c r="A381" s="979" t="s">
        <v>541</v>
      </c>
      <c r="B381" s="982">
        <v>0</v>
      </c>
      <c r="C381" s="982">
        <v>0</v>
      </c>
      <c r="D381" s="982">
        <v>0</v>
      </c>
      <c r="E381" s="982">
        <v>0.2</v>
      </c>
      <c r="F381" s="982">
        <v>0.24</v>
      </c>
      <c r="G381" s="982">
        <v>0.27</v>
      </c>
      <c r="H381" s="982">
        <v>0.3</v>
      </c>
      <c r="I381" s="982">
        <v>0.35</v>
      </c>
      <c r="J381" s="982">
        <v>0.4</v>
      </c>
      <c r="K381" s="982">
        <v>0.46</v>
      </c>
      <c r="L381" s="982">
        <v>0.55</v>
      </c>
      <c r="M381" s="982">
        <v>0.6</v>
      </c>
      <c r="N381" s="982">
        <v>0.65</v>
      </c>
      <c r="O381" s="982">
        <v>0.76</v>
      </c>
      <c r="P381" s="982">
        <v>0.8</v>
      </c>
      <c r="Q381" s="982">
        <v>0.85</v>
      </c>
      <c r="R381" s="982">
        <v>0.95</v>
      </c>
      <c r="S381" s="982">
        <v>1.15</v>
      </c>
      <c r="T381" s="982">
        <v>2</v>
      </c>
      <c r="U381" s="982">
        <v>2.05</v>
      </c>
      <c r="V381" s="982">
        <v>2.1</v>
      </c>
      <c r="W381" s="982">
        <v>2.15</v>
      </c>
      <c r="X381" s="982">
        <v>2.2</v>
      </c>
      <c r="Y381" s="982">
        <v>2.25</v>
      </c>
      <c r="Z381" s="982">
        <v>2.3</v>
      </c>
      <c r="AA381" s="982">
        <v>2.35</v>
      </c>
      <c r="AB381" s="982">
        <v>2.45</v>
      </c>
      <c r="AC381" s="982">
        <v>2.5</v>
      </c>
      <c r="AD381" s="982">
        <v>2.5</v>
      </c>
      <c r="AE381" s="982">
        <v>2.6</v>
      </c>
      <c r="AF381" s="982">
        <v>2.65</v>
      </c>
      <c r="AG381" s="982">
        <v>2.65</v>
      </c>
      <c r="AH381" s="523"/>
      <c r="AI381" s="523"/>
    </row>
    <row r="382" spans="1:35" s="8" customFormat="1" ht="12.75">
      <c r="A382" s="138" t="s">
        <v>70</v>
      </c>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243"/>
      <c r="AI382" s="243"/>
    </row>
    <row r="383" spans="1:143" s="448" customFormat="1" ht="27">
      <c r="A383" s="524" t="s">
        <v>418</v>
      </c>
      <c r="B383" s="525">
        <f>E366</f>
        <v>0.3</v>
      </c>
      <c r="C383" s="526">
        <f>F366</f>
        <v>0.3</v>
      </c>
      <c r="D383" s="526">
        <f aca="true" t="shared" si="61" ref="D383:AG383">IF(D384&lt;D417/1.22,D384,D417/1.22)</f>
        <v>0.316</v>
      </c>
      <c r="E383" s="526">
        <f t="shared" si="61"/>
        <v>0.426</v>
      </c>
      <c r="F383" s="526">
        <f t="shared" si="61"/>
        <v>0.428</v>
      </c>
      <c r="G383" s="526">
        <f t="shared" si="61"/>
        <v>0.433</v>
      </c>
      <c r="H383" s="526">
        <f t="shared" si="61"/>
        <v>0.43999999999999995</v>
      </c>
      <c r="I383" s="526">
        <f t="shared" si="61"/>
        <v>0.44699999999999995</v>
      </c>
      <c r="J383" s="526">
        <f t="shared" si="61"/>
        <v>0.44799999999999995</v>
      </c>
      <c r="K383" s="526">
        <f t="shared" si="61"/>
        <v>0.45499999999999996</v>
      </c>
      <c r="L383" s="526">
        <f t="shared" si="61"/>
        <v>0.45799999999999996</v>
      </c>
      <c r="M383" s="526">
        <f t="shared" si="61"/>
        <v>0.465</v>
      </c>
      <c r="N383" s="526">
        <f t="shared" si="61"/>
        <v>0.4719999999999999</v>
      </c>
      <c r="O383" s="526">
        <f t="shared" si="61"/>
        <v>0.4729999999999999</v>
      </c>
      <c r="P383" s="526">
        <f t="shared" si="61"/>
        <v>0.4799999999999999</v>
      </c>
      <c r="Q383" s="526">
        <f t="shared" si="61"/>
        <v>0.48699999999999993</v>
      </c>
      <c r="R383" s="526">
        <f t="shared" si="61"/>
        <v>0.495</v>
      </c>
      <c r="S383" s="526">
        <f t="shared" si="61"/>
        <v>0.502</v>
      </c>
      <c r="T383" s="526">
        <f t="shared" si="61"/>
        <v>0.513</v>
      </c>
      <c r="U383" s="526">
        <f t="shared" si="61"/>
        <v>0.516</v>
      </c>
      <c r="V383" s="526">
        <f t="shared" si="61"/>
        <v>0.525</v>
      </c>
      <c r="W383" s="526">
        <f t="shared" si="61"/>
        <v>0.529</v>
      </c>
      <c r="X383" s="526">
        <f t="shared" si="61"/>
        <v>0.5329999999999999</v>
      </c>
      <c r="Y383" s="526">
        <f t="shared" si="61"/>
        <v>0.5369999999999999</v>
      </c>
      <c r="Z383" s="526">
        <f t="shared" si="61"/>
        <v>0.5409999999999999</v>
      </c>
      <c r="AA383" s="526">
        <f t="shared" si="61"/>
        <v>0.5439999999999998</v>
      </c>
      <c r="AB383" s="526">
        <f t="shared" si="61"/>
        <v>0.548</v>
      </c>
      <c r="AC383" s="526">
        <f t="shared" si="61"/>
        <v>0.552</v>
      </c>
      <c r="AD383" s="526">
        <f t="shared" si="61"/>
        <v>0.5559999999999999</v>
      </c>
      <c r="AE383" s="526">
        <f t="shared" si="61"/>
        <v>0.5599999999999999</v>
      </c>
      <c r="AF383" s="526">
        <f t="shared" si="61"/>
        <v>0.5670000000000001</v>
      </c>
      <c r="AG383" s="526">
        <f t="shared" si="61"/>
        <v>0.5739999999999998</v>
      </c>
      <c r="AH383" s="580"/>
      <c r="AI383" s="580"/>
      <c r="AJ383" s="581"/>
      <c r="AK383" s="581"/>
      <c r="AL383" s="581"/>
      <c r="AM383" s="581"/>
      <c r="AN383" s="581"/>
      <c r="AO383" s="581"/>
      <c r="AP383" s="581"/>
      <c r="AQ383" s="581"/>
      <c r="AR383" s="581"/>
      <c r="AS383" s="581"/>
      <c r="AT383" s="581"/>
      <c r="AU383" s="581"/>
      <c r="AV383" s="581"/>
      <c r="AW383" s="581"/>
      <c r="AX383" s="581"/>
      <c r="AY383" s="581"/>
      <c r="AZ383" s="581"/>
      <c r="BA383" s="581"/>
      <c r="BB383" s="581"/>
      <c r="BC383" s="581"/>
      <c r="BD383" s="581"/>
      <c r="BE383" s="581"/>
      <c r="BF383" s="581"/>
      <c r="BG383" s="581"/>
      <c r="BH383" s="581"/>
      <c r="BI383" s="581"/>
      <c r="BJ383" s="581"/>
      <c r="BK383" s="581"/>
      <c r="BL383" s="581"/>
      <c r="BM383" s="581"/>
      <c r="BN383" s="581"/>
      <c r="BO383" s="581"/>
      <c r="BP383" s="581"/>
      <c r="BQ383" s="581"/>
      <c r="BR383" s="581"/>
      <c r="BS383" s="581"/>
      <c r="BT383" s="581"/>
      <c r="BU383" s="581"/>
      <c r="BV383" s="581"/>
      <c r="BW383" s="581"/>
      <c r="BX383" s="581"/>
      <c r="BY383" s="581"/>
      <c r="BZ383" s="581"/>
      <c r="CA383" s="581"/>
      <c r="CB383" s="581"/>
      <c r="CC383" s="581"/>
      <c r="CD383" s="581"/>
      <c r="CE383" s="581"/>
      <c r="CF383" s="581"/>
      <c r="CG383" s="581"/>
      <c r="CH383" s="581"/>
      <c r="CI383" s="581"/>
      <c r="CJ383" s="581"/>
      <c r="CK383" s="581"/>
      <c r="CL383" s="581"/>
      <c r="CM383" s="581"/>
      <c r="CN383" s="581"/>
      <c r="CO383" s="581"/>
      <c r="CP383" s="581"/>
      <c r="CQ383" s="581"/>
      <c r="CR383" s="581"/>
      <c r="CS383" s="581"/>
      <c r="CT383" s="581"/>
      <c r="CU383" s="581"/>
      <c r="CV383" s="581"/>
      <c r="CW383" s="581"/>
      <c r="CX383" s="581"/>
      <c r="CY383" s="581"/>
      <c r="CZ383" s="581"/>
      <c r="DA383" s="581"/>
      <c r="DB383" s="581"/>
      <c r="DC383" s="581"/>
      <c r="DD383" s="581"/>
      <c r="DE383" s="581"/>
      <c r="DF383" s="581"/>
      <c r="DG383" s="581"/>
      <c r="DH383" s="581"/>
      <c r="DI383" s="581"/>
      <c r="DJ383" s="581"/>
      <c r="DK383" s="581"/>
      <c r="DL383" s="581"/>
      <c r="DM383" s="581"/>
      <c r="DN383" s="581"/>
      <c r="DO383" s="581"/>
      <c r="DP383" s="581"/>
      <c r="DQ383" s="581"/>
      <c r="DR383" s="581"/>
      <c r="DS383" s="581"/>
      <c r="DT383" s="581"/>
      <c r="DU383" s="581"/>
      <c r="DV383" s="581"/>
      <c r="DW383" s="581"/>
      <c r="DX383" s="581"/>
      <c r="DY383" s="581"/>
      <c r="DZ383" s="581"/>
      <c r="EA383" s="581"/>
      <c r="EB383" s="581"/>
      <c r="EC383" s="581"/>
      <c r="ED383" s="581"/>
      <c r="EE383" s="581"/>
      <c r="EF383" s="581"/>
      <c r="EG383" s="581"/>
      <c r="EH383" s="581"/>
      <c r="EI383" s="581"/>
      <c r="EJ383" s="581"/>
      <c r="EK383" s="581"/>
      <c r="EL383" s="581"/>
      <c r="EM383" s="581"/>
    </row>
    <row r="384" spans="1:143" s="8" customFormat="1" ht="12.75">
      <c r="A384" s="521" t="str">
        <f>A377</f>
        <v>     Aprēķinātais tarifs</v>
      </c>
      <c r="B384" s="271">
        <f>ROUND(IF('Datu ievade'!$B$357='Datu ievade'!$B$358,(1+B373)*((SUM(B219:B227)+SUM(Aprekini!B59+Aprekini!B65+Aprekini!B71)*B389+SUM(Aprekini!B24+Aprekini!B25+Aprekini!B26+Aprekini!B27)+Aprekini!$B$109*SUM(Aprekini!B252:B253,Aprekini!B260:B261)*(1-Aprekini!B157))/('Datu ievade'!E271+'Datu ievade'!E280+'Datu ievade'!E287)),IF('Datu ievade'!$B$357='Datu ievade'!$B$359,(1+B373)*((SUM('Datu ievade'!B219:B227)+SUM(Aprekini!B71+Aprekini!B65+Aprekini!B59)*B389+SUM(Aprekini!B24+Aprekini!B25+Aprekini!B26+Aprekini!B27)+SUM(Aprekini!B252,Aprekini!B260)*Aprekini!$B$109)/('Datu ievade'!E271+'Datu ievade'!E280+'Datu ievade'!E287)),)),3)</f>
        <v>0.324</v>
      </c>
      <c r="C384" s="271">
        <f>ROUND(IF('Datu ievade'!$B$357='Datu ievade'!$B$358,(1+C373)*((SUM(C219:C227)+SUM(Aprekini!C59+Aprekini!C65+Aprekini!C71)*C389+SUM(Aprekini!C24+Aprekini!C25+Aprekini!C26+Aprekini!C27)+Aprekini!$B$109*SUM(Aprekini!C252:C253,Aprekini!C260:C261)*(1-Aprekini!C157))/('Datu ievade'!F271+'Datu ievade'!F280+'Datu ievade'!F287)),IF('Datu ievade'!$B$357='Datu ievade'!$B$359,(1+C373)*((SUM('Datu ievade'!C219:C227)+SUM(Aprekini!C71+Aprekini!C65+Aprekini!C59)*C389+SUM(Aprekini!C24+Aprekini!C25+Aprekini!C26+Aprekini!C27)+SUM(Aprekini!C252,Aprekini!C260)*Aprekini!$B$109)/('Datu ievade'!F271+'Datu ievade'!F280+'Datu ievade'!F287)),)),3)</f>
        <v>0.331</v>
      </c>
      <c r="D384" s="271">
        <f>ROUND(IF('Datu ievade'!$B$357='Datu ievade'!$B$358,(1+D373)*((SUM(D219:D227)+SUM(Aprekini!D59+Aprekini!D65+Aprekini!D71)*D389+SUM(Aprekini!D24+Aprekini!D25+Aprekini!D26+Aprekini!D27)+Aprekini!$B$109*SUM(Aprekini!D252:D253,Aprekini!D260:D261)*(1-Aprekini!D157))/('Datu ievade'!G271+'Datu ievade'!G280+'Datu ievade'!G287)),IF('Datu ievade'!$B$357='Datu ievade'!$B$359,(1+D373)*((SUM('Datu ievade'!D219:D227)+SUM(Aprekini!D71+Aprekini!D65+Aprekini!D59)*D389+SUM(Aprekini!D24+Aprekini!D25+Aprekini!D26+Aprekini!D27)+SUM(Aprekini!D252,Aprekini!D260)*Aprekini!$B$109)/('Datu ievade'!G271+'Datu ievade'!G280+'Datu ievade'!G287)),)),3)</f>
        <v>0.316</v>
      </c>
      <c r="E384" s="271">
        <f>ROUND(IF('Datu ievade'!$B$357='Datu ievade'!$B$358,(1+E373)*((SUM(E219:E227)+SUM(Aprekini!E59+Aprekini!E65+Aprekini!E71)*E389+SUM(Aprekini!E24+Aprekini!E25+Aprekini!E26+Aprekini!E27)+Aprekini!$B$109*SUM(Aprekini!E252:E253,Aprekini!E260:E261)*(1-Aprekini!E157))/('Datu ievade'!H271+'Datu ievade'!H280+'Datu ievade'!H287)),IF('Datu ievade'!$B$357='Datu ievade'!$B$359,(1+E373)*((SUM('Datu ievade'!E219:E227)+SUM(Aprekini!E71+Aprekini!E65+Aprekini!E59)*E389+SUM(Aprekini!E24+Aprekini!E25+Aprekini!E26+Aprekini!E27)+SUM(Aprekini!E252,Aprekini!E260)*Aprekini!$B$109)/('Datu ievade'!H271+'Datu ievade'!H280+'Datu ievade'!H287)),)),3)</f>
        <v>0.426</v>
      </c>
      <c r="F384" s="271">
        <f>ROUND(IF('Datu ievade'!$B$357='Datu ievade'!$B$358,(1+F373)*((SUM(F219:F227)+SUM(Aprekini!F59+Aprekini!F65+Aprekini!F71)*F389+SUM(Aprekini!F24+Aprekini!F25+Aprekini!F26+Aprekini!F27)+Aprekini!$B$109*SUM(Aprekini!F252:F253,Aprekini!F260:F261)*(1-Aprekini!F157))/('Datu ievade'!I271+'Datu ievade'!I280+'Datu ievade'!I287)),IF('Datu ievade'!$B$357='Datu ievade'!$B$359,(1+F373)*((SUM('Datu ievade'!F219:F227)+SUM(Aprekini!F71+Aprekini!F65+Aprekini!F59)*F389+SUM(Aprekini!F24+Aprekini!F25+Aprekini!F26+Aprekini!F27)+SUM(Aprekini!F252,Aprekini!F260)*Aprekini!$B$109)/('Datu ievade'!I271+'Datu ievade'!I280+'Datu ievade'!I287)),)),3)</f>
        <v>0.428</v>
      </c>
      <c r="G384" s="271">
        <f>ROUND(IF('Datu ievade'!$B$357='Datu ievade'!$B$358,(1+G373)*((SUM(G219:G227)+SUM(Aprekini!G59+Aprekini!G65+Aprekini!G71)*G389+SUM(Aprekini!G24+Aprekini!G25+Aprekini!G26+Aprekini!G27)+Aprekini!$B$109*SUM(Aprekini!G252:G253,Aprekini!G260:G261)*(1-Aprekini!G157))/('Datu ievade'!J271+'Datu ievade'!J280+'Datu ievade'!J287)),IF('Datu ievade'!$B$357='Datu ievade'!$B$359,(1+G373)*((SUM('Datu ievade'!G219:G227)+SUM(Aprekini!G71+Aprekini!G65+Aprekini!G59)*G389+SUM(Aprekini!G24+Aprekini!G25+Aprekini!G26+Aprekini!G27)+SUM(Aprekini!G252,Aprekini!G260)*Aprekini!$B$109)/('Datu ievade'!J271+'Datu ievade'!J280+'Datu ievade'!J287)),)),3)</f>
        <v>0.433</v>
      </c>
      <c r="H384" s="271">
        <f>ROUND(IF('Datu ievade'!$B$357='Datu ievade'!$B$358,(1+H373)*((SUM(H219:H227)+SUM(Aprekini!H59+Aprekini!H65+Aprekini!H71)*H389+SUM(Aprekini!H24+Aprekini!H25+Aprekini!H26+Aprekini!H27)+Aprekini!$B$109*SUM(Aprekini!H252:H253,Aprekini!H260:H261)*(1-Aprekini!H157))/('Datu ievade'!K271+'Datu ievade'!K280+'Datu ievade'!K287)),IF('Datu ievade'!$B$357='Datu ievade'!$B$359,(1+H373)*((SUM('Datu ievade'!H219:H227)+SUM(Aprekini!H71+Aprekini!H65+Aprekini!H59)*H389+SUM(Aprekini!H24+Aprekini!H25+Aprekini!H26+Aprekini!H27)+SUM(Aprekini!H252,Aprekini!H260)*Aprekini!$B$109)/('Datu ievade'!K271+'Datu ievade'!K280+'Datu ievade'!K287)),)),3)</f>
        <v>0.44</v>
      </c>
      <c r="I384" s="271">
        <f>ROUND(IF('Datu ievade'!$B$357='Datu ievade'!$B$358,(1+I373)*((SUM(I219:I227)+SUM(Aprekini!I59+Aprekini!I65+Aprekini!I71)*I389+SUM(Aprekini!I24+Aprekini!I25+Aprekini!I26+Aprekini!I27)+Aprekini!$B$109*SUM(Aprekini!I252:I253,Aprekini!I260:I261)*(1-Aprekini!I157))/('Datu ievade'!L271+'Datu ievade'!L280+'Datu ievade'!L287)),IF('Datu ievade'!$B$357='Datu ievade'!$B$359,(1+I373)*((SUM('Datu ievade'!I219:I227)+SUM(Aprekini!I71+Aprekini!I65+Aprekini!I59)*I389+SUM(Aprekini!I24+Aprekini!I25+Aprekini!I26+Aprekini!I27)+SUM(Aprekini!I252,Aprekini!I260)*Aprekini!$B$109)/('Datu ievade'!L271+'Datu ievade'!L280+'Datu ievade'!L287)),)),3)</f>
        <v>0.447</v>
      </c>
      <c r="J384" s="271">
        <f>ROUND(IF('Datu ievade'!$B$357='Datu ievade'!$B$358,(1+J373)*((SUM(J219:J227)+SUM(Aprekini!J59+Aprekini!J65+Aprekini!J71)*J389+SUM(Aprekini!J24+Aprekini!J25+Aprekini!J26+Aprekini!J27)+Aprekini!$B$109*SUM(Aprekini!J252:J253,Aprekini!J260:J261)*(1-Aprekini!J157))/('Datu ievade'!M271+'Datu ievade'!M280+'Datu ievade'!M287)),IF('Datu ievade'!$B$357='Datu ievade'!$B$359,(1+J373)*((SUM('Datu ievade'!J219:J227)+SUM(Aprekini!J71+Aprekini!J65+Aprekini!J59)*J389+SUM(Aprekini!J24+Aprekini!J25+Aprekini!J26+Aprekini!J27)+SUM(Aprekini!J252,Aprekini!J260)*Aprekini!$B$109)/('Datu ievade'!M271+'Datu ievade'!M280+'Datu ievade'!M287)),)),3)</f>
        <v>0.448</v>
      </c>
      <c r="K384" s="271">
        <f>ROUND(IF('Datu ievade'!$B$357='Datu ievade'!$B$358,(1+K373)*((SUM(K219:K227)+SUM(Aprekini!K59+Aprekini!K65+Aprekini!K71)*K389+SUM(Aprekini!K24+Aprekini!K25+Aprekini!K26+Aprekini!K27)+Aprekini!$B$109*SUM(Aprekini!K252:K253,Aprekini!K260:K261)*(1-Aprekini!K157))/('Datu ievade'!N271+'Datu ievade'!N280+'Datu ievade'!N287)),IF('Datu ievade'!$B$357='Datu ievade'!$B$359,(1+K373)*((SUM('Datu ievade'!K219:K227)+SUM(Aprekini!K71+Aprekini!K65+Aprekini!K59)*K389+SUM(Aprekini!K24+Aprekini!K25+Aprekini!K26+Aprekini!K27)+SUM(Aprekini!K252,Aprekini!K260)*Aprekini!$B$109)/('Datu ievade'!N271+'Datu ievade'!N280+'Datu ievade'!N287)),)),3)</f>
        <v>0.455</v>
      </c>
      <c r="L384" s="271">
        <f>ROUND(IF('Datu ievade'!$B$357='Datu ievade'!$B$358,(1+L373)*((SUM(L219:L227)+SUM(Aprekini!L59+Aprekini!L65+Aprekini!L71)*L389+SUM(Aprekini!L24+Aprekini!L25+Aprekini!L26+Aprekini!L27)+Aprekini!$B$109*SUM(Aprekini!L252:L253,Aprekini!L260:L261)*(1-Aprekini!L157))/('Datu ievade'!O271+'Datu ievade'!O280+'Datu ievade'!O287)),IF('Datu ievade'!$B$357='Datu ievade'!$B$359,(1+L373)*((SUM('Datu ievade'!L219:L227)+SUM(Aprekini!L71+Aprekini!L65+Aprekini!L59)*L389+SUM(Aprekini!L24+Aprekini!L25+Aprekini!L26+Aprekini!L27)+SUM(Aprekini!L252,Aprekini!L260)*Aprekini!$B$109)/('Datu ievade'!O271+'Datu ievade'!O280+'Datu ievade'!O287)),)),3)</f>
        <v>0.458</v>
      </c>
      <c r="M384" s="271">
        <f>ROUND(IF('Datu ievade'!$B$357='Datu ievade'!$B$358,(1+M373)*((SUM(M219:M227)+SUM(Aprekini!M59+Aprekini!M65+Aprekini!M71)*M389+SUM(Aprekini!M24+Aprekini!M25+Aprekini!M26+Aprekini!M27)+Aprekini!$B$109*SUM(Aprekini!M252:M253,Aprekini!M260:M261)*(1-Aprekini!M157))/('Datu ievade'!P271+'Datu ievade'!P280+'Datu ievade'!P287)),IF('Datu ievade'!$B$357='Datu ievade'!$B$359,(1+M373)*((SUM('Datu ievade'!M219:M227)+SUM(Aprekini!M71+Aprekini!M65+Aprekini!M59)*M389+SUM(Aprekini!M24+Aprekini!M25+Aprekini!M26+Aprekini!M27)+SUM(Aprekini!M252,Aprekini!M260)*Aprekini!$B$109)/('Datu ievade'!P271+'Datu ievade'!P280+'Datu ievade'!P287)),)),3)</f>
        <v>0.465</v>
      </c>
      <c r="N384" s="271">
        <f>ROUND(IF('Datu ievade'!$B$357='Datu ievade'!$B$358,(1+N373)*((SUM(N219:N227)+SUM(Aprekini!N59+Aprekini!N65+Aprekini!N71)*N389+SUM(Aprekini!N24+Aprekini!N25+Aprekini!N26+Aprekini!N27)+Aprekini!$B$109*SUM(Aprekini!N252:N253,Aprekini!N260:N261)*(1-Aprekini!N157))/('Datu ievade'!Q271+'Datu ievade'!Q280+'Datu ievade'!Q287)),IF('Datu ievade'!$B$357='Datu ievade'!$B$359,(1+N373)*((SUM('Datu ievade'!N219:N227)+SUM(Aprekini!N71+Aprekini!N65+Aprekini!N59)*N389+SUM(Aprekini!N24+Aprekini!N25+Aprekini!N26+Aprekini!N27)+SUM(Aprekini!N252,Aprekini!N260)*Aprekini!$B$109)/('Datu ievade'!Q271+'Datu ievade'!Q280+'Datu ievade'!Q287)),)),3)</f>
        <v>0.472</v>
      </c>
      <c r="O384" s="271">
        <f>ROUND(IF('Datu ievade'!$B$357='Datu ievade'!$B$358,(1+O373)*((SUM(O219:O227)+SUM(Aprekini!O59+Aprekini!O65+Aprekini!O71)*O389+SUM(Aprekini!O24+Aprekini!O25+Aprekini!O26+Aprekini!O27)+Aprekini!$B$109*SUM(Aprekini!O252:O253,Aprekini!O260:O261)*(1-Aprekini!O157))/('Datu ievade'!R271+'Datu ievade'!R280+'Datu ievade'!R287)),IF('Datu ievade'!$B$357='Datu ievade'!$B$359,(1+O373)*((SUM('Datu ievade'!O219:O227)+SUM(Aprekini!O71+Aprekini!O65+Aprekini!O59)*O389+SUM(Aprekini!O24+Aprekini!O25+Aprekini!O26+Aprekini!O27)+SUM(Aprekini!O252,Aprekini!O260)*Aprekini!$B$109)/('Datu ievade'!R271+'Datu ievade'!R280+'Datu ievade'!R287)),)),3)</f>
        <v>0.473</v>
      </c>
      <c r="P384" s="271">
        <f>ROUND(IF('Datu ievade'!$B$357='Datu ievade'!$B$358,(1+P373)*((SUM(P219:P227)+SUM(Aprekini!P59+Aprekini!P65+Aprekini!P71)*P389+SUM(Aprekini!P24+Aprekini!P25+Aprekini!P26+Aprekini!P27)+Aprekini!$B$109*SUM(Aprekini!P252:P253,Aprekini!P260:P261)*(1-Aprekini!P157))/('Datu ievade'!S271+'Datu ievade'!S280+'Datu ievade'!S287)),IF('Datu ievade'!$B$357='Datu ievade'!$B$359,(1+P373)*((SUM('Datu ievade'!P219:P227)+SUM(Aprekini!P71+Aprekini!P65+Aprekini!P59)*P389+SUM(Aprekini!P24+Aprekini!P25+Aprekini!P26+Aprekini!P27)+SUM(Aprekini!P252,Aprekini!P260)*Aprekini!$B$109)/('Datu ievade'!S271+'Datu ievade'!S280+'Datu ievade'!S287)),)),3)</f>
        <v>0.48</v>
      </c>
      <c r="Q384" s="271">
        <f>ROUND(IF('Datu ievade'!$B$357='Datu ievade'!$B$358,(1+Q373)*((SUM(Q219:Q227)+SUM(Aprekini!Q59+Aprekini!Q65+Aprekini!Q71)*Q389+SUM(Aprekini!Q24+Aprekini!Q25+Aprekini!Q26+Aprekini!Q27)+Aprekini!$B$109*SUM(Aprekini!Q252:Q253,Aprekini!Q260:Q261)*(1-Aprekini!Q157))/('Datu ievade'!T271+'Datu ievade'!T280+'Datu ievade'!T287)),IF('Datu ievade'!$B$357='Datu ievade'!$B$359,(1+Q373)*((SUM('Datu ievade'!Q219:Q227)+SUM(Aprekini!Q71+Aprekini!Q65+Aprekini!Q59)*Q389+SUM(Aprekini!Q24+Aprekini!Q25+Aprekini!Q26+Aprekini!Q27)+SUM(Aprekini!Q252,Aprekini!Q260)*Aprekini!$B$109)/('Datu ievade'!T271+'Datu ievade'!T280+'Datu ievade'!T287)),)),3)</f>
        <v>0.487</v>
      </c>
      <c r="R384" s="271">
        <f>ROUND(IF('Datu ievade'!$B$357='Datu ievade'!$B$358,(1+R373)*((SUM(R219:R227)+SUM(Aprekini!R59+Aprekini!R65+Aprekini!R71)*R389+SUM(Aprekini!R24+Aprekini!R25+Aprekini!R26+Aprekini!R27)+Aprekini!$B$109*SUM(Aprekini!R252:R253,Aprekini!R260:R261)*(1-Aprekini!R157))/('Datu ievade'!U271+'Datu ievade'!U280+'Datu ievade'!U287)),IF('Datu ievade'!$B$357='Datu ievade'!$B$359,(1+R373)*((SUM('Datu ievade'!R219:R227)+SUM(Aprekini!R71+Aprekini!R65+Aprekini!R59)*R389+SUM(Aprekini!R24+Aprekini!R25+Aprekini!R26+Aprekini!R27)+SUM(Aprekini!R252,Aprekini!R260)*Aprekini!$B$109)/('Datu ievade'!U271+'Datu ievade'!U280+'Datu ievade'!U287)),)),3)</f>
        <v>0.495</v>
      </c>
      <c r="S384" s="271">
        <f>ROUND(IF('Datu ievade'!$B$357='Datu ievade'!$B$358,(1+S373)*((SUM(S219:S227)+SUM(Aprekini!S59+Aprekini!S65+Aprekini!S71)*S389+SUM(Aprekini!S24+Aprekini!S25+Aprekini!S26+Aprekini!S27)+Aprekini!$B$109*SUM(Aprekini!S252:S253,Aprekini!S260:S261)*(1-Aprekini!S157))/('Datu ievade'!V271+'Datu ievade'!V280+'Datu ievade'!V287)),IF('Datu ievade'!$B$357='Datu ievade'!$B$359,(1+S373)*((SUM('Datu ievade'!S219:S227)+SUM(Aprekini!S71+Aprekini!S65+Aprekini!S59)*S389+SUM(Aprekini!S24+Aprekini!S25+Aprekini!S26+Aprekini!S27)+SUM(Aprekini!S252,Aprekini!S260)*Aprekini!$B$109)/('Datu ievade'!V271+'Datu ievade'!V280+'Datu ievade'!V287)),)),3)</f>
        <v>0.502</v>
      </c>
      <c r="T384" s="271">
        <f>ROUND(IF('Datu ievade'!$B$357='Datu ievade'!$B$358,(1+T373)*((SUM(T219:T227)+SUM(Aprekini!T59+Aprekini!T65+Aprekini!T71)*T389+SUM(Aprekini!T24+Aprekini!T25+Aprekini!T26+Aprekini!T27)+Aprekini!$B$109*SUM(Aprekini!T252:T253,Aprekini!T260:T261)*(1-Aprekini!T157))/('Datu ievade'!W271+'Datu ievade'!W280+'Datu ievade'!W287)),IF('Datu ievade'!$B$357='Datu ievade'!$B$359,(1+T373)*((SUM('Datu ievade'!T219:T227)+SUM(Aprekini!T71+Aprekini!T65+Aprekini!T59)*T389+SUM(Aprekini!T24+Aprekini!T25+Aprekini!T26+Aprekini!T27)+SUM(Aprekini!T252,Aprekini!T260)*Aprekini!$B$109)/('Datu ievade'!W271+'Datu ievade'!W280+'Datu ievade'!W287)),)),3)</f>
        <v>0.513</v>
      </c>
      <c r="U384" s="271">
        <f>ROUND(IF('Datu ievade'!$B$357='Datu ievade'!$B$358,(1+U373)*((SUM(U219:U227)+SUM(Aprekini!U59+Aprekini!U65+Aprekini!U71)*U389+SUM(Aprekini!U24+Aprekini!U25+Aprekini!U26+Aprekini!U27)+Aprekini!$B$109*SUM(Aprekini!U252:U253,Aprekini!U260:U261)*(1-Aprekini!U157))/('Datu ievade'!X271+'Datu ievade'!X280+'Datu ievade'!X287)),IF('Datu ievade'!$B$357='Datu ievade'!$B$359,(1+U373)*((SUM('Datu ievade'!U219:U227)+SUM(Aprekini!U71+Aprekini!U65+Aprekini!U59)*U389+SUM(Aprekini!U24+Aprekini!U25+Aprekini!U26+Aprekini!U27)+SUM(Aprekini!U252,Aprekini!U260)*Aprekini!$B$109)/('Datu ievade'!X271+'Datu ievade'!X280+'Datu ievade'!X287)),)),3)</f>
        <v>0.516</v>
      </c>
      <c r="V384" s="271">
        <f>ROUND(IF('Datu ievade'!$B$357='Datu ievade'!$B$358,(1+V373)*((SUM(V219:V227)+SUM(Aprekini!V59+Aprekini!V65+Aprekini!V71)*V389+SUM(Aprekini!V24+Aprekini!V25+Aprekini!V26+Aprekini!V27)+Aprekini!$B$109*SUM(Aprekini!V252:V253,Aprekini!V260:V261)*(1-Aprekini!V157))/('Datu ievade'!Y271+'Datu ievade'!Y280+'Datu ievade'!Y287)),IF('Datu ievade'!$B$357='Datu ievade'!$B$359,(1+V373)*((SUM('Datu ievade'!V219:V227)+SUM(Aprekini!V71+Aprekini!V65+Aprekini!V59)*V389+SUM(Aprekini!V24+Aprekini!V25+Aprekini!V26+Aprekini!V27)+SUM(Aprekini!V252,Aprekini!V260)*Aprekini!$B$109)/('Datu ievade'!Y271+'Datu ievade'!Y280+'Datu ievade'!Y287)),)),3)</f>
        <v>0.525</v>
      </c>
      <c r="W384" s="271">
        <f>ROUND(IF('Datu ievade'!$B$357='Datu ievade'!$B$358,(1+W373)*((SUM(W219:W227)+SUM(Aprekini!W59+Aprekini!W65+Aprekini!W71)*W389+SUM(Aprekini!W24+Aprekini!W25+Aprekini!W26+Aprekini!W27)+Aprekini!$B$109*SUM(Aprekini!W252:W253,Aprekini!W260:W261)*(1-Aprekini!W157))/('Datu ievade'!Z271+'Datu ievade'!Z280+'Datu ievade'!Z287)),IF('Datu ievade'!$B$357='Datu ievade'!$B$359,(1+W373)*((SUM('Datu ievade'!W219:W227)+SUM(Aprekini!W71+Aprekini!W65+Aprekini!W59)*W389+SUM(Aprekini!W24+Aprekini!W25+Aprekini!W26+Aprekini!W27)+SUM(Aprekini!W252,Aprekini!W260)*Aprekini!$B$109)/('Datu ievade'!Z271+'Datu ievade'!Z280+'Datu ievade'!Z287)),)),3)</f>
        <v>0.529</v>
      </c>
      <c r="X384" s="271">
        <f>ROUND(IF('Datu ievade'!$B$357='Datu ievade'!$B$358,(1+X373)*((SUM(X219:X227)+SUM(Aprekini!X59+Aprekini!X65+Aprekini!X71)*X389+SUM(Aprekini!X24+Aprekini!X25+Aprekini!X26+Aprekini!X27)+Aprekini!$B$109*SUM(Aprekini!X252:X253,Aprekini!X260:X261)*(1-Aprekini!X157))/('Datu ievade'!AA271+'Datu ievade'!AA280+'Datu ievade'!AA287)),IF('Datu ievade'!$B$357='Datu ievade'!$B$359,(1+X373)*((SUM('Datu ievade'!X219:X227)+SUM(Aprekini!X71+Aprekini!X65+Aprekini!X59)*X389+SUM(Aprekini!X24+Aprekini!X25+Aprekini!X26+Aprekini!X27)+SUM(Aprekini!X252,Aprekini!X260)*Aprekini!$B$109)/('Datu ievade'!AA271+'Datu ievade'!AA280+'Datu ievade'!AA287)),)),3)</f>
        <v>0.533</v>
      </c>
      <c r="Y384" s="271">
        <f>ROUND(IF('Datu ievade'!$B$357='Datu ievade'!$B$358,(1+Y373)*((SUM(Y219:Y227)+SUM(Aprekini!Y59+Aprekini!Y65+Aprekini!Y71)*Y389+SUM(Aprekini!Y24+Aprekini!Y25+Aprekini!Y26+Aprekini!Y27)+Aprekini!$B$109*SUM(Aprekini!Y252:Y253,Aprekini!Y260:Y261)*(1-Aprekini!Y157))/('Datu ievade'!AB271+'Datu ievade'!AB280+'Datu ievade'!AB287)),IF('Datu ievade'!$B$357='Datu ievade'!$B$359,(1+Y373)*((SUM('Datu ievade'!Y219:Y227)+SUM(Aprekini!Y71+Aprekini!Y65+Aprekini!Y59)*Y389+SUM(Aprekini!Y24+Aprekini!Y25+Aprekini!Y26+Aprekini!Y27)+SUM(Aprekini!Y252,Aprekini!Y260)*Aprekini!$B$109)/('Datu ievade'!AB271+'Datu ievade'!AB280+'Datu ievade'!AB287)),)),3)</f>
        <v>0.537</v>
      </c>
      <c r="Z384" s="271">
        <f>ROUND(IF('Datu ievade'!$B$357='Datu ievade'!$B$358,(1+Z373)*((SUM(Z219:Z227)+SUM(Aprekini!Z59+Aprekini!Z65+Aprekini!Z71)*Z389+SUM(Aprekini!Z24+Aprekini!Z25+Aprekini!Z26+Aprekini!Z27)+Aprekini!$B$109*SUM(Aprekini!Z252:Z253,Aprekini!Z260:Z261)*(1-Aprekini!Z157))/('Datu ievade'!AC271+'Datu ievade'!AC280+'Datu ievade'!AC287)),IF('Datu ievade'!$B$357='Datu ievade'!$B$359,(1+Z373)*((SUM('Datu ievade'!Z219:Z227)+SUM(Aprekini!Z71+Aprekini!Z65+Aprekini!Z59)*Z389+SUM(Aprekini!Z24+Aprekini!Z25+Aprekini!Z26+Aprekini!Z27)+SUM(Aprekini!Z252,Aprekini!Z260)*Aprekini!$B$109)/('Datu ievade'!AC271+'Datu ievade'!AC280+'Datu ievade'!AC287)),)),3)</f>
        <v>0.541</v>
      </c>
      <c r="AA384" s="271">
        <f>ROUND(IF('Datu ievade'!$B$357='Datu ievade'!$B$358,(1+AA373)*((SUM(AA219:AA227)+SUM(Aprekini!AA59+Aprekini!AA65+Aprekini!AA71)*AA389+SUM(Aprekini!AA24+Aprekini!AA25+Aprekini!AA26+Aprekini!AA27)+Aprekini!$B$109*SUM(Aprekini!AA252:AA253,Aprekini!AA260:AA261)*(1-Aprekini!AA157))/('Datu ievade'!AD271+'Datu ievade'!AD280+'Datu ievade'!AD287)),IF('Datu ievade'!$B$357='Datu ievade'!$B$359,(1+AA373)*((SUM('Datu ievade'!AA219:AA227)+SUM(Aprekini!AA71+Aprekini!AA65+Aprekini!AA59)*AA389+SUM(Aprekini!AA24+Aprekini!AA25+Aprekini!AA26+Aprekini!AA27)+SUM(Aprekini!AA252,Aprekini!AA260)*Aprekini!$B$109)/('Datu ievade'!AD271+'Datu ievade'!AD280+'Datu ievade'!AD287)),)),3)</f>
        <v>0.544</v>
      </c>
      <c r="AB384" s="271">
        <f>ROUND(IF('Datu ievade'!$B$357='Datu ievade'!$B$358,(1+AB373)*((SUM(AB219:AB227)+SUM(Aprekini!AB59+Aprekini!AB65+Aprekini!AB71)*AB389+SUM(Aprekini!AB24+Aprekini!AB25+Aprekini!AB26+Aprekini!AB27)+Aprekini!$B$109*SUM(Aprekini!AB252:AB253,Aprekini!AB260:AB261)*(1-Aprekini!AB157))/('Datu ievade'!AE271+'Datu ievade'!AE280+'Datu ievade'!AE287)),IF('Datu ievade'!$B$357='Datu ievade'!$B$359,(1+AB373)*((SUM('Datu ievade'!AB219:AB227)+SUM(Aprekini!AB71+Aprekini!AB65+Aprekini!AB59)*AB389+SUM(Aprekini!AB24+Aprekini!AB25+Aprekini!AB26+Aprekini!AB27)+SUM(Aprekini!AB252,Aprekini!AB260)*Aprekini!$B$109)/('Datu ievade'!AE271+'Datu ievade'!AE280+'Datu ievade'!AE287)),)),3)</f>
        <v>0.548</v>
      </c>
      <c r="AC384" s="271">
        <f>ROUND(IF('Datu ievade'!$B$357='Datu ievade'!$B$358,(1+AC373)*((SUM(AC219:AC227)+SUM(Aprekini!AC59+Aprekini!AC65+Aprekini!AC71)*AC389+SUM(Aprekini!AC24+Aprekini!AC25+Aprekini!AC26+Aprekini!AC27)+Aprekini!$B$109*SUM(Aprekini!AC252:AC253,Aprekini!AC260:AC261)*(1-Aprekini!AC157))/('Datu ievade'!AF271+'Datu ievade'!AF280+'Datu ievade'!AF287)),IF('Datu ievade'!$B$357='Datu ievade'!$B$359,(1+AC373)*((SUM('Datu ievade'!AC219:AC227)+SUM(Aprekini!AC71+Aprekini!AC65+Aprekini!AC59)*AC389+SUM(Aprekini!AC24+Aprekini!AC25+Aprekini!AC26+Aprekini!AC27)+SUM(Aprekini!AC252,Aprekini!AC260)*Aprekini!$B$109)/('Datu ievade'!AF271+'Datu ievade'!AF280+'Datu ievade'!AF287)),)),3)</f>
        <v>0.552</v>
      </c>
      <c r="AD384" s="271">
        <f>ROUND(IF('Datu ievade'!$B$357='Datu ievade'!$B$358,(1+AD373)*((SUM(AD219:AD227)+SUM(Aprekini!AD59+Aprekini!AD65+Aprekini!AD71)*AD389+SUM(Aprekini!AD24+Aprekini!AD25+Aprekini!AD26+Aprekini!AD27)+Aprekini!$B$109*SUM(Aprekini!AD252:AD253,Aprekini!AD260:AD261)*(1-Aprekini!AD157))/('Datu ievade'!AG271+'Datu ievade'!AG280+'Datu ievade'!AG287)),IF('Datu ievade'!$B$357='Datu ievade'!$B$359,(1+AD373)*((SUM('Datu ievade'!AD219:AD227)+SUM(Aprekini!AD71+Aprekini!AD65+Aprekini!AD59)*AD389+SUM(Aprekini!AD24+Aprekini!AD25+Aprekini!AD26+Aprekini!AD27)+SUM(Aprekini!AD252,Aprekini!AD260)*Aprekini!$B$109)/('Datu ievade'!AG271+'Datu ievade'!AG280+'Datu ievade'!AG287)),)),3)</f>
        <v>0.556</v>
      </c>
      <c r="AE384" s="271">
        <f>ROUND(IF('Datu ievade'!$B$357='Datu ievade'!$B$358,(1+AE373)*((SUM(AE219:AE227)+SUM(Aprekini!AE59+Aprekini!AE65+Aprekini!AE71)*AE389+SUM(Aprekini!AE24+Aprekini!AE25+Aprekini!AE26+Aprekini!AE27)+Aprekini!$B$109*SUM(Aprekini!AE252:AE253,Aprekini!AE260:AE261)*(1-Aprekini!AE157))/('Datu ievade'!AH271+'Datu ievade'!AH280+'Datu ievade'!AH287)),IF('Datu ievade'!$B$357='Datu ievade'!$B$359,(1+AE373)*((SUM('Datu ievade'!AE219:AE227)+SUM(Aprekini!AE71+Aprekini!AE65+Aprekini!AE59)*AE389+SUM(Aprekini!AE24+Aprekini!AE25+Aprekini!AE26+Aprekini!AE27)+SUM(Aprekini!AE252,Aprekini!AE260)*Aprekini!$B$109)/('Datu ievade'!AH271+'Datu ievade'!AH280+'Datu ievade'!AH287)),)),3)</f>
        <v>0.56</v>
      </c>
      <c r="AF384" s="271">
        <f>ROUND(IF('Datu ievade'!$B$357='Datu ievade'!$B$358,(1+AF373)*((SUM(AF219:AF227)+SUM(Aprekini!AF59+Aprekini!AF65+Aprekini!AF71)*AF389+SUM(Aprekini!AF24+Aprekini!AF25+Aprekini!AF26+Aprekini!AF27)+Aprekini!$B$109*SUM(Aprekini!AF252:AF253,Aprekini!AF260:AF261)*(1-Aprekini!AF157))/('Datu ievade'!AI271+'Datu ievade'!AI280+'Datu ievade'!AI287)),IF('Datu ievade'!$B$357='Datu ievade'!$B$359,(1+AF373)*((SUM('Datu ievade'!AF219:AF227)+SUM(Aprekini!AF71+Aprekini!AF65+Aprekini!AF59)*AF389+SUM(Aprekini!AF24+Aprekini!AF25+Aprekini!AF26+Aprekini!AF27)+SUM(Aprekini!AF252,Aprekini!AF260)*Aprekini!$B$109)/('Datu ievade'!AI271+'Datu ievade'!AI280+'Datu ievade'!AI287)),)),3)</f>
        <v>0.567</v>
      </c>
      <c r="AG384" s="271">
        <f>ROUND(IF('Datu ievade'!$B$357='Datu ievade'!$B$358,(1+AG373)*((SUM(AG219:AG227)+SUM(Aprekini!AG59+Aprekini!AG65+Aprekini!AG71)*AG389+SUM(Aprekini!AG24+Aprekini!AG25+Aprekini!AG26+Aprekini!AG27)+Aprekini!$B$109*SUM(Aprekini!AG252:AG253,Aprekini!AG260:AG261)*(1-Aprekini!AG157))/('Datu ievade'!AJ271+'Datu ievade'!AJ280+'Datu ievade'!AJ287)),IF('Datu ievade'!$B$357='Datu ievade'!$B$359,(1+AG373)*((SUM('Datu ievade'!AG219:AG227)+SUM(Aprekini!AG71+Aprekini!AG65+Aprekini!AG59)*AG389+SUM(Aprekini!AG24+Aprekini!AG25+Aprekini!AG26+Aprekini!AG27)+SUM(Aprekini!AG252,Aprekini!AG260)*Aprekini!$B$109)/('Datu ievade'!AJ271+'Datu ievade'!AJ280+'Datu ievade'!AJ287)),)),3)</f>
        <v>0.574</v>
      </c>
      <c r="AH384" s="254"/>
      <c r="AI384" s="254"/>
      <c r="AJ384" s="443"/>
      <c r="AK384" s="443"/>
      <c r="AL384" s="443"/>
      <c r="AM384" s="443"/>
      <c r="AN384" s="443"/>
      <c r="AO384" s="443"/>
      <c r="AP384" s="443"/>
      <c r="AQ384" s="443"/>
      <c r="AR384" s="443"/>
      <c r="AS384" s="443"/>
      <c r="AT384" s="443"/>
      <c r="AU384" s="443"/>
      <c r="AV384" s="443"/>
      <c r="AW384" s="443"/>
      <c r="AX384" s="443"/>
      <c r="AY384" s="443"/>
      <c r="AZ384" s="443"/>
      <c r="BA384" s="443"/>
      <c r="BB384" s="443"/>
      <c r="BC384" s="443"/>
      <c r="BD384" s="443"/>
      <c r="BE384" s="443"/>
      <c r="BF384" s="443"/>
      <c r="BG384" s="443"/>
      <c r="BH384" s="443"/>
      <c r="BI384" s="443"/>
      <c r="BJ384" s="443"/>
      <c r="BK384" s="443"/>
      <c r="BL384" s="443"/>
      <c r="BM384" s="443"/>
      <c r="BN384" s="443"/>
      <c r="BO384" s="443"/>
      <c r="BP384" s="443"/>
      <c r="BQ384" s="443"/>
      <c r="BR384" s="443"/>
      <c r="BS384" s="443"/>
      <c r="BT384" s="443"/>
      <c r="BU384" s="443"/>
      <c r="BV384" s="443"/>
      <c r="BW384" s="443"/>
      <c r="BX384" s="443"/>
      <c r="BY384" s="443"/>
      <c r="BZ384" s="443"/>
      <c r="CA384" s="443"/>
      <c r="CB384" s="443"/>
      <c r="CC384" s="443"/>
      <c r="CD384" s="443"/>
      <c r="CE384" s="443"/>
      <c r="CF384" s="443"/>
      <c r="CG384" s="443"/>
      <c r="CH384" s="443"/>
      <c r="CI384" s="443"/>
      <c r="CJ384" s="443"/>
      <c r="CK384" s="443"/>
      <c r="CL384" s="443"/>
      <c r="CM384" s="443"/>
      <c r="CN384" s="443"/>
      <c r="CO384" s="443"/>
      <c r="CP384" s="443"/>
      <c r="CQ384" s="443"/>
      <c r="CR384" s="443"/>
      <c r="CS384" s="443"/>
      <c r="CT384" s="443"/>
      <c r="CU384" s="443"/>
      <c r="CV384" s="443"/>
      <c r="CW384" s="443"/>
      <c r="CX384" s="443"/>
      <c r="CY384" s="443"/>
      <c r="CZ384" s="443"/>
      <c r="DA384" s="443"/>
      <c r="DB384" s="443"/>
      <c r="DC384" s="443"/>
      <c r="DD384" s="443"/>
      <c r="DE384" s="443"/>
      <c r="DF384" s="443"/>
      <c r="DG384" s="443"/>
      <c r="DH384" s="443"/>
      <c r="DI384" s="443"/>
      <c r="DJ384" s="443"/>
      <c r="DK384" s="443"/>
      <c r="DL384" s="443"/>
      <c r="DM384" s="443"/>
      <c r="DN384" s="443"/>
      <c r="DO384" s="443"/>
      <c r="DP384" s="443"/>
      <c r="DQ384" s="443"/>
      <c r="DR384" s="443"/>
      <c r="DS384" s="443"/>
      <c r="DT384" s="443"/>
      <c r="DU384" s="443"/>
      <c r="DV384" s="443"/>
      <c r="DW384" s="443"/>
      <c r="DX384" s="443"/>
      <c r="DY384" s="443"/>
      <c r="DZ384" s="443"/>
      <c r="EA384" s="443"/>
      <c r="EB384" s="443"/>
      <c r="EC384" s="443"/>
      <c r="ED384" s="443"/>
      <c r="EE384" s="443"/>
      <c r="EF384" s="443"/>
      <c r="EG384" s="443"/>
      <c r="EH384" s="443"/>
      <c r="EI384" s="443"/>
      <c r="EJ384" s="443"/>
      <c r="EK384" s="443"/>
      <c r="EL384" s="443"/>
      <c r="EM384" s="443"/>
    </row>
    <row r="385" spans="1:143" s="8" customFormat="1" ht="12.75">
      <c r="A385" s="142" t="s">
        <v>388</v>
      </c>
      <c r="B385" s="271"/>
      <c r="C385" s="147">
        <f>C384-B384</f>
        <v>0.007000000000000006</v>
      </c>
      <c r="D385" s="147">
        <f>D384-C384</f>
        <v>-0.015000000000000013</v>
      </c>
      <c r="E385" s="147">
        <f aca="true" t="shared" si="62" ref="E385:AG385">E384-D384</f>
        <v>0.10999999999999999</v>
      </c>
      <c r="F385" s="147">
        <f t="shared" si="62"/>
        <v>0.0020000000000000018</v>
      </c>
      <c r="G385" s="147">
        <f t="shared" si="62"/>
        <v>0.0050000000000000044</v>
      </c>
      <c r="H385" s="147">
        <f t="shared" si="62"/>
        <v>0.007000000000000006</v>
      </c>
      <c r="I385" s="147">
        <f t="shared" si="62"/>
        <v>0.007000000000000006</v>
      </c>
      <c r="J385" s="147">
        <f t="shared" si="62"/>
        <v>0.0010000000000000009</v>
      </c>
      <c r="K385" s="147">
        <f t="shared" si="62"/>
        <v>0.007000000000000006</v>
      </c>
      <c r="L385" s="147">
        <f t="shared" si="62"/>
        <v>0.0030000000000000027</v>
      </c>
      <c r="M385" s="147">
        <f t="shared" si="62"/>
        <v>0.007000000000000006</v>
      </c>
      <c r="N385" s="147">
        <f t="shared" si="62"/>
        <v>0.006999999999999951</v>
      </c>
      <c r="O385" s="147">
        <f t="shared" si="62"/>
        <v>0.0010000000000000009</v>
      </c>
      <c r="P385" s="147">
        <f t="shared" si="62"/>
        <v>0.007000000000000006</v>
      </c>
      <c r="Q385" s="147">
        <f t="shared" si="62"/>
        <v>0.007000000000000006</v>
      </c>
      <c r="R385" s="147">
        <f t="shared" si="62"/>
        <v>0.008000000000000007</v>
      </c>
      <c r="S385" s="147">
        <f t="shared" si="62"/>
        <v>0.007000000000000006</v>
      </c>
      <c r="T385" s="147">
        <f t="shared" si="62"/>
        <v>0.01100000000000001</v>
      </c>
      <c r="U385" s="147">
        <f t="shared" si="62"/>
        <v>0.0030000000000000027</v>
      </c>
      <c r="V385" s="147">
        <f t="shared" si="62"/>
        <v>0.009000000000000008</v>
      </c>
      <c r="W385" s="147">
        <f t="shared" si="62"/>
        <v>0.0040000000000000036</v>
      </c>
      <c r="X385" s="147">
        <f t="shared" si="62"/>
        <v>0.0040000000000000036</v>
      </c>
      <c r="Y385" s="147">
        <f t="shared" si="62"/>
        <v>0.0040000000000000036</v>
      </c>
      <c r="Z385" s="147">
        <f t="shared" si="62"/>
        <v>0.0040000000000000036</v>
      </c>
      <c r="AA385" s="147">
        <f t="shared" si="62"/>
        <v>0.0030000000000000027</v>
      </c>
      <c r="AB385" s="147">
        <f t="shared" si="62"/>
        <v>0.0040000000000000036</v>
      </c>
      <c r="AC385" s="147">
        <f t="shared" si="62"/>
        <v>0.0040000000000000036</v>
      </c>
      <c r="AD385" s="147">
        <f t="shared" si="62"/>
        <v>0.0040000000000000036</v>
      </c>
      <c r="AE385" s="147">
        <f t="shared" si="62"/>
        <v>0.0040000000000000036</v>
      </c>
      <c r="AF385" s="147">
        <f t="shared" si="62"/>
        <v>0.006999999999999895</v>
      </c>
      <c r="AG385" s="147">
        <f t="shared" si="62"/>
        <v>0.007000000000000006</v>
      </c>
      <c r="AH385" s="254"/>
      <c r="AI385" s="254"/>
      <c r="AJ385" s="443"/>
      <c r="AK385" s="443"/>
      <c r="AL385" s="443"/>
      <c r="AM385" s="443"/>
      <c r="AN385" s="443"/>
      <c r="AO385" s="443"/>
      <c r="AP385" s="443"/>
      <c r="AQ385" s="443"/>
      <c r="AR385" s="443"/>
      <c r="AS385" s="443"/>
      <c r="AT385" s="443"/>
      <c r="AU385" s="443"/>
      <c r="AV385" s="443"/>
      <c r="AW385" s="443"/>
      <c r="AX385" s="443"/>
      <c r="AY385" s="443"/>
      <c r="AZ385" s="443"/>
      <c r="BA385" s="443"/>
      <c r="BB385" s="443"/>
      <c r="BC385" s="443"/>
      <c r="BD385" s="443"/>
      <c r="BE385" s="443"/>
      <c r="BF385" s="443"/>
      <c r="BG385" s="443"/>
      <c r="BH385" s="443"/>
      <c r="BI385" s="443"/>
      <c r="BJ385" s="443"/>
      <c r="BK385" s="443"/>
      <c r="BL385" s="443"/>
      <c r="BM385" s="443"/>
      <c r="BN385" s="443"/>
      <c r="BO385" s="443"/>
      <c r="BP385" s="443"/>
      <c r="BQ385" s="443"/>
      <c r="BR385" s="443"/>
      <c r="BS385" s="443"/>
      <c r="BT385" s="443"/>
      <c r="BU385" s="443"/>
      <c r="BV385" s="443"/>
      <c r="BW385" s="443"/>
      <c r="BX385" s="443"/>
      <c r="BY385" s="443"/>
      <c r="BZ385" s="443"/>
      <c r="CA385" s="443"/>
      <c r="CB385" s="443"/>
      <c r="CC385" s="443"/>
      <c r="CD385" s="443"/>
      <c r="CE385" s="443"/>
      <c r="CF385" s="443"/>
      <c r="CG385" s="443"/>
      <c r="CH385" s="443"/>
      <c r="CI385" s="443"/>
      <c r="CJ385" s="443"/>
      <c r="CK385" s="443"/>
      <c r="CL385" s="443"/>
      <c r="CM385" s="443"/>
      <c r="CN385" s="443"/>
      <c r="CO385" s="443"/>
      <c r="CP385" s="443"/>
      <c r="CQ385" s="443"/>
      <c r="CR385" s="443"/>
      <c r="CS385" s="443"/>
      <c r="CT385" s="443"/>
      <c r="CU385" s="443"/>
      <c r="CV385" s="443"/>
      <c r="CW385" s="443"/>
      <c r="CX385" s="443"/>
      <c r="CY385" s="443"/>
      <c r="CZ385" s="443"/>
      <c r="DA385" s="443"/>
      <c r="DB385" s="443"/>
      <c r="DC385" s="443"/>
      <c r="DD385" s="443"/>
      <c r="DE385" s="443"/>
      <c r="DF385" s="443"/>
      <c r="DG385" s="443"/>
      <c r="DH385" s="443"/>
      <c r="DI385" s="443"/>
      <c r="DJ385" s="443"/>
      <c r="DK385" s="443"/>
      <c r="DL385" s="443"/>
      <c r="DM385" s="443"/>
      <c r="DN385" s="443"/>
      <c r="DO385" s="443"/>
      <c r="DP385" s="443"/>
      <c r="DQ385" s="443"/>
      <c r="DR385" s="443"/>
      <c r="DS385" s="443"/>
      <c r="DT385" s="443"/>
      <c r="DU385" s="443"/>
      <c r="DV385" s="443"/>
      <c r="DW385" s="443"/>
      <c r="DX385" s="443"/>
      <c r="DY385" s="443"/>
      <c r="DZ385" s="443"/>
      <c r="EA385" s="443"/>
      <c r="EB385" s="443"/>
      <c r="EC385" s="443"/>
      <c r="ED385" s="443"/>
      <c r="EE385" s="443"/>
      <c r="EF385" s="443"/>
      <c r="EG385" s="443"/>
      <c r="EH385" s="443"/>
      <c r="EI385" s="443"/>
      <c r="EJ385" s="443"/>
      <c r="EK385" s="443"/>
      <c r="EL385" s="443"/>
      <c r="EM385" s="443"/>
    </row>
    <row r="386" spans="1:143" s="257" customFormat="1" ht="25.5">
      <c r="A386" s="261" t="s">
        <v>389</v>
      </c>
      <c r="B386" s="271"/>
      <c r="C386" s="271">
        <f aca="true" t="shared" si="63" ref="C386:AG386">C417-C384</f>
        <v>0.07282</v>
      </c>
      <c r="D386" s="271">
        <f t="shared" si="63"/>
        <v>0.06951999999999997</v>
      </c>
      <c r="E386" s="271">
        <f t="shared" si="63"/>
        <v>0.09371999999999997</v>
      </c>
      <c r="F386" s="271">
        <f t="shared" si="63"/>
        <v>0.09415999999999997</v>
      </c>
      <c r="G386" s="271">
        <f t="shared" si="63"/>
        <v>0.09525999999999996</v>
      </c>
      <c r="H386" s="271">
        <f t="shared" si="63"/>
        <v>0.09679999999999994</v>
      </c>
      <c r="I386" s="271">
        <f t="shared" si="63"/>
        <v>0.09833999999999993</v>
      </c>
      <c r="J386" s="271">
        <f t="shared" si="63"/>
        <v>0.09855999999999993</v>
      </c>
      <c r="K386" s="271">
        <f t="shared" si="63"/>
        <v>0.10009999999999991</v>
      </c>
      <c r="L386" s="271">
        <f t="shared" si="63"/>
        <v>0.1007599999999999</v>
      </c>
      <c r="M386" s="271">
        <f t="shared" si="63"/>
        <v>0.1023</v>
      </c>
      <c r="N386" s="271">
        <f t="shared" si="63"/>
        <v>0.10383999999999993</v>
      </c>
      <c r="O386" s="271">
        <f t="shared" si="63"/>
        <v>0.10405999999999993</v>
      </c>
      <c r="P386" s="271">
        <f t="shared" si="63"/>
        <v>0.10559999999999992</v>
      </c>
      <c r="Q386" s="271">
        <f t="shared" si="63"/>
        <v>0.1071399999999999</v>
      </c>
      <c r="R386" s="271">
        <f t="shared" si="63"/>
        <v>0.1089</v>
      </c>
      <c r="S386" s="271">
        <f t="shared" si="63"/>
        <v>0.11043999999999998</v>
      </c>
      <c r="T386" s="271">
        <f t="shared" si="63"/>
        <v>0.11285999999999996</v>
      </c>
      <c r="U386" s="271">
        <f t="shared" si="63"/>
        <v>0.11351999999999995</v>
      </c>
      <c r="V386" s="271">
        <f t="shared" si="63"/>
        <v>0.11549999999999994</v>
      </c>
      <c r="W386" s="271">
        <f t="shared" si="63"/>
        <v>0.11637999999999993</v>
      </c>
      <c r="X386" s="271">
        <f t="shared" si="63"/>
        <v>0.11725999999999992</v>
      </c>
      <c r="Y386" s="271">
        <f t="shared" si="63"/>
        <v>0.11813999999999991</v>
      </c>
      <c r="Z386" s="271">
        <f t="shared" si="63"/>
        <v>0.1190199999999999</v>
      </c>
      <c r="AA386" s="271">
        <f t="shared" si="63"/>
        <v>0.11967999999999979</v>
      </c>
      <c r="AB386" s="271">
        <f t="shared" si="63"/>
        <v>0.12056</v>
      </c>
      <c r="AC386" s="271">
        <f t="shared" si="63"/>
        <v>0.12143999999999999</v>
      </c>
      <c r="AD386" s="271">
        <f t="shared" si="63"/>
        <v>0.12231999999999987</v>
      </c>
      <c r="AE386" s="271">
        <f t="shared" si="63"/>
        <v>0.12319999999999987</v>
      </c>
      <c r="AF386" s="271">
        <f t="shared" si="63"/>
        <v>0.12474000000000007</v>
      </c>
      <c r="AG386" s="271">
        <f t="shared" si="63"/>
        <v>0.12627999999999984</v>
      </c>
      <c r="AH386" s="254"/>
      <c r="AI386" s="254"/>
      <c r="AJ386" s="443"/>
      <c r="AK386" s="443"/>
      <c r="AL386" s="443"/>
      <c r="AM386" s="443"/>
      <c r="AN386" s="443"/>
      <c r="AO386" s="443"/>
      <c r="AP386" s="443"/>
      <c r="AQ386" s="443"/>
      <c r="AR386" s="443"/>
      <c r="AS386" s="443"/>
      <c r="AT386" s="443"/>
      <c r="AU386" s="443"/>
      <c r="AV386" s="443"/>
      <c r="AW386" s="443"/>
      <c r="AX386" s="443"/>
      <c r="AY386" s="443"/>
      <c r="AZ386" s="443"/>
      <c r="BA386" s="443"/>
      <c r="BB386" s="443"/>
      <c r="BC386" s="443"/>
      <c r="BD386" s="443"/>
      <c r="BE386" s="443"/>
      <c r="BF386" s="443"/>
      <c r="BG386" s="443"/>
      <c r="BH386" s="443"/>
      <c r="BI386" s="443"/>
      <c r="BJ386" s="443"/>
      <c r="BK386" s="443"/>
      <c r="BL386" s="443"/>
      <c r="BM386" s="443"/>
      <c r="BN386" s="443"/>
      <c r="BO386" s="443"/>
      <c r="BP386" s="443"/>
      <c r="BQ386" s="443"/>
      <c r="BR386" s="443"/>
      <c r="BS386" s="443"/>
      <c r="BT386" s="443"/>
      <c r="BU386" s="443"/>
      <c r="BV386" s="443"/>
      <c r="BW386" s="443"/>
      <c r="BX386" s="443"/>
      <c r="BY386" s="443"/>
      <c r="BZ386" s="443"/>
      <c r="CA386" s="443"/>
      <c r="CB386" s="443"/>
      <c r="CC386" s="443"/>
      <c r="CD386" s="443"/>
      <c r="CE386" s="443"/>
      <c r="CF386" s="443"/>
      <c r="CG386" s="443"/>
      <c r="CH386" s="443"/>
      <c r="CI386" s="443"/>
      <c r="CJ386" s="443"/>
      <c r="CK386" s="443"/>
      <c r="CL386" s="443"/>
      <c r="CM386" s="443"/>
      <c r="CN386" s="443"/>
      <c r="CO386" s="443"/>
      <c r="CP386" s="443"/>
      <c r="CQ386" s="443"/>
      <c r="CR386" s="443"/>
      <c r="CS386" s="443"/>
      <c r="CT386" s="443"/>
      <c r="CU386" s="443"/>
      <c r="CV386" s="443"/>
      <c r="CW386" s="443"/>
      <c r="CX386" s="443"/>
      <c r="CY386" s="443"/>
      <c r="CZ386" s="443"/>
      <c r="DA386" s="443"/>
      <c r="DB386" s="443"/>
      <c r="DC386" s="443"/>
      <c r="DD386" s="443"/>
      <c r="DE386" s="443"/>
      <c r="DF386" s="443"/>
      <c r="DG386" s="443"/>
      <c r="DH386" s="443"/>
      <c r="DI386" s="443"/>
      <c r="DJ386" s="443"/>
      <c r="DK386" s="443"/>
      <c r="DL386" s="443"/>
      <c r="DM386" s="443"/>
      <c r="DN386" s="443"/>
      <c r="DO386" s="443"/>
      <c r="DP386" s="443"/>
      <c r="DQ386" s="443"/>
      <c r="DR386" s="443"/>
      <c r="DS386" s="443"/>
      <c r="DT386" s="443"/>
      <c r="DU386" s="443"/>
      <c r="DV386" s="443"/>
      <c r="DW386" s="443"/>
      <c r="DX386" s="443"/>
      <c r="DY386" s="443"/>
      <c r="DZ386" s="443"/>
      <c r="EA386" s="443"/>
      <c r="EB386" s="443"/>
      <c r="EC386" s="443"/>
      <c r="ED386" s="443"/>
      <c r="EE386" s="443"/>
      <c r="EF386" s="443"/>
      <c r="EG386" s="443"/>
      <c r="EH386" s="443"/>
      <c r="EI386" s="443"/>
      <c r="EJ386" s="443"/>
      <c r="EK386" s="443"/>
      <c r="EL386" s="443"/>
      <c r="EM386" s="443"/>
    </row>
    <row r="387" spans="1:143" s="8" customFormat="1" ht="12.75">
      <c r="A387" s="142" t="s">
        <v>374</v>
      </c>
      <c r="B387" s="147">
        <f>B384</f>
        <v>0.324</v>
      </c>
      <c r="C387" s="147">
        <f>C384</f>
        <v>0.331</v>
      </c>
      <c r="D387" s="147">
        <f aca="true" t="shared" si="64" ref="D387:AG387">D384</f>
        <v>0.316</v>
      </c>
      <c r="E387" s="147">
        <f t="shared" si="64"/>
        <v>0.426</v>
      </c>
      <c r="F387" s="147">
        <f t="shared" si="64"/>
        <v>0.428</v>
      </c>
      <c r="G387" s="147">
        <f t="shared" si="64"/>
        <v>0.433</v>
      </c>
      <c r="H387" s="147">
        <f t="shared" si="64"/>
        <v>0.44</v>
      </c>
      <c r="I387" s="147">
        <f t="shared" si="64"/>
        <v>0.447</v>
      </c>
      <c r="J387" s="147">
        <f t="shared" si="64"/>
        <v>0.448</v>
      </c>
      <c r="K387" s="147">
        <f t="shared" si="64"/>
        <v>0.455</v>
      </c>
      <c r="L387" s="147">
        <f t="shared" si="64"/>
        <v>0.458</v>
      </c>
      <c r="M387" s="147">
        <f t="shared" si="64"/>
        <v>0.465</v>
      </c>
      <c r="N387" s="147">
        <f t="shared" si="64"/>
        <v>0.472</v>
      </c>
      <c r="O387" s="147">
        <f t="shared" si="64"/>
        <v>0.473</v>
      </c>
      <c r="P387" s="147">
        <f t="shared" si="64"/>
        <v>0.48</v>
      </c>
      <c r="Q387" s="147">
        <f t="shared" si="64"/>
        <v>0.487</v>
      </c>
      <c r="R387" s="147">
        <f t="shared" si="64"/>
        <v>0.495</v>
      </c>
      <c r="S387" s="147">
        <f t="shared" si="64"/>
        <v>0.502</v>
      </c>
      <c r="T387" s="147">
        <f t="shared" si="64"/>
        <v>0.513</v>
      </c>
      <c r="U387" s="147">
        <f t="shared" si="64"/>
        <v>0.516</v>
      </c>
      <c r="V387" s="147">
        <f t="shared" si="64"/>
        <v>0.525</v>
      </c>
      <c r="W387" s="147">
        <f t="shared" si="64"/>
        <v>0.529</v>
      </c>
      <c r="X387" s="147">
        <f t="shared" si="64"/>
        <v>0.533</v>
      </c>
      <c r="Y387" s="147">
        <f t="shared" si="64"/>
        <v>0.537</v>
      </c>
      <c r="Z387" s="147">
        <f t="shared" si="64"/>
        <v>0.541</v>
      </c>
      <c r="AA387" s="147">
        <f t="shared" si="64"/>
        <v>0.544</v>
      </c>
      <c r="AB387" s="147">
        <f t="shared" si="64"/>
        <v>0.548</v>
      </c>
      <c r="AC387" s="147">
        <f t="shared" si="64"/>
        <v>0.552</v>
      </c>
      <c r="AD387" s="147">
        <f t="shared" si="64"/>
        <v>0.556</v>
      </c>
      <c r="AE387" s="147">
        <f t="shared" si="64"/>
        <v>0.56</v>
      </c>
      <c r="AF387" s="147">
        <f t="shared" si="64"/>
        <v>0.567</v>
      </c>
      <c r="AG387" s="147">
        <f t="shared" si="64"/>
        <v>0.574</v>
      </c>
      <c r="AH387" s="254"/>
      <c r="AI387" s="254"/>
      <c r="AJ387" s="443"/>
      <c r="AK387" s="443"/>
      <c r="AL387" s="443"/>
      <c r="AM387" s="443"/>
      <c r="AN387" s="443"/>
      <c r="AO387" s="443"/>
      <c r="AP387" s="443"/>
      <c r="AQ387" s="443"/>
      <c r="AR387" s="443"/>
      <c r="AS387" s="443"/>
      <c r="AT387" s="443"/>
      <c r="AU387" s="443"/>
      <c r="AV387" s="443"/>
      <c r="AW387" s="443"/>
      <c r="AX387" s="443"/>
      <c r="AY387" s="443"/>
      <c r="AZ387" s="443"/>
      <c r="BA387" s="443"/>
      <c r="BB387" s="443"/>
      <c r="BC387" s="443"/>
      <c r="BD387" s="443"/>
      <c r="BE387" s="443"/>
      <c r="BF387" s="443"/>
      <c r="BG387" s="443"/>
      <c r="BH387" s="443"/>
      <c r="BI387" s="443"/>
      <c r="BJ387" s="443"/>
      <c r="BK387" s="443"/>
      <c r="BL387" s="443"/>
      <c r="BM387" s="443"/>
      <c r="BN387" s="443"/>
      <c r="BO387" s="443"/>
      <c r="BP387" s="443"/>
      <c r="BQ387" s="443"/>
      <c r="BR387" s="443"/>
      <c r="BS387" s="443"/>
      <c r="BT387" s="443"/>
      <c r="BU387" s="443"/>
      <c r="BV387" s="443"/>
      <c r="BW387" s="443"/>
      <c r="BX387" s="443"/>
      <c r="BY387" s="443"/>
      <c r="BZ387" s="443"/>
      <c r="CA387" s="443"/>
      <c r="CB387" s="443"/>
      <c r="CC387" s="443"/>
      <c r="CD387" s="443"/>
      <c r="CE387" s="443"/>
      <c r="CF387" s="443"/>
      <c r="CG387" s="443"/>
      <c r="CH387" s="443"/>
      <c r="CI387" s="443"/>
      <c r="CJ387" s="443"/>
      <c r="CK387" s="443"/>
      <c r="CL387" s="443"/>
      <c r="CM387" s="443"/>
      <c r="CN387" s="443"/>
      <c r="CO387" s="443"/>
      <c r="CP387" s="443"/>
      <c r="CQ387" s="443"/>
      <c r="CR387" s="443"/>
      <c r="CS387" s="443"/>
      <c r="CT387" s="443"/>
      <c r="CU387" s="443"/>
      <c r="CV387" s="443"/>
      <c r="CW387" s="443"/>
      <c r="CX387" s="443"/>
      <c r="CY387" s="443"/>
      <c r="CZ387" s="443"/>
      <c r="DA387" s="443"/>
      <c r="DB387" s="443"/>
      <c r="DC387" s="443"/>
      <c r="DD387" s="443"/>
      <c r="DE387" s="443"/>
      <c r="DF387" s="443"/>
      <c r="DG387" s="443"/>
      <c r="DH387" s="443"/>
      <c r="DI387" s="443"/>
      <c r="DJ387" s="443"/>
      <c r="DK387" s="443"/>
      <c r="DL387" s="443"/>
      <c r="DM387" s="443"/>
      <c r="DN387" s="443"/>
      <c r="DO387" s="443"/>
      <c r="DP387" s="443"/>
      <c r="DQ387" s="443"/>
      <c r="DR387" s="443"/>
      <c r="DS387" s="443"/>
      <c r="DT387" s="443"/>
      <c r="DU387" s="443"/>
      <c r="DV387" s="443"/>
      <c r="DW387" s="443"/>
      <c r="DX387" s="443"/>
      <c r="DY387" s="443"/>
      <c r="DZ387" s="443"/>
      <c r="EA387" s="443"/>
      <c r="EB387" s="443"/>
      <c r="EC387" s="443"/>
      <c r="ED387" s="443"/>
      <c r="EE387" s="443"/>
      <c r="EF387" s="443"/>
      <c r="EG387" s="443"/>
      <c r="EH387" s="443"/>
      <c r="EI387" s="443"/>
      <c r="EJ387" s="443"/>
      <c r="EK387" s="443"/>
      <c r="EL387" s="443"/>
      <c r="EM387" s="443"/>
    </row>
    <row r="388" spans="1:143" s="8" customFormat="1" ht="12.75">
      <c r="A388" s="151" t="s">
        <v>375</v>
      </c>
      <c r="B388" s="144">
        <f>B383+B376</f>
        <v>0.5</v>
      </c>
      <c r="C388" s="144">
        <f>C376+C383</f>
        <v>0.5</v>
      </c>
      <c r="D388" s="144">
        <f aca="true" t="shared" si="65" ref="D388:AG388">D387+D380</f>
        <v>0.517</v>
      </c>
      <c r="E388" s="144">
        <f t="shared" si="65"/>
        <v>0.734</v>
      </c>
      <c r="F388" s="144">
        <f t="shared" si="65"/>
        <v>0.741</v>
      </c>
      <c r="G388" s="144">
        <f t="shared" si="65"/>
        <v>0.747</v>
      </c>
      <c r="H388" s="144">
        <f t="shared" si="65"/>
        <v>0.756</v>
      </c>
      <c r="I388" s="144">
        <f t="shared" si="65"/>
        <v>0.768</v>
      </c>
      <c r="J388" s="144">
        <f t="shared" si="65"/>
        <v>0.774</v>
      </c>
      <c r="K388" s="144">
        <f t="shared" si="65"/>
        <v>0.783</v>
      </c>
      <c r="L388" s="144">
        <f t="shared" si="65"/>
        <v>0.794</v>
      </c>
      <c r="M388" s="144">
        <f t="shared" si="65"/>
        <v>0.805</v>
      </c>
      <c r="N388" s="144">
        <f t="shared" si="65"/>
        <v>0.817</v>
      </c>
      <c r="O388" s="144">
        <f t="shared" si="65"/>
        <v>0.82</v>
      </c>
      <c r="P388" s="144">
        <f t="shared" si="65"/>
        <v>0.83</v>
      </c>
      <c r="Q388" s="144">
        <f t="shared" si="65"/>
        <v>0.842</v>
      </c>
      <c r="R388" s="144">
        <f t="shared" si="65"/>
        <v>0.855</v>
      </c>
      <c r="S388" s="144">
        <f t="shared" si="65"/>
        <v>0.873</v>
      </c>
      <c r="T388" s="144">
        <f t="shared" si="65"/>
        <v>0.889</v>
      </c>
      <c r="U388" s="144">
        <f t="shared" si="65"/>
        <v>0.894</v>
      </c>
      <c r="V388" s="144">
        <f t="shared" si="65"/>
        <v>0.906</v>
      </c>
      <c r="W388" s="144">
        <f t="shared" si="65"/>
        <v>0.912</v>
      </c>
      <c r="X388" s="144">
        <f t="shared" si="65"/>
        <v>0.918</v>
      </c>
      <c r="Y388" s="144">
        <f t="shared" si="65"/>
        <v>0.925</v>
      </c>
      <c r="Z388" s="144">
        <f t="shared" si="65"/>
        <v>0.931</v>
      </c>
      <c r="AA388" s="144">
        <f t="shared" si="65"/>
        <v>0.937</v>
      </c>
      <c r="AB388" s="144">
        <f t="shared" si="65"/>
        <v>0.9470000000000001</v>
      </c>
      <c r="AC388" s="144">
        <f t="shared" si="65"/>
        <v>0.9540000000000001</v>
      </c>
      <c r="AD388" s="144">
        <f t="shared" si="65"/>
        <v>0.9560000000000001</v>
      </c>
      <c r="AE388" s="144">
        <f t="shared" si="65"/>
        <v>0.9670000000000001</v>
      </c>
      <c r="AF388" s="144">
        <f t="shared" si="65"/>
        <v>0.9809999999999999</v>
      </c>
      <c r="AG388" s="252">
        <f t="shared" si="65"/>
        <v>0.992</v>
      </c>
      <c r="AH388" s="255"/>
      <c r="AI388" s="255"/>
      <c r="AJ388" s="443"/>
      <c r="AK388" s="443"/>
      <c r="AL388" s="443"/>
      <c r="AM388" s="443"/>
      <c r="AN388" s="443"/>
      <c r="AO388" s="443"/>
      <c r="AP388" s="443"/>
      <c r="AQ388" s="443"/>
      <c r="AR388" s="443"/>
      <c r="AS388" s="443"/>
      <c r="AT388" s="443"/>
      <c r="AU388" s="443"/>
      <c r="AV388" s="443"/>
      <c r="AW388" s="443"/>
      <c r="AX388" s="443"/>
      <c r="AY388" s="443"/>
      <c r="AZ388" s="443"/>
      <c r="BA388" s="443"/>
      <c r="BB388" s="443"/>
      <c r="BC388" s="443"/>
      <c r="BD388" s="443"/>
      <c r="BE388" s="443"/>
      <c r="BF388" s="443"/>
      <c r="BG388" s="443"/>
      <c r="BH388" s="443"/>
      <c r="BI388" s="443"/>
      <c r="BJ388" s="443"/>
      <c r="BK388" s="443"/>
      <c r="BL388" s="443"/>
      <c r="BM388" s="443"/>
      <c r="BN388" s="443"/>
      <c r="BO388" s="443"/>
      <c r="BP388" s="443"/>
      <c r="BQ388" s="443"/>
      <c r="BR388" s="443"/>
      <c r="BS388" s="443"/>
      <c r="BT388" s="443"/>
      <c r="BU388" s="443"/>
      <c r="BV388" s="443"/>
      <c r="BW388" s="443"/>
      <c r="BX388" s="443"/>
      <c r="BY388" s="443"/>
      <c r="BZ388" s="443"/>
      <c r="CA388" s="443"/>
      <c r="CB388" s="443"/>
      <c r="CC388" s="443"/>
      <c r="CD388" s="443"/>
      <c r="CE388" s="443"/>
      <c r="CF388" s="443"/>
      <c r="CG388" s="443"/>
      <c r="CH388" s="443"/>
      <c r="CI388" s="443"/>
      <c r="CJ388" s="443"/>
      <c r="CK388" s="443"/>
      <c r="CL388" s="443"/>
      <c r="CM388" s="443"/>
      <c r="CN388" s="443"/>
      <c r="CO388" s="443"/>
      <c r="CP388" s="443"/>
      <c r="CQ388" s="443"/>
      <c r="CR388" s="443"/>
      <c r="CS388" s="443"/>
      <c r="CT388" s="443"/>
      <c r="CU388" s="443"/>
      <c r="CV388" s="443"/>
      <c r="CW388" s="443"/>
      <c r="CX388" s="443"/>
      <c r="CY388" s="443"/>
      <c r="CZ388" s="443"/>
      <c r="DA388" s="443"/>
      <c r="DB388" s="443"/>
      <c r="DC388" s="443"/>
      <c r="DD388" s="443"/>
      <c r="DE388" s="443"/>
      <c r="DF388" s="443"/>
      <c r="DG388" s="443"/>
      <c r="DH388" s="443"/>
      <c r="DI388" s="443"/>
      <c r="DJ388" s="443"/>
      <c r="DK388" s="443"/>
      <c r="DL388" s="443"/>
      <c r="DM388" s="443"/>
      <c r="DN388" s="443"/>
      <c r="DO388" s="443"/>
      <c r="DP388" s="443"/>
      <c r="DQ388" s="443"/>
      <c r="DR388" s="443"/>
      <c r="DS388" s="443"/>
      <c r="DT388" s="443"/>
      <c r="DU388" s="443"/>
      <c r="DV388" s="443"/>
      <c r="DW388" s="443"/>
      <c r="DX388" s="443"/>
      <c r="DY388" s="443"/>
      <c r="DZ388" s="443"/>
      <c r="EA388" s="443"/>
      <c r="EB388" s="443"/>
      <c r="EC388" s="443"/>
      <c r="ED388" s="443"/>
      <c r="EE388" s="443"/>
      <c r="EF388" s="443"/>
      <c r="EG388" s="443"/>
      <c r="EH388" s="443"/>
      <c r="EI388" s="443"/>
      <c r="EJ388" s="443"/>
      <c r="EK388" s="443"/>
      <c r="EL388" s="443"/>
      <c r="EM388" s="443"/>
    </row>
    <row r="389" spans="1:143" s="8" customFormat="1" ht="25.5">
      <c r="A389" s="980" t="s">
        <v>541</v>
      </c>
      <c r="B389" s="982">
        <v>0</v>
      </c>
      <c r="C389" s="982">
        <v>0</v>
      </c>
      <c r="D389" s="982">
        <v>0</v>
      </c>
      <c r="E389" s="982">
        <v>0.2</v>
      </c>
      <c r="F389" s="982">
        <v>0.21</v>
      </c>
      <c r="G389" s="982">
        <v>0.25</v>
      </c>
      <c r="H389" s="982">
        <v>0.3</v>
      </c>
      <c r="I389" s="982">
        <v>0.35</v>
      </c>
      <c r="J389" s="982">
        <v>0.4</v>
      </c>
      <c r="K389" s="982">
        <v>0.45</v>
      </c>
      <c r="L389" s="982">
        <v>0.6</v>
      </c>
      <c r="M389" s="982">
        <v>0.65</v>
      </c>
      <c r="N389" s="982">
        <v>0.7</v>
      </c>
      <c r="O389" s="982">
        <v>0.8</v>
      </c>
      <c r="P389" s="982">
        <v>0.85</v>
      </c>
      <c r="Q389" s="982">
        <v>0.9</v>
      </c>
      <c r="R389" s="982">
        <v>0.95</v>
      </c>
      <c r="S389" s="982">
        <v>1</v>
      </c>
      <c r="T389" s="982">
        <v>1.95</v>
      </c>
      <c r="U389" s="982">
        <v>2</v>
      </c>
      <c r="V389" s="982">
        <v>2.1</v>
      </c>
      <c r="W389" s="982">
        <v>2.15</v>
      </c>
      <c r="X389" s="982">
        <v>2.2</v>
      </c>
      <c r="Y389" s="982">
        <v>2.25</v>
      </c>
      <c r="Z389" s="982">
        <v>2.3</v>
      </c>
      <c r="AA389" s="982">
        <v>2.35</v>
      </c>
      <c r="AB389" s="982">
        <v>2.4</v>
      </c>
      <c r="AC389" s="982">
        <v>2.45</v>
      </c>
      <c r="AD389" s="982">
        <v>2.5</v>
      </c>
      <c r="AE389" s="982">
        <v>2.55</v>
      </c>
      <c r="AF389" s="982">
        <v>2.56</v>
      </c>
      <c r="AG389" s="982">
        <v>2.56</v>
      </c>
      <c r="AH389" s="255"/>
      <c r="AI389" s="255"/>
      <c r="AJ389" s="443"/>
      <c r="AK389" s="443"/>
      <c r="AL389" s="443"/>
      <c r="AM389" s="443"/>
      <c r="AN389" s="443"/>
      <c r="AO389" s="443"/>
      <c r="AP389" s="443"/>
      <c r="AQ389" s="443"/>
      <c r="AR389" s="443"/>
      <c r="AS389" s="443"/>
      <c r="AT389" s="443"/>
      <c r="AU389" s="443"/>
      <c r="AV389" s="443"/>
      <c r="AW389" s="443"/>
      <c r="AX389" s="443"/>
      <c r="AY389" s="443"/>
      <c r="AZ389" s="443"/>
      <c r="BA389" s="443"/>
      <c r="BB389" s="443"/>
      <c r="BC389" s="443"/>
      <c r="BD389" s="443"/>
      <c r="BE389" s="443"/>
      <c r="BF389" s="443"/>
      <c r="BG389" s="443"/>
      <c r="BH389" s="443"/>
      <c r="BI389" s="443"/>
      <c r="BJ389" s="443"/>
      <c r="BK389" s="443"/>
      <c r="BL389" s="443"/>
      <c r="BM389" s="443"/>
      <c r="BN389" s="443"/>
      <c r="BO389" s="443"/>
      <c r="BP389" s="443"/>
      <c r="BQ389" s="443"/>
      <c r="BR389" s="443"/>
      <c r="BS389" s="443"/>
      <c r="BT389" s="443"/>
      <c r="BU389" s="443"/>
      <c r="BV389" s="443"/>
      <c r="BW389" s="443"/>
      <c r="BX389" s="443"/>
      <c r="BY389" s="443"/>
      <c r="BZ389" s="443"/>
      <c r="CA389" s="443"/>
      <c r="CB389" s="443"/>
      <c r="CC389" s="443"/>
      <c r="CD389" s="443"/>
      <c r="CE389" s="443"/>
      <c r="CF389" s="443"/>
      <c r="CG389" s="443"/>
      <c r="CH389" s="443"/>
      <c r="CI389" s="443"/>
      <c r="CJ389" s="443"/>
      <c r="CK389" s="443"/>
      <c r="CL389" s="443"/>
      <c r="CM389" s="443"/>
      <c r="CN389" s="443"/>
      <c r="CO389" s="443"/>
      <c r="CP389" s="443"/>
      <c r="CQ389" s="443"/>
      <c r="CR389" s="443"/>
      <c r="CS389" s="443"/>
      <c r="CT389" s="443"/>
      <c r="CU389" s="443"/>
      <c r="CV389" s="443"/>
      <c r="CW389" s="443"/>
      <c r="CX389" s="443"/>
      <c r="CY389" s="443"/>
      <c r="CZ389" s="443"/>
      <c r="DA389" s="443"/>
      <c r="DB389" s="443"/>
      <c r="DC389" s="443"/>
      <c r="DD389" s="443"/>
      <c r="DE389" s="443"/>
      <c r="DF389" s="443"/>
      <c r="DG389" s="443"/>
      <c r="DH389" s="443"/>
      <c r="DI389" s="443"/>
      <c r="DJ389" s="443"/>
      <c r="DK389" s="443"/>
      <c r="DL389" s="443"/>
      <c r="DM389" s="443"/>
      <c r="DN389" s="443"/>
      <c r="DO389" s="443"/>
      <c r="DP389" s="443"/>
      <c r="DQ389" s="443"/>
      <c r="DR389" s="443"/>
      <c r="DS389" s="443"/>
      <c r="DT389" s="443"/>
      <c r="DU389" s="443"/>
      <c r="DV389" s="443"/>
      <c r="DW389" s="443"/>
      <c r="DX389" s="443"/>
      <c r="DY389" s="443"/>
      <c r="DZ389" s="443"/>
      <c r="EA389" s="443"/>
      <c r="EB389" s="443"/>
      <c r="EC389" s="443"/>
      <c r="ED389" s="443"/>
      <c r="EE389" s="443"/>
      <c r="EF389" s="443"/>
      <c r="EG389" s="443"/>
      <c r="EH389" s="443"/>
      <c r="EI389" s="443"/>
      <c r="EJ389" s="443"/>
      <c r="EK389" s="443"/>
      <c r="EL389" s="443"/>
      <c r="EM389" s="443"/>
    </row>
    <row r="390" spans="1:143" s="539" customFormat="1" ht="12.75">
      <c r="A390" s="531" t="s">
        <v>402</v>
      </c>
      <c r="B390" s="537"/>
      <c r="C390" s="537"/>
      <c r="D390" s="537"/>
      <c r="E390" s="537"/>
      <c r="F390" s="537"/>
      <c r="G390" s="537"/>
      <c r="H390" s="537"/>
      <c r="I390" s="537"/>
      <c r="J390" s="537"/>
      <c r="K390" s="537"/>
      <c r="L390" s="537"/>
      <c r="M390" s="537"/>
      <c r="N390" s="537"/>
      <c r="O390" s="537"/>
      <c r="P390" s="537"/>
      <c r="Q390" s="537"/>
      <c r="R390" s="537"/>
      <c r="S390" s="537"/>
      <c r="T390" s="537"/>
      <c r="U390" s="537"/>
      <c r="V390" s="537"/>
      <c r="W390" s="537"/>
      <c r="X390" s="537"/>
      <c r="Y390" s="537"/>
      <c r="Z390" s="537"/>
      <c r="AA390" s="537"/>
      <c r="AB390" s="537"/>
      <c r="AC390" s="537"/>
      <c r="AD390" s="537"/>
      <c r="AE390" s="537"/>
      <c r="AF390" s="537"/>
      <c r="AG390" s="538"/>
      <c r="AH390" s="255"/>
      <c r="AI390" s="255"/>
      <c r="AJ390" s="443"/>
      <c r="AK390" s="443"/>
      <c r="AL390" s="443"/>
      <c r="AM390" s="443"/>
      <c r="AN390" s="443"/>
      <c r="AO390" s="443"/>
      <c r="AP390" s="443"/>
      <c r="AQ390" s="443"/>
      <c r="AR390" s="443"/>
      <c r="AS390" s="443"/>
      <c r="AT390" s="443"/>
      <c r="AU390" s="443"/>
      <c r="AV390" s="443"/>
      <c r="AW390" s="443"/>
      <c r="AX390" s="443"/>
      <c r="AY390" s="443"/>
      <c r="AZ390" s="443"/>
      <c r="BA390" s="443"/>
      <c r="BB390" s="443"/>
      <c r="BC390" s="443"/>
      <c r="BD390" s="443"/>
      <c r="BE390" s="443"/>
      <c r="BF390" s="443"/>
      <c r="BG390" s="443"/>
      <c r="BH390" s="443"/>
      <c r="BI390" s="443"/>
      <c r="BJ390" s="443"/>
      <c r="BK390" s="443"/>
      <c r="BL390" s="443"/>
      <c r="BM390" s="443"/>
      <c r="BN390" s="443"/>
      <c r="BO390" s="443"/>
      <c r="BP390" s="443"/>
      <c r="BQ390" s="443"/>
      <c r="BR390" s="443"/>
      <c r="BS390" s="443"/>
      <c r="BT390" s="443"/>
      <c r="BU390" s="443"/>
      <c r="BV390" s="443"/>
      <c r="BW390" s="443"/>
      <c r="BX390" s="443"/>
      <c r="BY390" s="443"/>
      <c r="BZ390" s="443"/>
      <c r="CA390" s="443"/>
      <c r="CB390" s="443"/>
      <c r="CC390" s="443"/>
      <c r="CD390" s="443"/>
      <c r="CE390" s="443"/>
      <c r="CF390" s="443"/>
      <c r="CG390" s="443"/>
      <c r="CH390" s="443"/>
      <c r="CI390" s="443"/>
      <c r="CJ390" s="443"/>
      <c r="CK390" s="443"/>
      <c r="CL390" s="443"/>
      <c r="CM390" s="443"/>
      <c r="CN390" s="443"/>
      <c r="CO390" s="443"/>
      <c r="CP390" s="443"/>
      <c r="CQ390" s="443"/>
      <c r="CR390" s="443"/>
      <c r="CS390" s="443"/>
      <c r="CT390" s="443"/>
      <c r="CU390" s="443"/>
      <c r="CV390" s="443"/>
      <c r="CW390" s="443"/>
      <c r="CX390" s="443"/>
      <c r="CY390" s="443"/>
      <c r="CZ390" s="443"/>
      <c r="DA390" s="443"/>
      <c r="DB390" s="443"/>
      <c r="DC390" s="443"/>
      <c r="DD390" s="443"/>
      <c r="DE390" s="443"/>
      <c r="DF390" s="443"/>
      <c r="DG390" s="443"/>
      <c r="DH390" s="443"/>
      <c r="DI390" s="443"/>
      <c r="DJ390" s="443"/>
      <c r="DK390" s="443"/>
      <c r="DL390" s="443"/>
      <c r="DM390" s="443"/>
      <c r="DN390" s="443"/>
      <c r="DO390" s="443"/>
      <c r="DP390" s="443"/>
      <c r="DQ390" s="443"/>
      <c r="DR390" s="443"/>
      <c r="DS390" s="443"/>
      <c r="DT390" s="443"/>
      <c r="DU390" s="443"/>
      <c r="DV390" s="443"/>
      <c r="DW390" s="443"/>
      <c r="DX390" s="443"/>
      <c r="DY390" s="443"/>
      <c r="DZ390" s="443"/>
      <c r="EA390" s="443"/>
      <c r="EB390" s="443"/>
      <c r="EC390" s="443"/>
      <c r="ED390" s="443"/>
      <c r="EE390" s="443"/>
      <c r="EF390" s="443"/>
      <c r="EG390" s="443"/>
      <c r="EH390" s="443"/>
      <c r="EI390" s="443"/>
      <c r="EJ390" s="443"/>
      <c r="EK390" s="443"/>
      <c r="EL390" s="443"/>
      <c r="EM390" s="443"/>
    </row>
    <row r="391" spans="1:143" s="539" customFormat="1" ht="12.75">
      <c r="A391" s="1000" t="s">
        <v>97</v>
      </c>
      <c r="B391" s="1001">
        <v>0.07</v>
      </c>
      <c r="C391" s="1001">
        <f>B391</f>
        <v>0.07</v>
      </c>
      <c r="D391" s="1001">
        <f aca="true" t="shared" si="66" ref="D391:AG391">C391</f>
        <v>0.07</v>
      </c>
      <c r="E391" s="1001">
        <f t="shared" si="66"/>
        <v>0.07</v>
      </c>
      <c r="F391" s="1001">
        <f t="shared" si="66"/>
        <v>0.07</v>
      </c>
      <c r="G391" s="1001">
        <f t="shared" si="66"/>
        <v>0.07</v>
      </c>
      <c r="H391" s="1001">
        <f t="shared" si="66"/>
        <v>0.07</v>
      </c>
      <c r="I391" s="1001">
        <f t="shared" si="66"/>
        <v>0.07</v>
      </c>
      <c r="J391" s="1001">
        <f t="shared" si="66"/>
        <v>0.07</v>
      </c>
      <c r="K391" s="1001">
        <f t="shared" si="66"/>
        <v>0.07</v>
      </c>
      <c r="L391" s="1001">
        <f t="shared" si="66"/>
        <v>0.07</v>
      </c>
      <c r="M391" s="1001">
        <f t="shared" si="66"/>
        <v>0.07</v>
      </c>
      <c r="N391" s="1001">
        <f t="shared" si="66"/>
        <v>0.07</v>
      </c>
      <c r="O391" s="1001">
        <f t="shared" si="66"/>
        <v>0.07</v>
      </c>
      <c r="P391" s="1001">
        <f t="shared" si="66"/>
        <v>0.07</v>
      </c>
      <c r="Q391" s="1001">
        <f t="shared" si="66"/>
        <v>0.07</v>
      </c>
      <c r="R391" s="1001">
        <f t="shared" si="66"/>
        <v>0.07</v>
      </c>
      <c r="S391" s="1001">
        <f t="shared" si="66"/>
        <v>0.07</v>
      </c>
      <c r="T391" s="1001">
        <f t="shared" si="66"/>
        <v>0.07</v>
      </c>
      <c r="U391" s="1001">
        <f t="shared" si="66"/>
        <v>0.07</v>
      </c>
      <c r="V391" s="1001">
        <f t="shared" si="66"/>
        <v>0.07</v>
      </c>
      <c r="W391" s="1001">
        <f t="shared" si="66"/>
        <v>0.07</v>
      </c>
      <c r="X391" s="1001">
        <f t="shared" si="66"/>
        <v>0.07</v>
      </c>
      <c r="Y391" s="1001">
        <f t="shared" si="66"/>
        <v>0.07</v>
      </c>
      <c r="Z391" s="1001">
        <f t="shared" si="66"/>
        <v>0.07</v>
      </c>
      <c r="AA391" s="1001">
        <f t="shared" si="66"/>
        <v>0.07</v>
      </c>
      <c r="AB391" s="1001">
        <f t="shared" si="66"/>
        <v>0.07</v>
      </c>
      <c r="AC391" s="1001">
        <f t="shared" si="66"/>
        <v>0.07</v>
      </c>
      <c r="AD391" s="1001">
        <f t="shared" si="66"/>
        <v>0.07</v>
      </c>
      <c r="AE391" s="1001">
        <f t="shared" si="66"/>
        <v>0.07</v>
      </c>
      <c r="AF391" s="1001">
        <f t="shared" si="66"/>
        <v>0.07</v>
      </c>
      <c r="AG391" s="1001">
        <f t="shared" si="66"/>
        <v>0.07</v>
      </c>
      <c r="AH391" s="255"/>
      <c r="AI391" s="255"/>
      <c r="AJ391" s="443"/>
      <c r="AK391" s="443"/>
      <c r="AL391" s="443"/>
      <c r="AM391" s="443"/>
      <c r="AN391" s="443"/>
      <c r="AO391" s="443"/>
      <c r="AP391" s="443"/>
      <c r="AQ391" s="443"/>
      <c r="AR391" s="443"/>
      <c r="AS391" s="443"/>
      <c r="AT391" s="443"/>
      <c r="AU391" s="443"/>
      <c r="AV391" s="443"/>
      <c r="AW391" s="443"/>
      <c r="AX391" s="443"/>
      <c r="AY391" s="443"/>
      <c r="AZ391" s="443"/>
      <c r="BA391" s="443"/>
      <c r="BB391" s="443"/>
      <c r="BC391" s="443"/>
      <c r="BD391" s="443"/>
      <c r="BE391" s="443"/>
      <c r="BF391" s="443"/>
      <c r="BG391" s="443"/>
      <c r="BH391" s="443"/>
      <c r="BI391" s="443"/>
      <c r="BJ391" s="443"/>
      <c r="BK391" s="443"/>
      <c r="BL391" s="443"/>
      <c r="BM391" s="443"/>
      <c r="BN391" s="443"/>
      <c r="BO391" s="443"/>
      <c r="BP391" s="443"/>
      <c r="BQ391" s="443"/>
      <c r="BR391" s="443"/>
      <c r="BS391" s="443"/>
      <c r="BT391" s="443"/>
      <c r="BU391" s="443"/>
      <c r="BV391" s="443"/>
      <c r="BW391" s="443"/>
      <c r="BX391" s="443"/>
      <c r="BY391" s="443"/>
      <c r="BZ391" s="443"/>
      <c r="CA391" s="443"/>
      <c r="CB391" s="443"/>
      <c r="CC391" s="443"/>
      <c r="CD391" s="443"/>
      <c r="CE391" s="443"/>
      <c r="CF391" s="443"/>
      <c r="CG391" s="443"/>
      <c r="CH391" s="443"/>
      <c r="CI391" s="443"/>
      <c r="CJ391" s="443"/>
      <c r="CK391" s="443"/>
      <c r="CL391" s="443"/>
      <c r="CM391" s="443"/>
      <c r="CN391" s="443"/>
      <c r="CO391" s="443"/>
      <c r="CP391" s="443"/>
      <c r="CQ391" s="443"/>
      <c r="CR391" s="443"/>
      <c r="CS391" s="443"/>
      <c r="CT391" s="443"/>
      <c r="CU391" s="443"/>
      <c r="CV391" s="443"/>
      <c r="CW391" s="443"/>
      <c r="CX391" s="443"/>
      <c r="CY391" s="443"/>
      <c r="CZ391" s="443"/>
      <c r="DA391" s="443"/>
      <c r="DB391" s="443"/>
      <c r="DC391" s="443"/>
      <c r="DD391" s="443"/>
      <c r="DE391" s="443"/>
      <c r="DF391" s="443"/>
      <c r="DG391" s="443"/>
      <c r="DH391" s="443"/>
      <c r="DI391" s="443"/>
      <c r="DJ391" s="443"/>
      <c r="DK391" s="443"/>
      <c r="DL391" s="443"/>
      <c r="DM391" s="443"/>
      <c r="DN391" s="443"/>
      <c r="DO391" s="443"/>
      <c r="DP391" s="443"/>
      <c r="DQ391" s="443"/>
      <c r="DR391" s="443"/>
      <c r="DS391" s="443"/>
      <c r="DT391" s="443"/>
      <c r="DU391" s="443"/>
      <c r="DV391" s="443"/>
      <c r="DW391" s="443"/>
      <c r="DX391" s="443"/>
      <c r="DY391" s="443"/>
      <c r="DZ391" s="443"/>
      <c r="EA391" s="443"/>
      <c r="EB391" s="443"/>
      <c r="EC391" s="443"/>
      <c r="ED391" s="443"/>
      <c r="EE391" s="443"/>
      <c r="EF391" s="443"/>
      <c r="EG391" s="443"/>
      <c r="EH391" s="443"/>
      <c r="EI391" s="443"/>
      <c r="EJ391" s="443"/>
      <c r="EK391" s="443"/>
      <c r="EL391" s="443"/>
      <c r="EM391" s="443"/>
    </row>
    <row r="392" spans="1:143" s="539" customFormat="1" ht="12.75">
      <c r="A392" s="532" t="s">
        <v>59</v>
      </c>
      <c r="B392" s="537"/>
      <c r="C392" s="537"/>
      <c r="D392" s="537"/>
      <c r="E392" s="537"/>
      <c r="F392" s="537"/>
      <c r="G392" s="537"/>
      <c r="H392" s="537"/>
      <c r="I392" s="537"/>
      <c r="J392" s="537"/>
      <c r="K392" s="537"/>
      <c r="L392" s="537"/>
      <c r="M392" s="537"/>
      <c r="N392" s="537"/>
      <c r="O392" s="537"/>
      <c r="P392" s="537"/>
      <c r="Q392" s="537"/>
      <c r="R392" s="537"/>
      <c r="S392" s="537"/>
      <c r="T392" s="537"/>
      <c r="U392" s="537"/>
      <c r="V392" s="537"/>
      <c r="W392" s="537"/>
      <c r="X392" s="537"/>
      <c r="Y392" s="537"/>
      <c r="Z392" s="537"/>
      <c r="AA392" s="537"/>
      <c r="AB392" s="537"/>
      <c r="AC392" s="537"/>
      <c r="AD392" s="537"/>
      <c r="AE392" s="537"/>
      <c r="AF392" s="537"/>
      <c r="AG392" s="538"/>
      <c r="AH392" s="255"/>
      <c r="AI392" s="255"/>
      <c r="AJ392" s="443"/>
      <c r="AK392" s="443"/>
      <c r="AL392" s="443"/>
      <c r="AM392" s="443"/>
      <c r="AN392" s="443"/>
      <c r="AO392" s="443"/>
      <c r="AP392" s="443"/>
      <c r="AQ392" s="443"/>
      <c r="AR392" s="443"/>
      <c r="AS392" s="443"/>
      <c r="AT392" s="443"/>
      <c r="AU392" s="443"/>
      <c r="AV392" s="443"/>
      <c r="AW392" s="443"/>
      <c r="AX392" s="443"/>
      <c r="AY392" s="443"/>
      <c r="AZ392" s="443"/>
      <c r="BA392" s="443"/>
      <c r="BB392" s="443"/>
      <c r="BC392" s="443"/>
      <c r="BD392" s="443"/>
      <c r="BE392" s="443"/>
      <c r="BF392" s="443"/>
      <c r="BG392" s="443"/>
      <c r="BH392" s="443"/>
      <c r="BI392" s="443"/>
      <c r="BJ392" s="443"/>
      <c r="BK392" s="443"/>
      <c r="BL392" s="443"/>
      <c r="BM392" s="443"/>
      <c r="BN392" s="443"/>
      <c r="BO392" s="443"/>
      <c r="BP392" s="443"/>
      <c r="BQ392" s="443"/>
      <c r="BR392" s="443"/>
      <c r="BS392" s="443"/>
      <c r="BT392" s="443"/>
      <c r="BU392" s="443"/>
      <c r="BV392" s="443"/>
      <c r="BW392" s="443"/>
      <c r="BX392" s="443"/>
      <c r="BY392" s="443"/>
      <c r="BZ392" s="443"/>
      <c r="CA392" s="443"/>
      <c r="CB392" s="443"/>
      <c r="CC392" s="443"/>
      <c r="CD392" s="443"/>
      <c r="CE392" s="443"/>
      <c r="CF392" s="443"/>
      <c r="CG392" s="443"/>
      <c r="CH392" s="443"/>
      <c r="CI392" s="443"/>
      <c r="CJ392" s="443"/>
      <c r="CK392" s="443"/>
      <c r="CL392" s="443"/>
      <c r="CM392" s="443"/>
      <c r="CN392" s="443"/>
      <c r="CO392" s="443"/>
      <c r="CP392" s="443"/>
      <c r="CQ392" s="443"/>
      <c r="CR392" s="443"/>
      <c r="CS392" s="443"/>
      <c r="CT392" s="443"/>
      <c r="CU392" s="443"/>
      <c r="CV392" s="443"/>
      <c r="CW392" s="443"/>
      <c r="CX392" s="443"/>
      <c r="CY392" s="443"/>
      <c r="CZ392" s="443"/>
      <c r="DA392" s="443"/>
      <c r="DB392" s="443"/>
      <c r="DC392" s="443"/>
      <c r="DD392" s="443"/>
      <c r="DE392" s="443"/>
      <c r="DF392" s="443"/>
      <c r="DG392" s="443"/>
      <c r="DH392" s="443"/>
      <c r="DI392" s="443"/>
      <c r="DJ392" s="443"/>
      <c r="DK392" s="443"/>
      <c r="DL392" s="443"/>
      <c r="DM392" s="443"/>
      <c r="DN392" s="443"/>
      <c r="DO392" s="443"/>
      <c r="DP392" s="443"/>
      <c r="DQ392" s="443"/>
      <c r="DR392" s="443"/>
      <c r="DS392" s="443"/>
      <c r="DT392" s="443"/>
      <c r="DU392" s="443"/>
      <c r="DV392" s="443"/>
      <c r="DW392" s="443"/>
      <c r="DX392" s="443"/>
      <c r="DY392" s="443"/>
      <c r="DZ392" s="443"/>
      <c r="EA392" s="443"/>
      <c r="EB392" s="443"/>
      <c r="EC392" s="443"/>
      <c r="ED392" s="443"/>
      <c r="EE392" s="443"/>
      <c r="EF392" s="443"/>
      <c r="EG392" s="443"/>
      <c r="EH392" s="443"/>
      <c r="EI392" s="443"/>
      <c r="EJ392" s="443"/>
      <c r="EK392" s="443"/>
      <c r="EL392" s="443"/>
      <c r="EM392" s="443"/>
    </row>
    <row r="393" spans="1:143" s="257" customFormat="1" ht="12.75">
      <c r="A393" s="533" t="s">
        <v>387</v>
      </c>
      <c r="B393" s="526">
        <f>E365</f>
        <v>0.2</v>
      </c>
      <c r="C393" s="526">
        <f>F365</f>
        <v>0.2</v>
      </c>
      <c r="D393" s="526">
        <f>ROUND(IF('Datu ievade'!$B$357='Datu ievade'!$B$358,(1+D391)*((SUM(D161:D169)+SUM(Aprekini!D19:D22))/('Datu ievade'!G242+'Datu ievade'!G250+'Datu ievade'!G257)),IF('Datu ievade'!$B$357='Datu ievade'!$B$359,(1+D391)*((SUM('Datu ievade'!D161:D169)+SUM(Aprekini!D19:D22))/('Datu ievade'!G242+'Datu ievade'!G250+'Datu ievade'!G257)),)),3)</f>
        <v>0.231</v>
      </c>
      <c r="E393" s="526">
        <f>ROUND(IF('Datu ievade'!$B$357='Datu ievade'!$B$358,(1+E391)*((SUM(E161:E169)+SUM(Aprekini!E19:E22))/('Datu ievade'!H242+'Datu ievade'!H250+'Datu ievade'!H257)),IF('Datu ievade'!$B$357='Datu ievade'!$B$359,(1+E391)*((SUM('Datu ievade'!E161:E169)+SUM(Aprekini!E19:E22))/('Datu ievade'!H242+'Datu ievade'!H250+'Datu ievade'!H257)),)),3)</f>
        <v>0.236</v>
      </c>
      <c r="F393" s="526">
        <f>ROUND(IF('Datu ievade'!$B$357='Datu ievade'!$B$358,(1+F391)*((SUM(F161:F169)+SUM(Aprekini!F19:F22))/('Datu ievade'!I242+'Datu ievade'!I250+'Datu ievade'!I257)),IF('Datu ievade'!$B$357='Datu ievade'!$B$359,(1+F391)*((SUM('Datu ievade'!F161:F169)+SUM(Aprekini!F19:F22))/('Datu ievade'!I242+'Datu ievade'!I250+'Datu ievade'!I257)),)),3)</f>
        <v>0.241</v>
      </c>
      <c r="G393" s="526">
        <f>ROUND(IF('Datu ievade'!$B$357='Datu ievade'!$B$358,(1+G391)*((SUM(G161:G169)+SUM(Aprekini!G19:G22))/('Datu ievade'!J242+'Datu ievade'!J250+'Datu ievade'!J257)),IF('Datu ievade'!$B$357='Datu ievade'!$B$359,(1+G391)*((SUM('Datu ievade'!G161:G169)+SUM(Aprekini!G19:G22))/('Datu ievade'!J242+'Datu ievade'!J250+'Datu ievade'!J257)),)),3)</f>
        <v>0.245</v>
      </c>
      <c r="H393" s="526">
        <f>ROUND(IF('Datu ievade'!$B$357='Datu ievade'!$B$358,(1+H391)*((SUM(H161:H169)+SUM(Aprekini!H19:H22))/('Datu ievade'!K242+'Datu ievade'!K250+'Datu ievade'!K257)),IF('Datu ievade'!$B$357='Datu ievade'!$B$359,(1+H391)*((SUM('Datu ievade'!H161:H169)+SUM(Aprekini!H19:H22))/('Datu ievade'!K242+'Datu ievade'!K250+'Datu ievade'!K257)),)),3)</f>
        <v>0.249</v>
      </c>
      <c r="I393" s="526">
        <f>ROUND(IF('Datu ievade'!$B$357='Datu ievade'!$B$358,(1+I391)*((SUM(I161:I169)+SUM(Aprekini!I19:I22))/('Datu ievade'!L242+'Datu ievade'!L250+'Datu ievade'!L257)),IF('Datu ievade'!$B$357='Datu ievade'!$B$359,(1+I391)*((SUM('Datu ievade'!I161:I169)+SUM(Aprekini!I19:I22))/('Datu ievade'!L242+'Datu ievade'!L250+'Datu ievade'!L257)),)),3)</f>
        <v>0.254</v>
      </c>
      <c r="J393" s="526">
        <f>ROUND(IF('Datu ievade'!$B$357='Datu ievade'!$B$358,(1+J391)*((SUM(J161:J169)+SUM(Aprekini!J19:J22))/('Datu ievade'!M242+'Datu ievade'!M250+'Datu ievade'!M257)),IF('Datu ievade'!$B$357='Datu ievade'!$B$359,(1+J391)*((SUM('Datu ievade'!J161:J169)+SUM(Aprekini!J19:J22))/('Datu ievade'!M242+'Datu ievade'!M250+'Datu ievade'!M257)),)),3)</f>
        <v>0.258</v>
      </c>
      <c r="K393" s="526">
        <f>ROUND(IF('Datu ievade'!$B$357='Datu ievade'!$B$358,(1+K391)*((SUM(K161:K169)+SUM(Aprekini!K19:K22))/('Datu ievade'!N242+'Datu ievade'!N250+'Datu ievade'!N257)),IF('Datu ievade'!$B$357='Datu ievade'!$B$359,(1+K391)*((SUM('Datu ievade'!K161:K169)+SUM(Aprekini!K19:K22))/('Datu ievade'!N242+'Datu ievade'!N250+'Datu ievade'!N257)),)),3)</f>
        <v>0.259</v>
      </c>
      <c r="L393" s="526">
        <f>ROUND(IF('Datu ievade'!$B$357='Datu ievade'!$B$358,(1+L391)*((SUM(L161:L169)+SUM(Aprekini!L19:L22))/('Datu ievade'!O242+'Datu ievade'!O250+'Datu ievade'!O257)),IF('Datu ievade'!$B$357='Datu ievade'!$B$359,(1+L391)*((SUM('Datu ievade'!L161:L169)+SUM(Aprekini!L19:L22))/('Datu ievade'!O242+'Datu ievade'!O250+'Datu ievade'!O257)),)),3)</f>
        <v>0.259</v>
      </c>
      <c r="M393" s="526">
        <f>ROUND(IF('Datu ievade'!$B$357='Datu ievade'!$B$358,(1+M391)*((SUM(M161:M169)+SUM(Aprekini!M19:M22))/('Datu ievade'!P242+'Datu ievade'!P250+'Datu ievade'!P257)),IF('Datu ievade'!$B$357='Datu ievade'!$B$359,(1+M391)*((SUM('Datu ievade'!M161:M169)+SUM(Aprekini!M19:M22))/('Datu ievade'!P242+'Datu ievade'!P250+'Datu ievade'!P257)),)),3)</f>
        <v>0.264</v>
      </c>
      <c r="N393" s="526">
        <f>ROUND(IF('Datu ievade'!$B$357='Datu ievade'!$B$358,(1+N391)*((SUM(N161:N169)+SUM(Aprekini!N19:N22))/('Datu ievade'!Q242+'Datu ievade'!Q250+'Datu ievade'!Q257)),IF('Datu ievade'!$B$357='Datu ievade'!$B$359,(1+N391)*((SUM('Datu ievade'!N161:N169)+SUM(Aprekini!N19:N22))/('Datu ievade'!Q242+'Datu ievade'!Q250+'Datu ievade'!Q257)),)),3)</f>
        <v>0.268</v>
      </c>
      <c r="O393" s="526">
        <f>ROUND(IF('Datu ievade'!$B$357='Datu ievade'!$B$358,(1+O391)*((SUM(O161:O169)+SUM(Aprekini!O19:O22))/('Datu ievade'!R242+'Datu ievade'!R250+'Datu ievade'!R257)),IF('Datu ievade'!$B$357='Datu ievade'!$B$359,(1+O391)*((SUM('Datu ievade'!O161:O169)+SUM(Aprekini!O19:O22))/('Datu ievade'!R242+'Datu ievade'!R250+'Datu ievade'!R257)),)),3)</f>
        <v>0.272</v>
      </c>
      <c r="P393" s="526">
        <f>ROUND(IF('Datu ievade'!$B$357='Datu ievade'!$B$358,(1+P391)*((SUM(P161:P169)+SUM(Aprekini!P19:P22))/('Datu ievade'!S242+'Datu ievade'!S250+'Datu ievade'!S257)),IF('Datu ievade'!$B$357='Datu ievade'!$B$359,(1+P391)*((SUM('Datu ievade'!P161:P169)+SUM(Aprekini!P19:P22))/('Datu ievade'!S242+'Datu ievade'!S250+'Datu ievade'!S257)),)),3)</f>
        <v>0.278</v>
      </c>
      <c r="Q393" s="526">
        <f>ROUND(IF('Datu ievade'!$B$357='Datu ievade'!$B$358,(1+Q391)*((SUM(Q161:Q169)+SUM(Aprekini!Q19:Q22))/('Datu ievade'!T242+'Datu ievade'!T250+'Datu ievade'!T257)),IF('Datu ievade'!$B$357='Datu ievade'!$B$359,(1+Q391)*((SUM('Datu ievade'!Q161:Q169)+SUM(Aprekini!Q19:Q22))/('Datu ievade'!T242+'Datu ievade'!T250+'Datu ievade'!T257)),)),3)</f>
        <v>0.284</v>
      </c>
      <c r="R393" s="526">
        <f>ROUND(IF('Datu ievade'!$B$357='Datu ievade'!$B$358,(1+R391)*((SUM(R161:R169)+SUM(Aprekini!R19:R22))/('Datu ievade'!U242+'Datu ievade'!U250+'Datu ievade'!U257)),IF('Datu ievade'!$B$357='Datu ievade'!$B$359,(1+R391)*((SUM('Datu ievade'!R161:R169)+SUM(Aprekini!R19:R22))/('Datu ievade'!U242+'Datu ievade'!U250+'Datu ievade'!U257)),)),3)</f>
        <v>0.283</v>
      </c>
      <c r="S393" s="526">
        <f>ROUND(IF('Datu ievade'!$B$357='Datu ievade'!$B$358,(1+S391)*((SUM(S161:S169)+SUM(Aprekini!S19:S22))/('Datu ievade'!V242+'Datu ievade'!V250+'Datu ievade'!V257)),IF('Datu ievade'!$B$357='Datu ievade'!$B$359,(1+S391)*((SUM('Datu ievade'!S161:S169)+SUM(Aprekini!S19:S22))/('Datu ievade'!V242+'Datu ievade'!V250+'Datu ievade'!V257)),)),3)</f>
        <v>0.274</v>
      </c>
      <c r="T393" s="526">
        <f>ROUND(IF('Datu ievade'!$B$357='Datu ievade'!$B$358,(1+T391)*((SUM(T161:T169)+SUM(Aprekini!T19:T22))/('Datu ievade'!W242+'Datu ievade'!W250+'Datu ievade'!W257)),IF('Datu ievade'!$B$357='Datu ievade'!$B$359,(1+T391)*((SUM('Datu ievade'!T161:T169)+SUM(Aprekini!T19:T22))/('Datu ievade'!W242+'Datu ievade'!W250+'Datu ievade'!W257)),)),3)</f>
        <v>0.28</v>
      </c>
      <c r="U393" s="526">
        <f>ROUND(IF('Datu ievade'!$B$357='Datu ievade'!$B$358,(1+U391)*((SUM(U161:U169)+SUM(Aprekini!U19:U22))/('Datu ievade'!X242+'Datu ievade'!X250+'Datu ievade'!X257)),IF('Datu ievade'!$B$357='Datu ievade'!$B$359,(1+U391)*((SUM('Datu ievade'!U161:U169)+SUM(Aprekini!U19:U22))/('Datu ievade'!X242+'Datu ievade'!X250+'Datu ievade'!X257)),)),3)</f>
        <v>0.285</v>
      </c>
      <c r="V393" s="526">
        <f>ROUND(IF('Datu ievade'!$B$357='Datu ievade'!$B$358,(1+V391)*((SUM(V161:V169)+SUM(Aprekini!V19:V22))/('Datu ievade'!Y242+'Datu ievade'!Y250+'Datu ievade'!Y257)),IF('Datu ievade'!$B$357='Datu ievade'!$B$359,(1+V391)*((SUM('Datu ievade'!V161:V169)+SUM(Aprekini!V19:V22))/('Datu ievade'!Y242+'Datu ievade'!Y250+'Datu ievade'!Y257)),)),3)</f>
        <v>0.292</v>
      </c>
      <c r="W393" s="526">
        <f>ROUND(IF('Datu ievade'!$B$357='Datu ievade'!$B$358,(1+W391)*((SUM(W161:W169)+SUM(Aprekini!W19:W22))/('Datu ievade'!Z242+'Datu ievade'!Z250+'Datu ievade'!Z257)),IF('Datu ievade'!$B$357='Datu ievade'!$B$359,(1+W391)*((SUM('Datu ievade'!W161:W169)+SUM(Aprekini!W19:W22))/('Datu ievade'!Z242+'Datu ievade'!Z250+'Datu ievade'!Z257)),)),3)</f>
        <v>0.298</v>
      </c>
      <c r="X393" s="526">
        <f>ROUND(IF('Datu ievade'!$B$357='Datu ievade'!$B$358,(1+X391)*((SUM(X161:X169)+SUM(Aprekini!X19:X22))/('Datu ievade'!AA242+'Datu ievade'!AA250+'Datu ievade'!AA257)),IF('Datu ievade'!$B$357='Datu ievade'!$B$359,(1+X391)*((SUM('Datu ievade'!X161:X169)+SUM(Aprekini!X19:X22))/('Datu ievade'!AA242+'Datu ievade'!AA250+'Datu ievade'!AA257)),)),3)</f>
        <v>0.304</v>
      </c>
      <c r="Y393" s="526">
        <f>ROUND(IF('Datu ievade'!$B$357='Datu ievade'!$B$358,(1+Y391)*((SUM(Y161:Y169)+SUM(Aprekini!Y19:Y22))/('Datu ievade'!AB242+'Datu ievade'!AB250+'Datu ievade'!AB257)),IF('Datu ievade'!$B$357='Datu ievade'!$B$359,(1+Y391)*((SUM('Datu ievade'!Y161:Y169)+SUM(Aprekini!Y19:Y22))/('Datu ievade'!AB242+'Datu ievade'!AB250+'Datu ievade'!AB257)),)),3)</f>
        <v>0.31</v>
      </c>
      <c r="Z393" s="526">
        <f>ROUND(IF('Datu ievade'!$B$357='Datu ievade'!$B$358,(1+Z391)*((SUM(Z161:Z169)+SUM(Aprekini!Z19:Z22))/('Datu ievade'!AC242+'Datu ievade'!AC250+'Datu ievade'!AC257)),IF('Datu ievade'!$B$357='Datu ievade'!$B$359,(1+Z391)*((SUM('Datu ievade'!Z161:Z169)+SUM(Aprekini!Z19:Z22))/('Datu ievade'!AC242+'Datu ievade'!AC250+'Datu ievade'!AC257)),)),3)</f>
        <v>0.317</v>
      </c>
      <c r="AA393" s="526">
        <f>ROUND(IF('Datu ievade'!$B$357='Datu ievade'!$B$358,(1+AA391)*((SUM(AA161:AA169)+SUM(Aprekini!AA19:AA22))/('Datu ievade'!AD242+'Datu ievade'!AD250+'Datu ievade'!AD257)),IF('Datu ievade'!$B$357='Datu ievade'!$B$359,(1+AA391)*((SUM('Datu ievade'!AA161:AA169)+SUM(Aprekini!AA19:AA22))/('Datu ievade'!AD242+'Datu ievade'!AD250+'Datu ievade'!AD257)),)),3)</f>
        <v>0.323</v>
      </c>
      <c r="AB393" s="526">
        <f>ROUND(IF('Datu ievade'!$B$357='Datu ievade'!$B$358,(1+AB391)*((SUM(AB161:AB169)+SUM(Aprekini!AB19:AB22))/('Datu ievade'!AE242+'Datu ievade'!AE250+'Datu ievade'!AE257)),IF('Datu ievade'!$B$357='Datu ievade'!$B$359,(1+AB391)*((SUM('Datu ievade'!AB161:AB169)+SUM(Aprekini!AB19:AB22))/('Datu ievade'!AE242+'Datu ievade'!AE250+'Datu ievade'!AE257)),)),3)</f>
        <v>0.329</v>
      </c>
      <c r="AC393" s="526">
        <f>ROUND(IF('Datu ievade'!$B$357='Datu ievade'!$B$358,(1+AC391)*((SUM(AC161:AC169)+SUM(Aprekini!AC19:AC22))/('Datu ievade'!AF242+'Datu ievade'!AF250+'Datu ievade'!AF257)),IF('Datu ievade'!$B$357='Datu ievade'!$B$359,(1+AC391)*((SUM('Datu ievade'!AC161:AC169)+SUM(Aprekini!AC19:AC22))/('Datu ievade'!AF242+'Datu ievade'!AF250+'Datu ievade'!AF257)),)),3)</f>
        <v>0.336</v>
      </c>
      <c r="AD393" s="526">
        <f>ROUND(IF('Datu ievade'!$B$357='Datu ievade'!$B$358,(1+AD391)*((SUM(AD161:AD169)+SUM(Aprekini!AD19:AD22))/('Datu ievade'!AG242+'Datu ievade'!AG250+'Datu ievade'!AG257)),IF('Datu ievade'!$B$357='Datu ievade'!$B$359,(1+AD391)*((SUM('Datu ievade'!AD161:AD169)+SUM(Aprekini!AD19:AD22))/('Datu ievade'!AG242+'Datu ievade'!AG250+'Datu ievade'!AG257)),)),3)</f>
        <v>0.342</v>
      </c>
      <c r="AE393" s="526">
        <f>ROUND(IF('Datu ievade'!$B$357='Datu ievade'!$B$358,(1+AE391)*((SUM(AE161:AE169)+SUM(Aprekini!AE19:AE22))/('Datu ievade'!AH242+'Datu ievade'!AH250+'Datu ievade'!AH257)),IF('Datu ievade'!$B$357='Datu ievade'!$B$359,(1+AE391)*((SUM('Datu ievade'!AE161:AE169)+SUM(Aprekini!AE19:AE22))/('Datu ievade'!AH242+'Datu ievade'!AH250+'Datu ievade'!AH257)),)),3)</f>
        <v>0.348</v>
      </c>
      <c r="AF393" s="526">
        <f>ROUND(IF('Datu ievade'!$B$357='Datu ievade'!$B$358,(1+AF391)*((SUM(AF161:AF169)+SUM(Aprekini!AF19:AF22))/('Datu ievade'!AI242+'Datu ievade'!AI250+'Datu ievade'!AI257)),IF('Datu ievade'!$B$357='Datu ievade'!$B$359,(1+AF391)*((SUM('Datu ievade'!AF161:AF169)+SUM(Aprekini!AF19:AF22))/('Datu ievade'!AI242+'Datu ievade'!AI250+'Datu ievade'!AI257)),)),3)</f>
        <v>0.354</v>
      </c>
      <c r="AG393" s="526">
        <f>ROUND(IF('Datu ievade'!$B$357='Datu ievade'!$B$358,(1+AG391)*((SUM(AG161:AG169)+SUM(Aprekini!AG19:AG22))/('Datu ievade'!AJ242+'Datu ievade'!AJ250+'Datu ievade'!AJ257)),IF('Datu ievade'!$B$357='Datu ievade'!$B$359,(1+AG391)*((SUM('Datu ievade'!AG161:AG169)+SUM(Aprekini!AG19:AG22))/('Datu ievade'!AJ242+'Datu ievade'!AJ250+'Datu ievade'!AJ257)),)),3)</f>
        <v>0.362</v>
      </c>
      <c r="AH393" s="255"/>
      <c r="AI393" s="255"/>
      <c r="AJ393" s="443"/>
      <c r="AK393" s="443"/>
      <c r="AL393" s="443"/>
      <c r="AM393" s="443"/>
      <c r="AN393" s="443"/>
      <c r="AO393" s="443"/>
      <c r="AP393" s="443"/>
      <c r="AQ393" s="443"/>
      <c r="AR393" s="443"/>
      <c r="AS393" s="443"/>
      <c r="AT393" s="443"/>
      <c r="AU393" s="443"/>
      <c r="AV393" s="443"/>
      <c r="AW393" s="443"/>
      <c r="AX393" s="443"/>
      <c r="AY393" s="443"/>
      <c r="AZ393" s="443"/>
      <c r="BA393" s="443"/>
      <c r="BB393" s="443"/>
      <c r="BC393" s="443"/>
      <c r="BD393" s="443"/>
      <c r="BE393" s="443"/>
      <c r="BF393" s="443"/>
      <c r="BG393" s="443"/>
      <c r="BH393" s="443"/>
      <c r="BI393" s="443"/>
      <c r="BJ393" s="443"/>
      <c r="BK393" s="443"/>
      <c r="BL393" s="443"/>
      <c r="BM393" s="443"/>
      <c r="BN393" s="443"/>
      <c r="BO393" s="443"/>
      <c r="BP393" s="443"/>
      <c r="BQ393" s="443"/>
      <c r="BR393" s="443"/>
      <c r="BS393" s="443"/>
      <c r="BT393" s="443"/>
      <c r="BU393" s="443"/>
      <c r="BV393" s="443"/>
      <c r="BW393" s="443"/>
      <c r="BX393" s="443"/>
      <c r="BY393" s="443"/>
      <c r="BZ393" s="443"/>
      <c r="CA393" s="443"/>
      <c r="CB393" s="443"/>
      <c r="CC393" s="443"/>
      <c r="CD393" s="443"/>
      <c r="CE393" s="443"/>
      <c r="CF393" s="443"/>
      <c r="CG393" s="443"/>
      <c r="CH393" s="443"/>
      <c r="CI393" s="443"/>
      <c r="CJ393" s="443"/>
      <c r="CK393" s="443"/>
      <c r="CL393" s="443"/>
      <c r="CM393" s="443"/>
      <c r="CN393" s="443"/>
      <c r="CO393" s="443"/>
      <c r="CP393" s="443"/>
      <c r="CQ393" s="443"/>
      <c r="CR393" s="443"/>
      <c r="CS393" s="443"/>
      <c r="CT393" s="443"/>
      <c r="CU393" s="443"/>
      <c r="CV393" s="443"/>
      <c r="CW393" s="443"/>
      <c r="CX393" s="443"/>
      <c r="CY393" s="443"/>
      <c r="CZ393" s="443"/>
      <c r="DA393" s="443"/>
      <c r="DB393" s="443"/>
      <c r="DC393" s="443"/>
      <c r="DD393" s="443"/>
      <c r="DE393" s="443"/>
      <c r="DF393" s="443"/>
      <c r="DG393" s="443"/>
      <c r="DH393" s="443"/>
      <c r="DI393" s="443"/>
      <c r="DJ393" s="443"/>
      <c r="DK393" s="443"/>
      <c r="DL393" s="443"/>
      <c r="DM393" s="443"/>
      <c r="DN393" s="443"/>
      <c r="DO393" s="443"/>
      <c r="DP393" s="443"/>
      <c r="DQ393" s="443"/>
      <c r="DR393" s="443"/>
      <c r="DS393" s="443"/>
      <c r="DT393" s="443"/>
      <c r="DU393" s="443"/>
      <c r="DV393" s="443"/>
      <c r="DW393" s="443"/>
      <c r="DX393" s="443"/>
      <c r="DY393" s="443"/>
      <c r="DZ393" s="443"/>
      <c r="EA393" s="443"/>
      <c r="EB393" s="443"/>
      <c r="EC393" s="443"/>
      <c r="ED393" s="443"/>
      <c r="EE393" s="443"/>
      <c r="EF393" s="443"/>
      <c r="EG393" s="443"/>
      <c r="EH393" s="443"/>
      <c r="EI393" s="443"/>
      <c r="EJ393" s="443"/>
      <c r="EK393" s="443"/>
      <c r="EL393" s="443"/>
      <c r="EM393" s="443"/>
    </row>
    <row r="394" spans="1:143" s="257" customFormat="1" ht="12.75">
      <c r="A394" s="533" t="s">
        <v>388</v>
      </c>
      <c r="B394" s="271"/>
      <c r="C394" s="271">
        <f aca="true" t="shared" si="67" ref="C394:H394">C393-B393</f>
        <v>0</v>
      </c>
      <c r="D394" s="271">
        <f t="shared" si="67"/>
        <v>0.031</v>
      </c>
      <c r="E394" s="271">
        <f t="shared" si="67"/>
        <v>0.004999999999999977</v>
      </c>
      <c r="F394" s="271">
        <f t="shared" si="67"/>
        <v>0.0050000000000000044</v>
      </c>
      <c r="G394" s="271">
        <f t="shared" si="67"/>
        <v>0.0040000000000000036</v>
      </c>
      <c r="H394" s="271">
        <f t="shared" si="67"/>
        <v>0.0040000000000000036</v>
      </c>
      <c r="I394" s="271">
        <f aca="true" t="shared" si="68" ref="I394:AG394">I393-H393</f>
        <v>0.0050000000000000044</v>
      </c>
      <c r="J394" s="271">
        <f t="shared" si="68"/>
        <v>0.0040000000000000036</v>
      </c>
      <c r="K394" s="271">
        <f t="shared" si="68"/>
        <v>0.0010000000000000009</v>
      </c>
      <c r="L394" s="271">
        <f t="shared" si="68"/>
        <v>0</v>
      </c>
      <c r="M394" s="271">
        <f t="shared" si="68"/>
        <v>0.0050000000000000044</v>
      </c>
      <c r="N394" s="271">
        <f t="shared" si="68"/>
        <v>0.0040000000000000036</v>
      </c>
      <c r="O394" s="271">
        <f t="shared" si="68"/>
        <v>0.0040000000000000036</v>
      </c>
      <c r="P394" s="271">
        <f t="shared" si="68"/>
        <v>0.006000000000000005</v>
      </c>
      <c r="Q394" s="271">
        <f t="shared" si="68"/>
        <v>0.00599999999999995</v>
      </c>
      <c r="R394" s="271">
        <f t="shared" si="68"/>
        <v>-0.0010000000000000009</v>
      </c>
      <c r="S394" s="271">
        <f t="shared" si="68"/>
        <v>-0.008999999999999952</v>
      </c>
      <c r="T394" s="271">
        <f t="shared" si="68"/>
        <v>0.006000000000000005</v>
      </c>
      <c r="U394" s="271">
        <f t="shared" si="68"/>
        <v>0.004999999999999949</v>
      </c>
      <c r="V394" s="271">
        <f t="shared" si="68"/>
        <v>0.007000000000000006</v>
      </c>
      <c r="W394" s="271">
        <f t="shared" si="68"/>
        <v>0.006000000000000005</v>
      </c>
      <c r="X394" s="271">
        <f t="shared" si="68"/>
        <v>0.006000000000000005</v>
      </c>
      <c r="Y394" s="271">
        <f t="shared" si="68"/>
        <v>0.006000000000000005</v>
      </c>
      <c r="Z394" s="271">
        <f t="shared" si="68"/>
        <v>0.007000000000000006</v>
      </c>
      <c r="AA394" s="271">
        <f t="shared" si="68"/>
        <v>0.006000000000000005</v>
      </c>
      <c r="AB394" s="271">
        <f t="shared" si="68"/>
        <v>0.006000000000000005</v>
      </c>
      <c r="AC394" s="271">
        <f t="shared" si="68"/>
        <v>0.007000000000000006</v>
      </c>
      <c r="AD394" s="271">
        <f t="shared" si="68"/>
        <v>0.006000000000000005</v>
      </c>
      <c r="AE394" s="271">
        <f t="shared" si="68"/>
        <v>0.00599999999999995</v>
      </c>
      <c r="AF394" s="271">
        <f t="shared" si="68"/>
        <v>0.006000000000000005</v>
      </c>
      <c r="AG394" s="271">
        <f t="shared" si="68"/>
        <v>0.008000000000000007</v>
      </c>
      <c r="AH394" s="255"/>
      <c r="AI394" s="255"/>
      <c r="AJ394" s="443"/>
      <c r="AK394" s="443"/>
      <c r="AL394" s="443"/>
      <c r="AM394" s="443"/>
      <c r="AN394" s="443"/>
      <c r="AO394" s="443"/>
      <c r="AP394" s="443"/>
      <c r="AQ394" s="443"/>
      <c r="AR394" s="443"/>
      <c r="AS394" s="443"/>
      <c r="AT394" s="443"/>
      <c r="AU394" s="443"/>
      <c r="AV394" s="443"/>
      <c r="AW394" s="443"/>
      <c r="AX394" s="443"/>
      <c r="AY394" s="443"/>
      <c r="AZ394" s="443"/>
      <c r="BA394" s="443"/>
      <c r="BB394" s="443"/>
      <c r="BC394" s="443"/>
      <c r="BD394" s="443"/>
      <c r="BE394" s="443"/>
      <c r="BF394" s="443"/>
      <c r="BG394" s="443"/>
      <c r="BH394" s="443"/>
      <c r="BI394" s="443"/>
      <c r="BJ394" s="443"/>
      <c r="BK394" s="443"/>
      <c r="BL394" s="443"/>
      <c r="BM394" s="443"/>
      <c r="BN394" s="443"/>
      <c r="BO394" s="443"/>
      <c r="BP394" s="443"/>
      <c r="BQ394" s="443"/>
      <c r="BR394" s="443"/>
      <c r="BS394" s="443"/>
      <c r="BT394" s="443"/>
      <c r="BU394" s="443"/>
      <c r="BV394" s="443"/>
      <c r="BW394" s="443"/>
      <c r="BX394" s="443"/>
      <c r="BY394" s="443"/>
      <c r="BZ394" s="443"/>
      <c r="CA394" s="443"/>
      <c r="CB394" s="443"/>
      <c r="CC394" s="443"/>
      <c r="CD394" s="443"/>
      <c r="CE394" s="443"/>
      <c r="CF394" s="443"/>
      <c r="CG394" s="443"/>
      <c r="CH394" s="443"/>
      <c r="CI394" s="443"/>
      <c r="CJ394" s="443"/>
      <c r="CK394" s="443"/>
      <c r="CL394" s="443"/>
      <c r="CM394" s="443"/>
      <c r="CN394" s="443"/>
      <c r="CO394" s="443"/>
      <c r="CP394" s="443"/>
      <c r="CQ394" s="443"/>
      <c r="CR394" s="443"/>
      <c r="CS394" s="443"/>
      <c r="CT394" s="443"/>
      <c r="CU394" s="443"/>
      <c r="CV394" s="443"/>
      <c r="CW394" s="443"/>
      <c r="CX394" s="443"/>
      <c r="CY394" s="443"/>
      <c r="CZ394" s="443"/>
      <c r="DA394" s="443"/>
      <c r="DB394" s="443"/>
      <c r="DC394" s="443"/>
      <c r="DD394" s="443"/>
      <c r="DE394" s="443"/>
      <c r="DF394" s="443"/>
      <c r="DG394" s="443"/>
      <c r="DH394" s="443"/>
      <c r="DI394" s="443"/>
      <c r="DJ394" s="443"/>
      <c r="DK394" s="443"/>
      <c r="DL394" s="443"/>
      <c r="DM394" s="443"/>
      <c r="DN394" s="443"/>
      <c r="DO394" s="443"/>
      <c r="DP394" s="443"/>
      <c r="DQ394" s="443"/>
      <c r="DR394" s="443"/>
      <c r="DS394" s="443"/>
      <c r="DT394" s="443"/>
      <c r="DU394" s="443"/>
      <c r="DV394" s="443"/>
      <c r="DW394" s="443"/>
      <c r="DX394" s="443"/>
      <c r="DY394" s="443"/>
      <c r="DZ394" s="443"/>
      <c r="EA394" s="443"/>
      <c r="EB394" s="443"/>
      <c r="EC394" s="443"/>
      <c r="ED394" s="443"/>
      <c r="EE394" s="443"/>
      <c r="EF394" s="443"/>
      <c r="EG394" s="443"/>
      <c r="EH394" s="443"/>
      <c r="EI394" s="443"/>
      <c r="EJ394" s="443"/>
      <c r="EK394" s="443"/>
      <c r="EL394" s="443"/>
      <c r="EM394" s="443"/>
    </row>
    <row r="395" spans="1:143" s="257" customFormat="1" ht="25.5">
      <c r="A395" s="534" t="s">
        <v>389</v>
      </c>
      <c r="B395" s="271"/>
      <c r="C395" s="271">
        <f>C416-C393</f>
        <v>0.05741999999999997</v>
      </c>
      <c r="D395" s="271">
        <f aca="true" t="shared" si="69" ref="D395:AG395">D416-D393</f>
        <v>0.01422000000000001</v>
      </c>
      <c r="E395" s="271">
        <f t="shared" si="69"/>
        <v>0.13976</v>
      </c>
      <c r="F395" s="271">
        <f t="shared" si="69"/>
        <v>0.14085999999999999</v>
      </c>
      <c r="G395" s="271">
        <f t="shared" si="69"/>
        <v>0.13807999999999998</v>
      </c>
      <c r="H395" s="271">
        <f t="shared" si="69"/>
        <v>0.13651999999999997</v>
      </c>
      <c r="I395" s="271">
        <f t="shared" si="69"/>
        <v>0.13762000000000002</v>
      </c>
      <c r="J395" s="271">
        <f t="shared" si="69"/>
        <v>0.13972</v>
      </c>
      <c r="K395" s="271">
        <f t="shared" si="69"/>
        <v>0.14115999999999995</v>
      </c>
      <c r="L395" s="271">
        <f t="shared" si="69"/>
        <v>0.15091999999999994</v>
      </c>
      <c r="M395" s="271">
        <f t="shared" si="69"/>
        <v>0.1508</v>
      </c>
      <c r="N395" s="271">
        <f t="shared" si="69"/>
        <v>0.15289999999999992</v>
      </c>
      <c r="O395" s="271">
        <f t="shared" si="69"/>
        <v>0.15133999999999997</v>
      </c>
      <c r="P395" s="271">
        <f t="shared" si="69"/>
        <v>0.14899999999999997</v>
      </c>
      <c r="Q395" s="271">
        <f t="shared" si="69"/>
        <v>0.14909999999999995</v>
      </c>
      <c r="R395" s="271">
        <f t="shared" si="69"/>
        <v>0.15619999999999995</v>
      </c>
      <c r="S395" s="271">
        <f t="shared" si="69"/>
        <v>0.1786199999999999</v>
      </c>
      <c r="T395" s="271">
        <f t="shared" si="69"/>
        <v>0.17871999999999993</v>
      </c>
      <c r="U395" s="271">
        <f t="shared" si="69"/>
        <v>0.17615999999999998</v>
      </c>
      <c r="V395" s="271">
        <f t="shared" si="69"/>
        <v>0.17281999999999997</v>
      </c>
      <c r="W395" s="271">
        <f t="shared" si="69"/>
        <v>0.16925999999999997</v>
      </c>
      <c r="X395" s="271">
        <f t="shared" si="69"/>
        <v>0.16570000000000007</v>
      </c>
      <c r="Y395" s="271">
        <f t="shared" si="69"/>
        <v>0.16336000000000006</v>
      </c>
      <c r="Z395" s="271">
        <f t="shared" si="69"/>
        <v>0.15880000000000005</v>
      </c>
      <c r="AA395" s="271">
        <f t="shared" si="69"/>
        <v>0.15646000000000004</v>
      </c>
      <c r="AB395" s="271">
        <f t="shared" si="69"/>
        <v>0.15778000000000003</v>
      </c>
      <c r="AC395" s="271">
        <f t="shared" si="69"/>
        <v>0.15444000000000002</v>
      </c>
      <c r="AD395" s="271">
        <f t="shared" si="69"/>
        <v>0.14600000000000007</v>
      </c>
      <c r="AE395" s="271">
        <f t="shared" si="69"/>
        <v>0.14853999999999995</v>
      </c>
      <c r="AF395" s="271">
        <f t="shared" si="69"/>
        <v>0.15108</v>
      </c>
      <c r="AG395" s="271">
        <f t="shared" si="69"/>
        <v>0.14795999999999998</v>
      </c>
      <c r="AH395" s="255"/>
      <c r="AI395" s="255"/>
      <c r="AJ395" s="443"/>
      <c r="AK395" s="443"/>
      <c r="AL395" s="443"/>
      <c r="AM395" s="443"/>
      <c r="AN395" s="443"/>
      <c r="AO395" s="443"/>
      <c r="AP395" s="443"/>
      <c r="AQ395" s="443"/>
      <c r="AR395" s="443"/>
      <c r="AS395" s="443"/>
      <c r="AT395" s="443"/>
      <c r="AU395" s="443"/>
      <c r="AV395" s="443"/>
      <c r="AW395" s="443"/>
      <c r="AX395" s="443"/>
      <c r="AY395" s="443"/>
      <c r="AZ395" s="443"/>
      <c r="BA395" s="443"/>
      <c r="BB395" s="443"/>
      <c r="BC395" s="443"/>
      <c r="BD395" s="443"/>
      <c r="BE395" s="443"/>
      <c r="BF395" s="443"/>
      <c r="BG395" s="443"/>
      <c r="BH395" s="443"/>
      <c r="BI395" s="443"/>
      <c r="BJ395" s="443"/>
      <c r="BK395" s="443"/>
      <c r="BL395" s="443"/>
      <c r="BM395" s="443"/>
      <c r="BN395" s="443"/>
      <c r="BO395" s="443"/>
      <c r="BP395" s="443"/>
      <c r="BQ395" s="443"/>
      <c r="BR395" s="443"/>
      <c r="BS395" s="443"/>
      <c r="BT395" s="443"/>
      <c r="BU395" s="443"/>
      <c r="BV395" s="443"/>
      <c r="BW395" s="443"/>
      <c r="BX395" s="443"/>
      <c r="BY395" s="443"/>
      <c r="BZ395" s="443"/>
      <c r="CA395" s="443"/>
      <c r="CB395" s="443"/>
      <c r="CC395" s="443"/>
      <c r="CD395" s="443"/>
      <c r="CE395" s="443"/>
      <c r="CF395" s="443"/>
      <c r="CG395" s="443"/>
      <c r="CH395" s="443"/>
      <c r="CI395" s="443"/>
      <c r="CJ395" s="443"/>
      <c r="CK395" s="443"/>
      <c r="CL395" s="443"/>
      <c r="CM395" s="443"/>
      <c r="CN395" s="443"/>
      <c r="CO395" s="443"/>
      <c r="CP395" s="443"/>
      <c r="CQ395" s="443"/>
      <c r="CR395" s="443"/>
      <c r="CS395" s="443"/>
      <c r="CT395" s="443"/>
      <c r="CU395" s="443"/>
      <c r="CV395" s="443"/>
      <c r="CW395" s="443"/>
      <c r="CX395" s="443"/>
      <c r="CY395" s="443"/>
      <c r="CZ395" s="443"/>
      <c r="DA395" s="443"/>
      <c r="DB395" s="443"/>
      <c r="DC395" s="443"/>
      <c r="DD395" s="443"/>
      <c r="DE395" s="443"/>
      <c r="DF395" s="443"/>
      <c r="DG395" s="443"/>
      <c r="DH395" s="443"/>
      <c r="DI395" s="443"/>
      <c r="DJ395" s="443"/>
      <c r="DK395" s="443"/>
      <c r="DL395" s="443"/>
      <c r="DM395" s="443"/>
      <c r="DN395" s="443"/>
      <c r="DO395" s="443"/>
      <c r="DP395" s="443"/>
      <c r="DQ395" s="443"/>
      <c r="DR395" s="443"/>
      <c r="DS395" s="443"/>
      <c r="DT395" s="443"/>
      <c r="DU395" s="443"/>
      <c r="DV395" s="443"/>
      <c r="DW395" s="443"/>
      <c r="DX395" s="443"/>
      <c r="DY395" s="443"/>
      <c r="DZ395" s="443"/>
      <c r="EA395" s="443"/>
      <c r="EB395" s="443"/>
      <c r="EC395" s="443"/>
      <c r="ED395" s="443"/>
      <c r="EE395" s="443"/>
      <c r="EF395" s="443"/>
      <c r="EG395" s="443"/>
      <c r="EH395" s="443"/>
      <c r="EI395" s="443"/>
      <c r="EJ395" s="443"/>
      <c r="EK395" s="443"/>
      <c r="EL395" s="443"/>
      <c r="EM395" s="443"/>
    </row>
    <row r="396" spans="1:143" s="257" customFormat="1" ht="12.75">
      <c r="A396" s="533" t="s">
        <v>374</v>
      </c>
      <c r="B396" s="271">
        <f>B393</f>
        <v>0.2</v>
      </c>
      <c r="C396" s="271">
        <f aca="true" t="shared" si="70" ref="C396:AG396">C393</f>
        <v>0.2</v>
      </c>
      <c r="D396" s="271">
        <f t="shared" si="70"/>
        <v>0.231</v>
      </c>
      <c r="E396" s="271">
        <f t="shared" si="70"/>
        <v>0.236</v>
      </c>
      <c r="F396" s="271">
        <f t="shared" si="70"/>
        <v>0.241</v>
      </c>
      <c r="G396" s="271">
        <f t="shared" si="70"/>
        <v>0.245</v>
      </c>
      <c r="H396" s="271">
        <f t="shared" si="70"/>
        <v>0.249</v>
      </c>
      <c r="I396" s="271">
        <f t="shared" si="70"/>
        <v>0.254</v>
      </c>
      <c r="J396" s="271">
        <f t="shared" si="70"/>
        <v>0.258</v>
      </c>
      <c r="K396" s="271">
        <f t="shared" si="70"/>
        <v>0.259</v>
      </c>
      <c r="L396" s="271">
        <f t="shared" si="70"/>
        <v>0.259</v>
      </c>
      <c r="M396" s="271">
        <f t="shared" si="70"/>
        <v>0.264</v>
      </c>
      <c r="N396" s="271">
        <f t="shared" si="70"/>
        <v>0.268</v>
      </c>
      <c r="O396" s="271">
        <f t="shared" si="70"/>
        <v>0.272</v>
      </c>
      <c r="P396" s="271">
        <f t="shared" si="70"/>
        <v>0.278</v>
      </c>
      <c r="Q396" s="271">
        <f t="shared" si="70"/>
        <v>0.284</v>
      </c>
      <c r="R396" s="271">
        <f t="shared" si="70"/>
        <v>0.283</v>
      </c>
      <c r="S396" s="271">
        <f t="shared" si="70"/>
        <v>0.274</v>
      </c>
      <c r="T396" s="271">
        <f t="shared" si="70"/>
        <v>0.28</v>
      </c>
      <c r="U396" s="271">
        <f t="shared" si="70"/>
        <v>0.285</v>
      </c>
      <c r="V396" s="271">
        <f t="shared" si="70"/>
        <v>0.292</v>
      </c>
      <c r="W396" s="271">
        <f t="shared" si="70"/>
        <v>0.298</v>
      </c>
      <c r="X396" s="271">
        <f t="shared" si="70"/>
        <v>0.304</v>
      </c>
      <c r="Y396" s="271">
        <f t="shared" si="70"/>
        <v>0.31</v>
      </c>
      <c r="Z396" s="271">
        <f t="shared" si="70"/>
        <v>0.317</v>
      </c>
      <c r="AA396" s="271">
        <f t="shared" si="70"/>
        <v>0.323</v>
      </c>
      <c r="AB396" s="271">
        <f t="shared" si="70"/>
        <v>0.329</v>
      </c>
      <c r="AC396" s="271">
        <f t="shared" si="70"/>
        <v>0.336</v>
      </c>
      <c r="AD396" s="271">
        <f t="shared" si="70"/>
        <v>0.342</v>
      </c>
      <c r="AE396" s="271">
        <f t="shared" si="70"/>
        <v>0.348</v>
      </c>
      <c r="AF396" s="271">
        <f t="shared" si="70"/>
        <v>0.354</v>
      </c>
      <c r="AG396" s="271">
        <f t="shared" si="70"/>
        <v>0.362</v>
      </c>
      <c r="AH396" s="255"/>
      <c r="AI396" s="255"/>
      <c r="AJ396" s="443"/>
      <c r="AK396" s="443"/>
      <c r="AL396" s="443"/>
      <c r="AM396" s="443"/>
      <c r="AN396" s="443"/>
      <c r="AO396" s="443"/>
      <c r="AP396" s="443"/>
      <c r="AQ396" s="443"/>
      <c r="AR396" s="443"/>
      <c r="AS396" s="443"/>
      <c r="AT396" s="443"/>
      <c r="AU396" s="443"/>
      <c r="AV396" s="443"/>
      <c r="AW396" s="443"/>
      <c r="AX396" s="443"/>
      <c r="AY396" s="443"/>
      <c r="AZ396" s="443"/>
      <c r="BA396" s="443"/>
      <c r="BB396" s="443"/>
      <c r="BC396" s="443"/>
      <c r="BD396" s="443"/>
      <c r="BE396" s="443"/>
      <c r="BF396" s="443"/>
      <c r="BG396" s="443"/>
      <c r="BH396" s="443"/>
      <c r="BI396" s="443"/>
      <c r="BJ396" s="443"/>
      <c r="BK396" s="443"/>
      <c r="BL396" s="443"/>
      <c r="BM396" s="443"/>
      <c r="BN396" s="443"/>
      <c r="BO396" s="443"/>
      <c r="BP396" s="443"/>
      <c r="BQ396" s="443"/>
      <c r="BR396" s="443"/>
      <c r="BS396" s="443"/>
      <c r="BT396" s="443"/>
      <c r="BU396" s="443"/>
      <c r="BV396" s="443"/>
      <c r="BW396" s="443"/>
      <c r="BX396" s="443"/>
      <c r="BY396" s="443"/>
      <c r="BZ396" s="443"/>
      <c r="CA396" s="443"/>
      <c r="CB396" s="443"/>
      <c r="CC396" s="443"/>
      <c r="CD396" s="443"/>
      <c r="CE396" s="443"/>
      <c r="CF396" s="443"/>
      <c r="CG396" s="443"/>
      <c r="CH396" s="443"/>
      <c r="CI396" s="443"/>
      <c r="CJ396" s="443"/>
      <c r="CK396" s="443"/>
      <c r="CL396" s="443"/>
      <c r="CM396" s="443"/>
      <c r="CN396" s="443"/>
      <c r="CO396" s="443"/>
      <c r="CP396" s="443"/>
      <c r="CQ396" s="443"/>
      <c r="CR396" s="443"/>
      <c r="CS396" s="443"/>
      <c r="CT396" s="443"/>
      <c r="CU396" s="443"/>
      <c r="CV396" s="443"/>
      <c r="CW396" s="443"/>
      <c r="CX396" s="443"/>
      <c r="CY396" s="443"/>
      <c r="CZ396" s="443"/>
      <c r="DA396" s="443"/>
      <c r="DB396" s="443"/>
      <c r="DC396" s="443"/>
      <c r="DD396" s="443"/>
      <c r="DE396" s="443"/>
      <c r="DF396" s="443"/>
      <c r="DG396" s="443"/>
      <c r="DH396" s="443"/>
      <c r="DI396" s="443"/>
      <c r="DJ396" s="443"/>
      <c r="DK396" s="443"/>
      <c r="DL396" s="443"/>
      <c r="DM396" s="443"/>
      <c r="DN396" s="443"/>
      <c r="DO396" s="443"/>
      <c r="DP396" s="443"/>
      <c r="DQ396" s="443"/>
      <c r="DR396" s="443"/>
      <c r="DS396" s="443"/>
      <c r="DT396" s="443"/>
      <c r="DU396" s="443"/>
      <c r="DV396" s="443"/>
      <c r="DW396" s="443"/>
      <c r="DX396" s="443"/>
      <c r="DY396" s="443"/>
      <c r="DZ396" s="443"/>
      <c r="EA396" s="443"/>
      <c r="EB396" s="443"/>
      <c r="EC396" s="443"/>
      <c r="ED396" s="443"/>
      <c r="EE396" s="443"/>
      <c r="EF396" s="443"/>
      <c r="EG396" s="443"/>
      <c r="EH396" s="443"/>
      <c r="EI396" s="443"/>
      <c r="EJ396" s="443"/>
      <c r="EK396" s="443"/>
      <c r="EL396" s="443"/>
      <c r="EM396" s="443"/>
    </row>
    <row r="397" spans="1:143" s="539" customFormat="1" ht="12.75">
      <c r="A397" s="535" t="s">
        <v>70</v>
      </c>
      <c r="B397" s="540"/>
      <c r="C397" s="540"/>
      <c r="D397" s="540"/>
      <c r="E397" s="540"/>
      <c r="F397" s="540"/>
      <c r="G397" s="540"/>
      <c r="H397" s="540"/>
      <c r="I397" s="540"/>
      <c r="J397" s="540"/>
      <c r="K397" s="540"/>
      <c r="L397" s="540"/>
      <c r="M397" s="540"/>
      <c r="N397" s="540"/>
      <c r="O397" s="540"/>
      <c r="P397" s="540"/>
      <c r="Q397" s="540"/>
      <c r="R397" s="540"/>
      <c r="S397" s="540"/>
      <c r="T397" s="540"/>
      <c r="U397" s="540"/>
      <c r="V397" s="540"/>
      <c r="W397" s="540"/>
      <c r="X397" s="540"/>
      <c r="Y397" s="540"/>
      <c r="Z397" s="540"/>
      <c r="AA397" s="540"/>
      <c r="AB397" s="540"/>
      <c r="AC397" s="540"/>
      <c r="AD397" s="540"/>
      <c r="AE397" s="540"/>
      <c r="AF397" s="540"/>
      <c r="AG397" s="541"/>
      <c r="AH397" s="255"/>
      <c r="AI397" s="255"/>
      <c r="AJ397" s="443"/>
      <c r="AK397" s="443"/>
      <c r="AL397" s="443"/>
      <c r="AM397" s="443"/>
      <c r="AN397" s="443"/>
      <c r="AO397" s="443"/>
      <c r="AP397" s="443"/>
      <c r="AQ397" s="443"/>
      <c r="AR397" s="443"/>
      <c r="AS397" s="443"/>
      <c r="AT397" s="443"/>
      <c r="AU397" s="443"/>
      <c r="AV397" s="443"/>
      <c r="AW397" s="443"/>
      <c r="AX397" s="443"/>
      <c r="AY397" s="443"/>
      <c r="AZ397" s="443"/>
      <c r="BA397" s="443"/>
      <c r="BB397" s="443"/>
      <c r="BC397" s="443"/>
      <c r="BD397" s="443"/>
      <c r="BE397" s="443"/>
      <c r="BF397" s="443"/>
      <c r="BG397" s="443"/>
      <c r="BH397" s="443"/>
      <c r="BI397" s="443"/>
      <c r="BJ397" s="443"/>
      <c r="BK397" s="443"/>
      <c r="BL397" s="443"/>
      <c r="BM397" s="443"/>
      <c r="BN397" s="443"/>
      <c r="BO397" s="443"/>
      <c r="BP397" s="443"/>
      <c r="BQ397" s="443"/>
      <c r="BR397" s="443"/>
      <c r="BS397" s="443"/>
      <c r="BT397" s="443"/>
      <c r="BU397" s="443"/>
      <c r="BV397" s="443"/>
      <c r="BW397" s="443"/>
      <c r="BX397" s="443"/>
      <c r="BY397" s="443"/>
      <c r="BZ397" s="443"/>
      <c r="CA397" s="443"/>
      <c r="CB397" s="443"/>
      <c r="CC397" s="443"/>
      <c r="CD397" s="443"/>
      <c r="CE397" s="443"/>
      <c r="CF397" s="443"/>
      <c r="CG397" s="443"/>
      <c r="CH397" s="443"/>
      <c r="CI397" s="443"/>
      <c r="CJ397" s="443"/>
      <c r="CK397" s="443"/>
      <c r="CL397" s="443"/>
      <c r="CM397" s="443"/>
      <c r="CN397" s="443"/>
      <c r="CO397" s="443"/>
      <c r="CP397" s="443"/>
      <c r="CQ397" s="443"/>
      <c r="CR397" s="443"/>
      <c r="CS397" s="443"/>
      <c r="CT397" s="443"/>
      <c r="CU397" s="443"/>
      <c r="CV397" s="443"/>
      <c r="CW397" s="443"/>
      <c r="CX397" s="443"/>
      <c r="CY397" s="443"/>
      <c r="CZ397" s="443"/>
      <c r="DA397" s="443"/>
      <c r="DB397" s="443"/>
      <c r="DC397" s="443"/>
      <c r="DD397" s="443"/>
      <c r="DE397" s="443"/>
      <c r="DF397" s="443"/>
      <c r="DG397" s="443"/>
      <c r="DH397" s="443"/>
      <c r="DI397" s="443"/>
      <c r="DJ397" s="443"/>
      <c r="DK397" s="443"/>
      <c r="DL397" s="443"/>
      <c r="DM397" s="443"/>
      <c r="DN397" s="443"/>
      <c r="DO397" s="443"/>
      <c r="DP397" s="443"/>
      <c r="DQ397" s="443"/>
      <c r="DR397" s="443"/>
      <c r="DS397" s="443"/>
      <c r="DT397" s="443"/>
      <c r="DU397" s="443"/>
      <c r="DV397" s="443"/>
      <c r="DW397" s="443"/>
      <c r="DX397" s="443"/>
      <c r="DY397" s="443"/>
      <c r="DZ397" s="443"/>
      <c r="EA397" s="443"/>
      <c r="EB397" s="443"/>
      <c r="EC397" s="443"/>
      <c r="ED397" s="443"/>
      <c r="EE397" s="443"/>
      <c r="EF397" s="443"/>
      <c r="EG397" s="443"/>
      <c r="EH397" s="443"/>
      <c r="EI397" s="443"/>
      <c r="EJ397" s="443"/>
      <c r="EK397" s="443"/>
      <c r="EL397" s="443"/>
      <c r="EM397" s="443"/>
    </row>
    <row r="398" spans="1:143" s="257" customFormat="1" ht="12.75">
      <c r="A398" s="533" t="str">
        <f>A393</f>
        <v>     Aprēķinātais tarifs</v>
      </c>
      <c r="B398" s="526">
        <f>E366</f>
        <v>0.3</v>
      </c>
      <c r="C398" s="526">
        <f>F366</f>
        <v>0.3</v>
      </c>
      <c r="D398" s="526">
        <f>ROUND(IF('Datu ievade'!$B$357='Datu ievade'!$B$358,(1+D391)*((SUM(D172:D180)+SUM(Aprekini!D24:D27))/('Datu ievade'!G276+'Datu ievade'!G284+'Datu ievade'!G291)),IF('Datu ievade'!$B$357='Datu ievade'!$B$359,(1+D391)*((SUM('Datu ievade'!D172:D180)+SUM(Aprekini!D24:D27))/('Datu ievade'!G276+'Datu ievade'!G284+'Datu ievade'!G291)),)),3)</f>
        <v>0.362</v>
      </c>
      <c r="E398" s="526">
        <f>ROUND(IF('Datu ievade'!$B$357='Datu ievade'!$B$358,(1+E391)*((SUM(E172:E180)+SUM(Aprekini!E24:E27))/('Datu ievade'!H276+'Datu ievade'!H284+'Datu ievade'!H291)),IF('Datu ievade'!$B$357='Datu ievade'!$B$359,(1+E391)*((SUM('Datu ievade'!E172:E180)+SUM(Aprekini!E24:E27))/('Datu ievade'!H276+'Datu ievade'!H284+'Datu ievade'!H291)),)),3)</f>
        <v>0.37</v>
      </c>
      <c r="F398" s="526">
        <f>ROUND(IF('Datu ievade'!$B$357='Datu ievade'!$B$358,(1+F391)*((SUM(F172:F180)+SUM(Aprekini!F24:F27))/('Datu ievade'!I276+'Datu ievade'!I284+'Datu ievade'!I291)),IF('Datu ievade'!$B$357='Datu ievade'!$B$359,(1+F391)*((SUM('Datu ievade'!F172:F180)+SUM(Aprekini!F24:F27))/('Datu ievade'!I276+'Datu ievade'!I284+'Datu ievade'!I291)),)),3)</f>
        <v>0.378</v>
      </c>
      <c r="G398" s="526">
        <f>ROUND(IF('Datu ievade'!$B$357='Datu ievade'!$B$358,(1+G391)*((SUM(G172:G180)+SUM(Aprekini!G24:G27))/('Datu ievade'!J276+'Datu ievade'!J284+'Datu ievade'!J291)),IF('Datu ievade'!$B$357='Datu ievade'!$B$359,(1+G391)*((SUM('Datu ievade'!G172:G180)+SUM(Aprekini!G24:G27))/('Datu ievade'!J276+'Datu ievade'!J284+'Datu ievade'!J291)),)),3)</f>
        <v>0.385</v>
      </c>
      <c r="H398" s="526">
        <f>ROUND(IF('Datu ievade'!$B$357='Datu ievade'!$B$358,(1+H391)*((SUM(H172:H180)+SUM(Aprekini!H24:H27))/('Datu ievade'!K276+'Datu ievade'!K284+'Datu ievade'!K291)),IF('Datu ievade'!$B$357='Datu ievade'!$B$359,(1+H391)*((SUM('Datu ievade'!H172:H180)+SUM(Aprekini!H24:H27))/('Datu ievade'!K276+'Datu ievade'!K284+'Datu ievade'!K291)),)),3)</f>
        <v>0.392</v>
      </c>
      <c r="I398" s="526">
        <f>ROUND(IF('Datu ievade'!$B$357='Datu ievade'!$B$358,(1+I391)*((SUM(I172:I180)+SUM(Aprekini!I24:I27))/('Datu ievade'!L276+'Datu ievade'!L284+'Datu ievade'!L291)),IF('Datu ievade'!$B$357='Datu ievade'!$B$359,(1+I391)*((SUM('Datu ievade'!I172:I180)+SUM(Aprekini!I24:I27))/('Datu ievade'!L276+'Datu ievade'!L284+'Datu ievade'!L291)),)),3)</f>
        <v>0.399</v>
      </c>
      <c r="J398" s="526">
        <f>ROUND(IF('Datu ievade'!$B$357='Datu ievade'!$B$358,(1+J391)*((SUM(J172:J180)+SUM(Aprekini!J24:J27))/('Datu ievade'!M276+'Datu ievade'!M284+'Datu ievade'!M291)),IF('Datu ievade'!$B$357='Datu ievade'!$B$359,(1+J391)*((SUM('Datu ievade'!J172:J180)+SUM(Aprekini!J24:J27))/('Datu ievade'!M276+'Datu ievade'!M284+'Datu ievade'!M291)),)),3)</f>
        <v>0.398</v>
      </c>
      <c r="K398" s="526">
        <f>ROUND(IF('Datu ievade'!$B$357='Datu ievade'!$B$358,(1+K391)*((SUM(K172:K180)+SUM(Aprekini!K24:K27))/('Datu ievade'!N276+'Datu ievade'!N284+'Datu ievade'!N291)),IF('Datu ievade'!$B$357='Datu ievade'!$B$359,(1+K391)*((SUM('Datu ievade'!K172:K180)+SUM(Aprekini!K24:K27))/('Datu ievade'!N276+'Datu ievade'!N284+'Datu ievade'!N291)),)),3)</f>
        <v>0.405</v>
      </c>
      <c r="L398" s="526">
        <f>ROUND(IF('Datu ievade'!$B$357='Datu ievade'!$B$358,(1+L391)*((SUM(L172:L180)+SUM(Aprekini!L24:L27))/('Datu ievade'!O276+'Datu ievade'!O284+'Datu ievade'!O291)),IF('Datu ievade'!$B$357='Datu ievade'!$B$359,(1+L391)*((SUM('Datu ievade'!L172:L180)+SUM(Aprekini!L24:L27))/('Datu ievade'!O276+'Datu ievade'!O284+'Datu ievade'!O291)),)),3)</f>
        <v>0.384</v>
      </c>
      <c r="M398" s="526">
        <f>ROUND(IF('Datu ievade'!$B$357='Datu ievade'!$B$358,(1+M391)*((SUM(M172:M180)+SUM(Aprekini!M24:M27))/('Datu ievade'!P276+'Datu ievade'!P284+'Datu ievade'!P291)),IF('Datu ievade'!$B$357='Datu ievade'!$B$359,(1+M391)*((SUM('Datu ievade'!M172:M180)+SUM(Aprekini!M24:M27))/('Datu ievade'!P276+'Datu ievade'!P284+'Datu ievade'!P291)),)),3)</f>
        <v>0.391</v>
      </c>
      <c r="N398" s="526">
        <f>ROUND(IF('Datu ievade'!$B$357='Datu ievade'!$B$358,(1+N391)*((SUM(N172:N180)+SUM(Aprekini!N24:N27))/('Datu ievade'!Q276+'Datu ievade'!Q284+'Datu ievade'!Q291)),IF('Datu ievade'!$B$357='Datu ievade'!$B$359,(1+N391)*((SUM('Datu ievade'!N172:N180)+SUM(Aprekini!N24:N27))/('Datu ievade'!Q276+'Datu ievade'!Q284+'Datu ievade'!Q291)),)),3)</f>
        <v>0.398</v>
      </c>
      <c r="O398" s="526">
        <f>ROUND(IF('Datu ievade'!$B$357='Datu ievade'!$B$358,(1+O391)*((SUM(O172:O180)+SUM(Aprekini!O24:O27))/('Datu ievade'!R276+'Datu ievade'!R284+'Datu ievade'!R291)),IF('Datu ievade'!$B$357='Datu ievade'!$B$359,(1+O391)*((SUM('Datu ievade'!O172:O180)+SUM(Aprekini!O24:O27))/('Datu ievade'!R276+'Datu ievade'!R284+'Datu ievade'!R291)),)),3)</f>
        <v>0.405</v>
      </c>
      <c r="P398" s="526">
        <f>ROUND(IF('Datu ievade'!$B$357='Datu ievade'!$B$358,(1+P391)*((SUM(P172:P180)+SUM(Aprekini!P24:P27))/('Datu ievade'!S276+'Datu ievade'!S284+'Datu ievade'!S291)),IF('Datu ievade'!$B$357='Datu ievade'!$B$359,(1+P391)*((SUM('Datu ievade'!P172:P180)+SUM(Aprekini!P24:P27))/('Datu ievade'!S276+'Datu ievade'!S284+'Datu ievade'!S291)),)),3)</f>
        <v>0.415</v>
      </c>
      <c r="Q398" s="526">
        <f>ROUND(IF('Datu ievade'!$B$357='Datu ievade'!$B$358,(1+Q391)*((SUM(Q172:Q180)+SUM(Aprekini!Q24:Q27))/('Datu ievade'!T276+'Datu ievade'!T284+'Datu ievade'!T291)),IF('Datu ievade'!$B$357='Datu ievade'!$B$359,(1+Q391)*((SUM('Datu ievade'!Q172:Q180)+SUM(Aprekini!Q24:Q27))/('Datu ievade'!T276+'Datu ievade'!T284+'Datu ievade'!T291)),)),3)</f>
        <v>0.424</v>
      </c>
      <c r="R398" s="526">
        <f>ROUND(IF('Datu ievade'!$B$357='Datu ievade'!$B$358,(1+R391)*((SUM(R172:R180)+SUM(Aprekini!R24:R27))/('Datu ievade'!U276+'Datu ievade'!U284+'Datu ievade'!U291)),IF('Datu ievade'!$B$357='Datu ievade'!$B$359,(1+R391)*((SUM('Datu ievade'!R172:R180)+SUM(Aprekini!R24:R27))/('Datu ievade'!U276+'Datu ievade'!U284+'Datu ievade'!U291)),)),3)</f>
        <v>0.433</v>
      </c>
      <c r="S398" s="526">
        <f>ROUND(IF('Datu ievade'!$B$357='Datu ievade'!$B$358,(1+S391)*((SUM(S172:S180)+SUM(Aprekini!S24:S27))/('Datu ievade'!V276+'Datu ievade'!V284+'Datu ievade'!V291)),IF('Datu ievade'!$B$357='Datu ievade'!$B$359,(1+S391)*((SUM('Datu ievade'!S172:S180)+SUM(Aprekini!S24:S27))/('Datu ievade'!V276+'Datu ievade'!V284+'Datu ievade'!V291)),)),3)</f>
        <v>0.443</v>
      </c>
      <c r="T398" s="526">
        <f>ROUND(IF('Datu ievade'!$B$357='Datu ievade'!$B$358,(1+T391)*((SUM(T172:T180)+SUM(Aprekini!T24:T27))/('Datu ievade'!W276+'Datu ievade'!W284+'Datu ievade'!W291)),IF('Datu ievade'!$B$357='Datu ievade'!$B$359,(1+T391)*((SUM('Datu ievade'!T172:T180)+SUM(Aprekini!T24:T27))/('Datu ievade'!W276+'Datu ievade'!W284+'Datu ievade'!W291)),)),3)</f>
        <v>0.452</v>
      </c>
      <c r="U398" s="526">
        <f>ROUND(IF('Datu ievade'!$B$357='Datu ievade'!$B$358,(1+U391)*((SUM(U172:U180)+SUM(Aprekini!U24:U27))/('Datu ievade'!X276+'Datu ievade'!X284+'Datu ievade'!X291)),IF('Datu ievade'!$B$357='Datu ievade'!$B$359,(1+U391)*((SUM('Datu ievade'!U172:U180)+SUM(Aprekini!U24:U27))/('Datu ievade'!X276+'Datu ievade'!X284+'Datu ievade'!X291)),)),3)</f>
        <v>0.461</v>
      </c>
      <c r="V398" s="526">
        <f>ROUND(IF('Datu ievade'!$B$357='Datu ievade'!$B$358,(1+V391)*((SUM(V172:V180)+SUM(Aprekini!V24:V27))/('Datu ievade'!Y276+'Datu ievade'!Y284+'Datu ievade'!Y291)),IF('Datu ievade'!$B$357='Datu ievade'!$B$359,(1+V391)*((SUM('Datu ievade'!V172:V180)+SUM(Aprekini!V24:V27))/('Datu ievade'!Y276+'Datu ievade'!Y284+'Datu ievade'!Y291)),)),3)</f>
        <v>0.472</v>
      </c>
      <c r="W398" s="526">
        <f>ROUND(IF('Datu ievade'!$B$357='Datu ievade'!$B$358,(1+W391)*((SUM(W172:W180)+SUM(Aprekini!W24:W27))/('Datu ievade'!Z276+'Datu ievade'!Z284+'Datu ievade'!Z291)),IF('Datu ievade'!$B$357='Datu ievade'!$B$359,(1+W391)*((SUM('Datu ievade'!W172:W180)+SUM(Aprekini!W24:W27))/('Datu ievade'!Z276+'Datu ievade'!Z284+'Datu ievade'!Z291)),)),3)</f>
        <v>0.482</v>
      </c>
      <c r="X398" s="526">
        <f>ROUND(IF('Datu ievade'!$B$357='Datu ievade'!$B$358,(1+X391)*((SUM(X172:X180)+SUM(Aprekini!X24:X27))/('Datu ievade'!AA276+'Datu ievade'!AA284+'Datu ievade'!AA291)),IF('Datu ievade'!$B$357='Datu ievade'!$B$359,(1+X391)*((SUM('Datu ievade'!X172:X180)+SUM(Aprekini!X24:X27))/('Datu ievade'!AA276+'Datu ievade'!AA284+'Datu ievade'!AA291)),)),3)</f>
        <v>0.492</v>
      </c>
      <c r="Y398" s="526">
        <f>ROUND(IF('Datu ievade'!$B$357='Datu ievade'!$B$358,(1+Y391)*((SUM(Y172:Y180)+SUM(Aprekini!Y24:Y27))/('Datu ievade'!AB276+'Datu ievade'!AB284+'Datu ievade'!AB291)),IF('Datu ievade'!$B$357='Datu ievade'!$B$359,(1+Y391)*((SUM('Datu ievade'!Y172:Y180)+SUM(Aprekini!Y24:Y27))/('Datu ievade'!AB276+'Datu ievade'!AB284+'Datu ievade'!AB291)),)),3)</f>
        <v>0.502</v>
      </c>
      <c r="Z398" s="526">
        <f>ROUND(IF('Datu ievade'!$B$357='Datu ievade'!$B$358,(1+Z391)*((SUM(Z172:Z180)+SUM(Aprekini!Z24:Z27))/('Datu ievade'!AC276+'Datu ievade'!AC284+'Datu ievade'!AC291)),IF('Datu ievade'!$B$357='Datu ievade'!$B$359,(1+Z391)*((SUM('Datu ievade'!Z172:Z180)+SUM(Aprekini!Z24:Z27))/('Datu ievade'!AC276+'Datu ievade'!AC284+'Datu ievade'!AC291)),)),3)</f>
        <v>0.512</v>
      </c>
      <c r="AA398" s="526">
        <f>ROUND(IF('Datu ievade'!$B$357='Datu ievade'!$B$358,(1+AA391)*((SUM(AA172:AA180)+SUM(Aprekini!AA24:AA27))/('Datu ievade'!AD276+'Datu ievade'!AD284+'Datu ievade'!AD291)),IF('Datu ievade'!$B$357='Datu ievade'!$B$359,(1+AA391)*((SUM('Datu ievade'!AA172:AA180)+SUM(Aprekini!AA24:AA27))/('Datu ievade'!AD276+'Datu ievade'!AD284+'Datu ievade'!AD291)),)),3)</f>
        <v>0.522</v>
      </c>
      <c r="AB398" s="526">
        <f>ROUND(IF('Datu ievade'!$B$357='Datu ievade'!$B$358,(1+AB391)*((SUM(AB172:AB180)+SUM(Aprekini!AB24:AB27))/('Datu ievade'!AE276+'Datu ievade'!AE284+'Datu ievade'!AE291)),IF('Datu ievade'!$B$357='Datu ievade'!$B$359,(1+AB391)*((SUM('Datu ievade'!AB172:AB180)+SUM(Aprekini!AB24:AB27))/('Datu ievade'!AE276+'Datu ievade'!AE284+'Datu ievade'!AE291)),)),3)</f>
        <v>0.532</v>
      </c>
      <c r="AC398" s="526">
        <f>ROUND(IF('Datu ievade'!$B$357='Datu ievade'!$B$358,(1+AC391)*((SUM(AC172:AC180)+SUM(Aprekini!AC24:AC27))/('Datu ievade'!AF276+'Datu ievade'!AF284+'Datu ievade'!AF291)),IF('Datu ievade'!$B$357='Datu ievade'!$B$359,(1+AC391)*((SUM('Datu ievade'!AC172:AC180)+SUM(Aprekini!AC24:AC27))/('Datu ievade'!AF276+'Datu ievade'!AF284+'Datu ievade'!AF291)),)),3)</f>
        <v>0.542</v>
      </c>
      <c r="AD398" s="526">
        <f>ROUND(IF('Datu ievade'!$B$357='Datu ievade'!$B$358,(1+AD391)*((SUM(AD172:AD180)+SUM(Aprekini!AD24:AD27))/('Datu ievade'!AG276+'Datu ievade'!AG284+'Datu ievade'!AG291)),IF('Datu ievade'!$B$357='Datu ievade'!$B$359,(1+AD391)*((SUM('Datu ievade'!AD172:AD180)+SUM(Aprekini!AD24:AD27))/('Datu ievade'!AG276+'Datu ievade'!AG284+'Datu ievade'!AG291)),)),3)</f>
        <v>0.553</v>
      </c>
      <c r="AE398" s="526">
        <f>ROUND(IF('Datu ievade'!$B$357='Datu ievade'!$B$358,(1+AE391)*((SUM(AE172:AE180)+SUM(Aprekini!AE24:AE27))/('Datu ievade'!AH276+'Datu ievade'!AH284+'Datu ievade'!AH291)),IF('Datu ievade'!$B$357='Datu ievade'!$B$359,(1+AE391)*((SUM('Datu ievade'!AE172:AE180)+SUM(Aprekini!AE24:AE27))/('Datu ievade'!AH276+'Datu ievade'!AH284+'Datu ievade'!AH291)),)),3)</f>
        <v>0.563</v>
      </c>
      <c r="AF398" s="526">
        <f>ROUND(IF('Datu ievade'!$B$357='Datu ievade'!$B$358,(1+AF391)*((SUM(AF172:AF180)+SUM(Aprekini!AF24:AF27))/('Datu ievade'!AI276+'Datu ievade'!AI284+'Datu ievade'!AI291)),IF('Datu ievade'!$B$357='Datu ievade'!$B$359,(1+AF391)*((SUM('Datu ievade'!AF172:AF180)+SUM(Aprekini!AF24:AF27))/('Datu ievade'!AI276+'Datu ievade'!AI284+'Datu ievade'!AI291)),)),3)</f>
        <v>0.573</v>
      </c>
      <c r="AG398" s="526">
        <f>ROUND(IF('Datu ievade'!$B$357='Datu ievade'!$B$358,(1+AG391)*((SUM(AG172:AG180)+SUM(Aprekini!AG24:AG27))/('Datu ievade'!AJ276+'Datu ievade'!AJ284+'Datu ievade'!AJ291)),IF('Datu ievade'!$B$357='Datu ievade'!$B$359,(1+AG391)*((SUM('Datu ievade'!AG172:AG180)+SUM(Aprekini!AG24:AG27))/('Datu ievade'!AJ276+'Datu ievade'!AJ284+'Datu ievade'!AJ291)),)),3)</f>
        <v>0.585</v>
      </c>
      <c r="AH398" s="255"/>
      <c r="AI398" s="255"/>
      <c r="AJ398" s="443"/>
      <c r="AK398" s="443"/>
      <c r="AL398" s="443"/>
      <c r="AM398" s="443"/>
      <c r="AN398" s="443"/>
      <c r="AO398" s="443"/>
      <c r="AP398" s="443"/>
      <c r="AQ398" s="443"/>
      <c r="AR398" s="443"/>
      <c r="AS398" s="443"/>
      <c r="AT398" s="443"/>
      <c r="AU398" s="443"/>
      <c r="AV398" s="443"/>
      <c r="AW398" s="443"/>
      <c r="AX398" s="443"/>
      <c r="AY398" s="443"/>
      <c r="AZ398" s="443"/>
      <c r="BA398" s="443"/>
      <c r="BB398" s="443"/>
      <c r="BC398" s="443"/>
      <c r="BD398" s="443"/>
      <c r="BE398" s="443"/>
      <c r="BF398" s="443"/>
      <c r="BG398" s="443"/>
      <c r="BH398" s="443"/>
      <c r="BI398" s="443"/>
      <c r="BJ398" s="443"/>
      <c r="BK398" s="443"/>
      <c r="BL398" s="443"/>
      <c r="BM398" s="443"/>
      <c r="BN398" s="443"/>
      <c r="BO398" s="443"/>
      <c r="BP398" s="443"/>
      <c r="BQ398" s="443"/>
      <c r="BR398" s="443"/>
      <c r="BS398" s="443"/>
      <c r="BT398" s="443"/>
      <c r="BU398" s="443"/>
      <c r="BV398" s="443"/>
      <c r="BW398" s="443"/>
      <c r="BX398" s="443"/>
      <c r="BY398" s="443"/>
      <c r="BZ398" s="443"/>
      <c r="CA398" s="443"/>
      <c r="CB398" s="443"/>
      <c r="CC398" s="443"/>
      <c r="CD398" s="443"/>
      <c r="CE398" s="443"/>
      <c r="CF398" s="443"/>
      <c r="CG398" s="443"/>
      <c r="CH398" s="443"/>
      <c r="CI398" s="443"/>
      <c r="CJ398" s="443"/>
      <c r="CK398" s="443"/>
      <c r="CL398" s="443"/>
      <c r="CM398" s="443"/>
      <c r="CN398" s="443"/>
      <c r="CO398" s="443"/>
      <c r="CP398" s="443"/>
      <c r="CQ398" s="443"/>
      <c r="CR398" s="443"/>
      <c r="CS398" s="443"/>
      <c r="CT398" s="443"/>
      <c r="CU398" s="443"/>
      <c r="CV398" s="443"/>
      <c r="CW398" s="443"/>
      <c r="CX398" s="443"/>
      <c r="CY398" s="443"/>
      <c r="CZ398" s="443"/>
      <c r="DA398" s="443"/>
      <c r="DB398" s="443"/>
      <c r="DC398" s="443"/>
      <c r="DD398" s="443"/>
      <c r="DE398" s="443"/>
      <c r="DF398" s="443"/>
      <c r="DG398" s="443"/>
      <c r="DH398" s="443"/>
      <c r="DI398" s="443"/>
      <c r="DJ398" s="443"/>
      <c r="DK398" s="443"/>
      <c r="DL398" s="443"/>
      <c r="DM398" s="443"/>
      <c r="DN398" s="443"/>
      <c r="DO398" s="443"/>
      <c r="DP398" s="443"/>
      <c r="DQ398" s="443"/>
      <c r="DR398" s="443"/>
      <c r="DS398" s="443"/>
      <c r="DT398" s="443"/>
      <c r="DU398" s="443"/>
      <c r="DV398" s="443"/>
      <c r="DW398" s="443"/>
      <c r="DX398" s="443"/>
      <c r="DY398" s="443"/>
      <c r="DZ398" s="443"/>
      <c r="EA398" s="443"/>
      <c r="EB398" s="443"/>
      <c r="EC398" s="443"/>
      <c r="ED398" s="443"/>
      <c r="EE398" s="443"/>
      <c r="EF398" s="443"/>
      <c r="EG398" s="443"/>
      <c r="EH398" s="443"/>
      <c r="EI398" s="443"/>
      <c r="EJ398" s="443"/>
      <c r="EK398" s="443"/>
      <c r="EL398" s="443"/>
      <c r="EM398" s="443"/>
    </row>
    <row r="399" spans="1:143" s="257" customFormat="1" ht="12.75">
      <c r="A399" s="533" t="s">
        <v>388</v>
      </c>
      <c r="B399" s="271"/>
      <c r="C399" s="271">
        <f>C398-B398</f>
        <v>0</v>
      </c>
      <c r="D399" s="271">
        <f aca="true" t="shared" si="71" ref="D399:AG399">D398-C398</f>
        <v>0.062</v>
      </c>
      <c r="E399" s="271">
        <f t="shared" si="71"/>
        <v>0.008000000000000007</v>
      </c>
      <c r="F399" s="271">
        <f t="shared" si="71"/>
        <v>0.008000000000000007</v>
      </c>
      <c r="G399" s="271">
        <f t="shared" si="71"/>
        <v>0.007000000000000006</v>
      </c>
      <c r="H399" s="271">
        <f t="shared" si="71"/>
        <v>0.007000000000000006</v>
      </c>
      <c r="I399" s="271">
        <f t="shared" si="71"/>
        <v>0.007000000000000006</v>
      </c>
      <c r="J399" s="271">
        <f t="shared" si="71"/>
        <v>-0.0010000000000000009</v>
      </c>
      <c r="K399" s="271">
        <f t="shared" si="71"/>
        <v>0.007000000000000006</v>
      </c>
      <c r="L399" s="271">
        <f t="shared" si="71"/>
        <v>-0.02100000000000002</v>
      </c>
      <c r="M399" s="271">
        <f t="shared" si="71"/>
        <v>0.007000000000000006</v>
      </c>
      <c r="N399" s="271">
        <f t="shared" si="71"/>
        <v>0.007000000000000006</v>
      </c>
      <c r="O399" s="271">
        <f t="shared" si="71"/>
        <v>0.007000000000000006</v>
      </c>
      <c r="P399" s="271">
        <f t="shared" si="71"/>
        <v>0.009999999999999953</v>
      </c>
      <c r="Q399" s="271">
        <f t="shared" si="71"/>
        <v>0.009000000000000008</v>
      </c>
      <c r="R399" s="271">
        <f t="shared" si="71"/>
        <v>0.009000000000000008</v>
      </c>
      <c r="S399" s="271">
        <f t="shared" si="71"/>
        <v>0.010000000000000009</v>
      </c>
      <c r="T399" s="271">
        <f t="shared" si="71"/>
        <v>0.009000000000000008</v>
      </c>
      <c r="U399" s="271">
        <f t="shared" si="71"/>
        <v>0.009000000000000008</v>
      </c>
      <c r="V399" s="271">
        <f t="shared" si="71"/>
        <v>0.010999999999999954</v>
      </c>
      <c r="W399" s="271">
        <f t="shared" si="71"/>
        <v>0.010000000000000009</v>
      </c>
      <c r="X399" s="271">
        <f t="shared" si="71"/>
        <v>0.010000000000000009</v>
      </c>
      <c r="Y399" s="271">
        <f t="shared" si="71"/>
        <v>0.010000000000000009</v>
      </c>
      <c r="Z399" s="271">
        <f t="shared" si="71"/>
        <v>0.010000000000000009</v>
      </c>
      <c r="AA399" s="271">
        <f t="shared" si="71"/>
        <v>0.010000000000000009</v>
      </c>
      <c r="AB399" s="271">
        <f t="shared" si="71"/>
        <v>0.010000000000000009</v>
      </c>
      <c r="AC399" s="271">
        <f t="shared" si="71"/>
        <v>0.010000000000000009</v>
      </c>
      <c r="AD399" s="271">
        <f t="shared" si="71"/>
        <v>0.01100000000000001</v>
      </c>
      <c r="AE399" s="271">
        <f t="shared" si="71"/>
        <v>0.009999999999999898</v>
      </c>
      <c r="AF399" s="271">
        <f t="shared" si="71"/>
        <v>0.010000000000000009</v>
      </c>
      <c r="AG399" s="271">
        <f t="shared" si="71"/>
        <v>0.01200000000000001</v>
      </c>
      <c r="AH399" s="255"/>
      <c r="AI399" s="255"/>
      <c r="AJ399" s="443"/>
      <c r="AK399" s="443"/>
      <c r="AL399" s="443"/>
      <c r="AM399" s="443"/>
      <c r="AN399" s="443"/>
      <c r="AO399" s="443"/>
      <c r="AP399" s="443"/>
      <c r="AQ399" s="443"/>
      <c r="AR399" s="443"/>
      <c r="AS399" s="443"/>
      <c r="AT399" s="443"/>
      <c r="AU399" s="443"/>
      <c r="AV399" s="443"/>
      <c r="AW399" s="443"/>
      <c r="AX399" s="443"/>
      <c r="AY399" s="443"/>
      <c r="AZ399" s="443"/>
      <c r="BA399" s="443"/>
      <c r="BB399" s="443"/>
      <c r="BC399" s="443"/>
      <c r="BD399" s="443"/>
      <c r="BE399" s="443"/>
      <c r="BF399" s="443"/>
      <c r="BG399" s="443"/>
      <c r="BH399" s="443"/>
      <c r="BI399" s="443"/>
      <c r="BJ399" s="443"/>
      <c r="BK399" s="443"/>
      <c r="BL399" s="443"/>
      <c r="BM399" s="443"/>
      <c r="BN399" s="443"/>
      <c r="BO399" s="443"/>
      <c r="BP399" s="443"/>
      <c r="BQ399" s="443"/>
      <c r="BR399" s="443"/>
      <c r="BS399" s="443"/>
      <c r="BT399" s="443"/>
      <c r="BU399" s="443"/>
      <c r="BV399" s="443"/>
      <c r="BW399" s="443"/>
      <c r="BX399" s="443"/>
      <c r="BY399" s="443"/>
      <c r="BZ399" s="443"/>
      <c r="CA399" s="443"/>
      <c r="CB399" s="443"/>
      <c r="CC399" s="443"/>
      <c r="CD399" s="443"/>
      <c r="CE399" s="443"/>
      <c r="CF399" s="443"/>
      <c r="CG399" s="443"/>
      <c r="CH399" s="443"/>
      <c r="CI399" s="443"/>
      <c r="CJ399" s="443"/>
      <c r="CK399" s="443"/>
      <c r="CL399" s="443"/>
      <c r="CM399" s="443"/>
      <c r="CN399" s="443"/>
      <c r="CO399" s="443"/>
      <c r="CP399" s="443"/>
      <c r="CQ399" s="443"/>
      <c r="CR399" s="443"/>
      <c r="CS399" s="443"/>
      <c r="CT399" s="443"/>
      <c r="CU399" s="443"/>
      <c r="CV399" s="443"/>
      <c r="CW399" s="443"/>
      <c r="CX399" s="443"/>
      <c r="CY399" s="443"/>
      <c r="CZ399" s="443"/>
      <c r="DA399" s="443"/>
      <c r="DB399" s="443"/>
      <c r="DC399" s="443"/>
      <c r="DD399" s="443"/>
      <c r="DE399" s="443"/>
      <c r="DF399" s="443"/>
      <c r="DG399" s="443"/>
      <c r="DH399" s="443"/>
      <c r="DI399" s="443"/>
      <c r="DJ399" s="443"/>
      <c r="DK399" s="443"/>
      <c r="DL399" s="443"/>
      <c r="DM399" s="443"/>
      <c r="DN399" s="443"/>
      <c r="DO399" s="443"/>
      <c r="DP399" s="443"/>
      <c r="DQ399" s="443"/>
      <c r="DR399" s="443"/>
      <c r="DS399" s="443"/>
      <c r="DT399" s="443"/>
      <c r="DU399" s="443"/>
      <c r="DV399" s="443"/>
      <c r="DW399" s="443"/>
      <c r="DX399" s="443"/>
      <c r="DY399" s="443"/>
      <c r="DZ399" s="443"/>
      <c r="EA399" s="443"/>
      <c r="EB399" s="443"/>
      <c r="EC399" s="443"/>
      <c r="ED399" s="443"/>
      <c r="EE399" s="443"/>
      <c r="EF399" s="443"/>
      <c r="EG399" s="443"/>
      <c r="EH399" s="443"/>
      <c r="EI399" s="443"/>
      <c r="EJ399" s="443"/>
      <c r="EK399" s="443"/>
      <c r="EL399" s="443"/>
      <c r="EM399" s="443"/>
    </row>
    <row r="400" spans="1:143" s="257" customFormat="1" ht="25.5">
      <c r="A400" s="534" t="s">
        <v>389</v>
      </c>
      <c r="B400" s="271"/>
      <c r="C400" s="271">
        <f>C417-C398</f>
        <v>0.10382000000000002</v>
      </c>
      <c r="D400" s="271">
        <f aca="true" t="shared" si="72" ref="D400:AG400">D417-D398</f>
        <v>0.023519999999999985</v>
      </c>
      <c r="E400" s="271">
        <f t="shared" si="72"/>
        <v>0.14971999999999996</v>
      </c>
      <c r="F400" s="271">
        <f t="shared" si="72"/>
        <v>0.14415999999999995</v>
      </c>
      <c r="G400" s="271">
        <f t="shared" si="72"/>
        <v>0.14325999999999994</v>
      </c>
      <c r="H400" s="271">
        <f t="shared" si="72"/>
        <v>0.14479999999999993</v>
      </c>
      <c r="I400" s="271">
        <f t="shared" si="72"/>
        <v>0.14633999999999991</v>
      </c>
      <c r="J400" s="271">
        <f t="shared" si="72"/>
        <v>0.14855999999999991</v>
      </c>
      <c r="K400" s="271">
        <f t="shared" si="72"/>
        <v>0.1500999999999999</v>
      </c>
      <c r="L400" s="271">
        <f t="shared" si="72"/>
        <v>0.17475999999999992</v>
      </c>
      <c r="M400" s="271">
        <f t="shared" si="72"/>
        <v>0.1763</v>
      </c>
      <c r="N400" s="271">
        <f t="shared" si="72"/>
        <v>0.1778399999999999</v>
      </c>
      <c r="O400" s="271">
        <f t="shared" si="72"/>
        <v>0.17205999999999988</v>
      </c>
      <c r="P400" s="271">
        <f t="shared" si="72"/>
        <v>0.17059999999999992</v>
      </c>
      <c r="Q400" s="271">
        <f t="shared" si="72"/>
        <v>0.1701399999999999</v>
      </c>
      <c r="R400" s="271">
        <f t="shared" si="72"/>
        <v>0.1709</v>
      </c>
      <c r="S400" s="271">
        <f t="shared" si="72"/>
        <v>0.16943999999999998</v>
      </c>
      <c r="T400" s="271">
        <f t="shared" si="72"/>
        <v>0.17385999999999996</v>
      </c>
      <c r="U400" s="271">
        <f t="shared" si="72"/>
        <v>0.16851999999999995</v>
      </c>
      <c r="V400" s="271">
        <f t="shared" si="72"/>
        <v>0.16849999999999998</v>
      </c>
      <c r="W400" s="271">
        <f t="shared" si="72"/>
        <v>0.16337999999999997</v>
      </c>
      <c r="X400" s="271">
        <f t="shared" si="72"/>
        <v>0.15825999999999996</v>
      </c>
      <c r="Y400" s="271">
        <f t="shared" si="72"/>
        <v>0.15313999999999994</v>
      </c>
      <c r="Z400" s="271">
        <f t="shared" si="72"/>
        <v>0.14801999999999993</v>
      </c>
      <c r="AA400" s="271">
        <f t="shared" si="72"/>
        <v>0.1416799999999998</v>
      </c>
      <c r="AB400" s="271">
        <f t="shared" si="72"/>
        <v>0.13656000000000001</v>
      </c>
      <c r="AC400" s="271">
        <f t="shared" si="72"/>
        <v>0.13144</v>
      </c>
      <c r="AD400" s="271">
        <f t="shared" si="72"/>
        <v>0.12531999999999988</v>
      </c>
      <c r="AE400" s="271">
        <f t="shared" si="72"/>
        <v>0.12019999999999997</v>
      </c>
      <c r="AF400" s="271">
        <f t="shared" si="72"/>
        <v>0.11874000000000007</v>
      </c>
      <c r="AG400" s="271">
        <f t="shared" si="72"/>
        <v>0.11527999999999983</v>
      </c>
      <c r="AH400" s="255"/>
      <c r="AI400" s="255"/>
      <c r="AJ400" s="443"/>
      <c r="AK400" s="443"/>
      <c r="AL400" s="443"/>
      <c r="AM400" s="443"/>
      <c r="AN400" s="443"/>
      <c r="AO400" s="443"/>
      <c r="AP400" s="443"/>
      <c r="AQ400" s="443"/>
      <c r="AR400" s="443"/>
      <c r="AS400" s="443"/>
      <c r="AT400" s="443"/>
      <c r="AU400" s="443"/>
      <c r="AV400" s="443"/>
      <c r="AW400" s="443"/>
      <c r="AX400" s="443"/>
      <c r="AY400" s="443"/>
      <c r="AZ400" s="443"/>
      <c r="BA400" s="443"/>
      <c r="BB400" s="443"/>
      <c r="BC400" s="443"/>
      <c r="BD400" s="443"/>
      <c r="BE400" s="443"/>
      <c r="BF400" s="443"/>
      <c r="BG400" s="443"/>
      <c r="BH400" s="443"/>
      <c r="BI400" s="443"/>
      <c r="BJ400" s="443"/>
      <c r="BK400" s="443"/>
      <c r="BL400" s="443"/>
      <c r="BM400" s="443"/>
      <c r="BN400" s="443"/>
      <c r="BO400" s="443"/>
      <c r="BP400" s="443"/>
      <c r="BQ400" s="443"/>
      <c r="BR400" s="443"/>
      <c r="BS400" s="443"/>
      <c r="BT400" s="443"/>
      <c r="BU400" s="443"/>
      <c r="BV400" s="443"/>
      <c r="BW400" s="443"/>
      <c r="BX400" s="443"/>
      <c r="BY400" s="443"/>
      <c r="BZ400" s="443"/>
      <c r="CA400" s="443"/>
      <c r="CB400" s="443"/>
      <c r="CC400" s="443"/>
      <c r="CD400" s="443"/>
      <c r="CE400" s="443"/>
      <c r="CF400" s="443"/>
      <c r="CG400" s="443"/>
      <c r="CH400" s="443"/>
      <c r="CI400" s="443"/>
      <c r="CJ400" s="443"/>
      <c r="CK400" s="443"/>
      <c r="CL400" s="443"/>
      <c r="CM400" s="443"/>
      <c r="CN400" s="443"/>
      <c r="CO400" s="443"/>
      <c r="CP400" s="443"/>
      <c r="CQ400" s="443"/>
      <c r="CR400" s="443"/>
      <c r="CS400" s="443"/>
      <c r="CT400" s="443"/>
      <c r="CU400" s="443"/>
      <c r="CV400" s="443"/>
      <c r="CW400" s="443"/>
      <c r="CX400" s="443"/>
      <c r="CY400" s="443"/>
      <c r="CZ400" s="443"/>
      <c r="DA400" s="443"/>
      <c r="DB400" s="443"/>
      <c r="DC400" s="443"/>
      <c r="DD400" s="443"/>
      <c r="DE400" s="443"/>
      <c r="DF400" s="443"/>
      <c r="DG400" s="443"/>
      <c r="DH400" s="443"/>
      <c r="DI400" s="443"/>
      <c r="DJ400" s="443"/>
      <c r="DK400" s="443"/>
      <c r="DL400" s="443"/>
      <c r="DM400" s="443"/>
      <c r="DN400" s="443"/>
      <c r="DO400" s="443"/>
      <c r="DP400" s="443"/>
      <c r="DQ400" s="443"/>
      <c r="DR400" s="443"/>
      <c r="DS400" s="443"/>
      <c r="DT400" s="443"/>
      <c r="DU400" s="443"/>
      <c r="DV400" s="443"/>
      <c r="DW400" s="443"/>
      <c r="DX400" s="443"/>
      <c r="DY400" s="443"/>
      <c r="DZ400" s="443"/>
      <c r="EA400" s="443"/>
      <c r="EB400" s="443"/>
      <c r="EC400" s="443"/>
      <c r="ED400" s="443"/>
      <c r="EE400" s="443"/>
      <c r="EF400" s="443"/>
      <c r="EG400" s="443"/>
      <c r="EH400" s="443"/>
      <c r="EI400" s="443"/>
      <c r="EJ400" s="443"/>
      <c r="EK400" s="443"/>
      <c r="EL400" s="443"/>
      <c r="EM400" s="443"/>
    </row>
    <row r="401" spans="1:143" s="257" customFormat="1" ht="12.75">
      <c r="A401" s="533" t="s">
        <v>374</v>
      </c>
      <c r="B401" s="271">
        <f>B398</f>
        <v>0.3</v>
      </c>
      <c r="C401" s="271">
        <f aca="true" t="shared" si="73" ref="C401:AG401">C398</f>
        <v>0.3</v>
      </c>
      <c r="D401" s="271">
        <f t="shared" si="73"/>
        <v>0.362</v>
      </c>
      <c r="E401" s="271">
        <f t="shared" si="73"/>
        <v>0.37</v>
      </c>
      <c r="F401" s="271">
        <f t="shared" si="73"/>
        <v>0.378</v>
      </c>
      <c r="G401" s="271">
        <f t="shared" si="73"/>
        <v>0.385</v>
      </c>
      <c r="H401" s="271">
        <f t="shared" si="73"/>
        <v>0.392</v>
      </c>
      <c r="I401" s="271">
        <f t="shared" si="73"/>
        <v>0.399</v>
      </c>
      <c r="J401" s="271">
        <f t="shared" si="73"/>
        <v>0.398</v>
      </c>
      <c r="K401" s="271">
        <f t="shared" si="73"/>
        <v>0.405</v>
      </c>
      <c r="L401" s="271">
        <f t="shared" si="73"/>
        <v>0.384</v>
      </c>
      <c r="M401" s="271">
        <f t="shared" si="73"/>
        <v>0.391</v>
      </c>
      <c r="N401" s="271">
        <f t="shared" si="73"/>
        <v>0.398</v>
      </c>
      <c r="O401" s="271">
        <f t="shared" si="73"/>
        <v>0.405</v>
      </c>
      <c r="P401" s="271">
        <f t="shared" si="73"/>
        <v>0.415</v>
      </c>
      <c r="Q401" s="271">
        <f t="shared" si="73"/>
        <v>0.424</v>
      </c>
      <c r="R401" s="271">
        <f t="shared" si="73"/>
        <v>0.433</v>
      </c>
      <c r="S401" s="271">
        <f t="shared" si="73"/>
        <v>0.443</v>
      </c>
      <c r="T401" s="271">
        <f t="shared" si="73"/>
        <v>0.452</v>
      </c>
      <c r="U401" s="271">
        <f t="shared" si="73"/>
        <v>0.461</v>
      </c>
      <c r="V401" s="271">
        <f t="shared" si="73"/>
        <v>0.472</v>
      </c>
      <c r="W401" s="271">
        <f t="shared" si="73"/>
        <v>0.482</v>
      </c>
      <c r="X401" s="271">
        <f t="shared" si="73"/>
        <v>0.492</v>
      </c>
      <c r="Y401" s="271">
        <f t="shared" si="73"/>
        <v>0.502</v>
      </c>
      <c r="Z401" s="271">
        <f t="shared" si="73"/>
        <v>0.512</v>
      </c>
      <c r="AA401" s="271">
        <f t="shared" si="73"/>
        <v>0.522</v>
      </c>
      <c r="AB401" s="271">
        <f t="shared" si="73"/>
        <v>0.532</v>
      </c>
      <c r="AC401" s="271">
        <f t="shared" si="73"/>
        <v>0.542</v>
      </c>
      <c r="AD401" s="271">
        <f t="shared" si="73"/>
        <v>0.553</v>
      </c>
      <c r="AE401" s="271">
        <f t="shared" si="73"/>
        <v>0.563</v>
      </c>
      <c r="AF401" s="271">
        <f t="shared" si="73"/>
        <v>0.573</v>
      </c>
      <c r="AG401" s="271">
        <f t="shared" si="73"/>
        <v>0.585</v>
      </c>
      <c r="AH401" s="255"/>
      <c r="AI401" s="255"/>
      <c r="AJ401" s="443"/>
      <c r="AK401" s="443"/>
      <c r="AL401" s="443"/>
      <c r="AM401" s="443"/>
      <c r="AN401" s="443"/>
      <c r="AO401" s="443"/>
      <c r="AP401" s="443"/>
      <c r="AQ401" s="443"/>
      <c r="AR401" s="443"/>
      <c r="AS401" s="443"/>
      <c r="AT401" s="443"/>
      <c r="AU401" s="443"/>
      <c r="AV401" s="443"/>
      <c r="AW401" s="443"/>
      <c r="AX401" s="443"/>
      <c r="AY401" s="443"/>
      <c r="AZ401" s="443"/>
      <c r="BA401" s="443"/>
      <c r="BB401" s="443"/>
      <c r="BC401" s="443"/>
      <c r="BD401" s="443"/>
      <c r="BE401" s="443"/>
      <c r="BF401" s="443"/>
      <c r="BG401" s="443"/>
      <c r="BH401" s="443"/>
      <c r="BI401" s="443"/>
      <c r="BJ401" s="443"/>
      <c r="BK401" s="443"/>
      <c r="BL401" s="443"/>
      <c r="BM401" s="443"/>
      <c r="BN401" s="443"/>
      <c r="BO401" s="443"/>
      <c r="BP401" s="443"/>
      <c r="BQ401" s="443"/>
      <c r="BR401" s="443"/>
      <c r="BS401" s="443"/>
      <c r="BT401" s="443"/>
      <c r="BU401" s="443"/>
      <c r="BV401" s="443"/>
      <c r="BW401" s="443"/>
      <c r="BX401" s="443"/>
      <c r="BY401" s="443"/>
      <c r="BZ401" s="443"/>
      <c r="CA401" s="443"/>
      <c r="CB401" s="443"/>
      <c r="CC401" s="443"/>
      <c r="CD401" s="443"/>
      <c r="CE401" s="443"/>
      <c r="CF401" s="443"/>
      <c r="CG401" s="443"/>
      <c r="CH401" s="443"/>
      <c r="CI401" s="443"/>
      <c r="CJ401" s="443"/>
      <c r="CK401" s="443"/>
      <c r="CL401" s="443"/>
      <c r="CM401" s="443"/>
      <c r="CN401" s="443"/>
      <c r="CO401" s="443"/>
      <c r="CP401" s="443"/>
      <c r="CQ401" s="443"/>
      <c r="CR401" s="443"/>
      <c r="CS401" s="443"/>
      <c r="CT401" s="443"/>
      <c r="CU401" s="443"/>
      <c r="CV401" s="443"/>
      <c r="CW401" s="443"/>
      <c r="CX401" s="443"/>
      <c r="CY401" s="443"/>
      <c r="CZ401" s="443"/>
      <c r="DA401" s="443"/>
      <c r="DB401" s="443"/>
      <c r="DC401" s="443"/>
      <c r="DD401" s="443"/>
      <c r="DE401" s="443"/>
      <c r="DF401" s="443"/>
      <c r="DG401" s="443"/>
      <c r="DH401" s="443"/>
      <c r="DI401" s="443"/>
      <c r="DJ401" s="443"/>
      <c r="DK401" s="443"/>
      <c r="DL401" s="443"/>
      <c r="DM401" s="443"/>
      <c r="DN401" s="443"/>
      <c r="DO401" s="443"/>
      <c r="DP401" s="443"/>
      <c r="DQ401" s="443"/>
      <c r="DR401" s="443"/>
      <c r="DS401" s="443"/>
      <c r="DT401" s="443"/>
      <c r="DU401" s="443"/>
      <c r="DV401" s="443"/>
      <c r="DW401" s="443"/>
      <c r="DX401" s="443"/>
      <c r="DY401" s="443"/>
      <c r="DZ401" s="443"/>
      <c r="EA401" s="443"/>
      <c r="EB401" s="443"/>
      <c r="EC401" s="443"/>
      <c r="ED401" s="443"/>
      <c r="EE401" s="443"/>
      <c r="EF401" s="443"/>
      <c r="EG401" s="443"/>
      <c r="EH401" s="443"/>
      <c r="EI401" s="443"/>
      <c r="EJ401" s="443"/>
      <c r="EK401" s="443"/>
      <c r="EL401" s="443"/>
      <c r="EM401" s="443"/>
    </row>
    <row r="402" spans="1:143" s="257" customFormat="1" ht="12.75">
      <c r="A402" s="536" t="s">
        <v>375</v>
      </c>
      <c r="B402" s="271">
        <f>B396+B401</f>
        <v>0.5</v>
      </c>
      <c r="C402" s="271">
        <f aca="true" t="shared" si="74" ref="C402:AG402">C396+C401</f>
        <v>0.5</v>
      </c>
      <c r="D402" s="271">
        <f t="shared" si="74"/>
        <v>0.593</v>
      </c>
      <c r="E402" s="271">
        <f t="shared" si="74"/>
        <v>0.606</v>
      </c>
      <c r="F402" s="271">
        <f t="shared" si="74"/>
        <v>0.619</v>
      </c>
      <c r="G402" s="271">
        <f t="shared" si="74"/>
        <v>0.63</v>
      </c>
      <c r="H402" s="271">
        <f t="shared" si="74"/>
        <v>0.641</v>
      </c>
      <c r="I402" s="271">
        <f t="shared" si="74"/>
        <v>0.653</v>
      </c>
      <c r="J402" s="271">
        <f t="shared" si="74"/>
        <v>0.656</v>
      </c>
      <c r="K402" s="271">
        <f t="shared" si="74"/>
        <v>0.664</v>
      </c>
      <c r="L402" s="271">
        <f t="shared" si="74"/>
        <v>0.643</v>
      </c>
      <c r="M402" s="271">
        <f t="shared" si="74"/>
        <v>0.655</v>
      </c>
      <c r="N402" s="271">
        <f t="shared" si="74"/>
        <v>0.666</v>
      </c>
      <c r="O402" s="271">
        <f t="shared" si="74"/>
        <v>0.677</v>
      </c>
      <c r="P402" s="271">
        <f t="shared" si="74"/>
        <v>0.6930000000000001</v>
      </c>
      <c r="Q402" s="271">
        <f t="shared" si="74"/>
        <v>0.708</v>
      </c>
      <c r="R402" s="271">
        <f t="shared" si="74"/>
        <v>0.716</v>
      </c>
      <c r="S402" s="271">
        <f t="shared" si="74"/>
        <v>0.7170000000000001</v>
      </c>
      <c r="T402" s="271">
        <f t="shared" si="74"/>
        <v>0.732</v>
      </c>
      <c r="U402" s="271">
        <f t="shared" si="74"/>
        <v>0.746</v>
      </c>
      <c r="V402" s="271">
        <f t="shared" si="74"/>
        <v>0.764</v>
      </c>
      <c r="W402" s="271">
        <f t="shared" si="74"/>
        <v>0.78</v>
      </c>
      <c r="X402" s="271">
        <f t="shared" si="74"/>
        <v>0.796</v>
      </c>
      <c r="Y402" s="271">
        <f t="shared" si="74"/>
        <v>0.812</v>
      </c>
      <c r="Z402" s="271">
        <f t="shared" si="74"/>
        <v>0.829</v>
      </c>
      <c r="AA402" s="271">
        <f t="shared" si="74"/>
        <v>0.845</v>
      </c>
      <c r="AB402" s="271">
        <f t="shared" si="74"/>
        <v>0.861</v>
      </c>
      <c r="AC402" s="271">
        <f t="shared" si="74"/>
        <v>0.8780000000000001</v>
      </c>
      <c r="AD402" s="271">
        <f t="shared" si="74"/>
        <v>0.895</v>
      </c>
      <c r="AE402" s="271">
        <f t="shared" si="74"/>
        <v>0.9109999999999999</v>
      </c>
      <c r="AF402" s="271">
        <f t="shared" si="74"/>
        <v>0.9269999999999999</v>
      </c>
      <c r="AG402" s="271">
        <f t="shared" si="74"/>
        <v>0.947</v>
      </c>
      <c r="AH402" s="255"/>
      <c r="AI402" s="255"/>
      <c r="AJ402" s="443"/>
      <c r="AK402" s="443"/>
      <c r="AL402" s="443"/>
      <c r="AM402" s="443"/>
      <c r="AN402" s="443"/>
      <c r="AO402" s="443"/>
      <c r="AP402" s="443"/>
      <c r="AQ402" s="443"/>
      <c r="AR402" s="443"/>
      <c r="AS402" s="443"/>
      <c r="AT402" s="443"/>
      <c r="AU402" s="443"/>
      <c r="AV402" s="443"/>
      <c r="AW402" s="443"/>
      <c r="AX402" s="443"/>
      <c r="AY402" s="443"/>
      <c r="AZ402" s="443"/>
      <c r="BA402" s="443"/>
      <c r="BB402" s="443"/>
      <c r="BC402" s="443"/>
      <c r="BD402" s="443"/>
      <c r="BE402" s="443"/>
      <c r="BF402" s="443"/>
      <c r="BG402" s="443"/>
      <c r="BH402" s="443"/>
      <c r="BI402" s="443"/>
      <c r="BJ402" s="443"/>
      <c r="BK402" s="443"/>
      <c r="BL402" s="443"/>
      <c r="BM402" s="443"/>
      <c r="BN402" s="443"/>
      <c r="BO402" s="443"/>
      <c r="BP402" s="443"/>
      <c r="BQ402" s="443"/>
      <c r="BR402" s="443"/>
      <c r="BS402" s="443"/>
      <c r="BT402" s="443"/>
      <c r="BU402" s="443"/>
      <c r="BV402" s="443"/>
      <c r="BW402" s="443"/>
      <c r="BX402" s="443"/>
      <c r="BY402" s="443"/>
      <c r="BZ402" s="443"/>
      <c r="CA402" s="443"/>
      <c r="CB402" s="443"/>
      <c r="CC402" s="443"/>
      <c r="CD402" s="443"/>
      <c r="CE402" s="443"/>
      <c r="CF402" s="443"/>
      <c r="CG402" s="443"/>
      <c r="CH402" s="443"/>
      <c r="CI402" s="443"/>
      <c r="CJ402" s="443"/>
      <c r="CK402" s="443"/>
      <c r="CL402" s="443"/>
      <c r="CM402" s="443"/>
      <c r="CN402" s="443"/>
      <c r="CO402" s="443"/>
      <c r="CP402" s="443"/>
      <c r="CQ402" s="443"/>
      <c r="CR402" s="443"/>
      <c r="CS402" s="443"/>
      <c r="CT402" s="443"/>
      <c r="CU402" s="443"/>
      <c r="CV402" s="443"/>
      <c r="CW402" s="443"/>
      <c r="CX402" s="443"/>
      <c r="CY402" s="443"/>
      <c r="CZ402" s="443"/>
      <c r="DA402" s="443"/>
      <c r="DB402" s="443"/>
      <c r="DC402" s="443"/>
      <c r="DD402" s="443"/>
      <c r="DE402" s="443"/>
      <c r="DF402" s="443"/>
      <c r="DG402" s="443"/>
      <c r="DH402" s="443"/>
      <c r="DI402" s="443"/>
      <c r="DJ402" s="443"/>
      <c r="DK402" s="443"/>
      <c r="DL402" s="443"/>
      <c r="DM402" s="443"/>
      <c r="DN402" s="443"/>
      <c r="DO402" s="443"/>
      <c r="DP402" s="443"/>
      <c r="DQ402" s="443"/>
      <c r="DR402" s="443"/>
      <c r="DS402" s="443"/>
      <c r="DT402" s="443"/>
      <c r="DU402" s="443"/>
      <c r="DV402" s="443"/>
      <c r="DW402" s="443"/>
      <c r="DX402" s="443"/>
      <c r="DY402" s="443"/>
      <c r="DZ402" s="443"/>
      <c r="EA402" s="443"/>
      <c r="EB402" s="443"/>
      <c r="EC402" s="443"/>
      <c r="ED402" s="443"/>
      <c r="EE402" s="443"/>
      <c r="EF402" s="443"/>
      <c r="EG402" s="443"/>
      <c r="EH402" s="443"/>
      <c r="EI402" s="443"/>
      <c r="EJ402" s="443"/>
      <c r="EK402" s="443"/>
      <c r="EL402" s="443"/>
      <c r="EM402" s="443"/>
    </row>
    <row r="403" spans="1:33" s="258" customFormat="1" ht="12.75">
      <c r="A403" s="143" t="s">
        <v>359</v>
      </c>
      <c r="B403" s="260">
        <f>B375</f>
        <v>2011</v>
      </c>
      <c r="C403" s="260">
        <f aca="true" t="shared" si="75" ref="C403:AG403">C375</f>
        <v>2012</v>
      </c>
      <c r="D403" s="260">
        <f t="shared" si="75"/>
        <v>2013</v>
      </c>
      <c r="E403" s="260">
        <f t="shared" si="75"/>
        <v>2014</v>
      </c>
      <c r="F403" s="260">
        <f t="shared" si="75"/>
        <v>2015</v>
      </c>
      <c r="G403" s="260">
        <f t="shared" si="75"/>
        <v>2016</v>
      </c>
      <c r="H403" s="260">
        <f t="shared" si="75"/>
        <v>2017</v>
      </c>
      <c r="I403" s="260">
        <f t="shared" si="75"/>
        <v>2018</v>
      </c>
      <c r="J403" s="260">
        <f t="shared" si="75"/>
        <v>2019</v>
      </c>
      <c r="K403" s="260">
        <f t="shared" si="75"/>
        <v>2020</v>
      </c>
      <c r="L403" s="260">
        <f t="shared" si="75"/>
        <v>2021</v>
      </c>
      <c r="M403" s="260">
        <f t="shared" si="75"/>
        <v>2022</v>
      </c>
      <c r="N403" s="260">
        <f t="shared" si="75"/>
        <v>2023</v>
      </c>
      <c r="O403" s="260">
        <f t="shared" si="75"/>
        <v>2024</v>
      </c>
      <c r="P403" s="260">
        <f t="shared" si="75"/>
        <v>2025</v>
      </c>
      <c r="Q403" s="260">
        <f t="shared" si="75"/>
        <v>2026</v>
      </c>
      <c r="R403" s="260">
        <f t="shared" si="75"/>
        <v>2027</v>
      </c>
      <c r="S403" s="260">
        <f t="shared" si="75"/>
        <v>2028</v>
      </c>
      <c r="T403" s="260">
        <f t="shared" si="75"/>
        <v>2029</v>
      </c>
      <c r="U403" s="260">
        <f t="shared" si="75"/>
        <v>2030</v>
      </c>
      <c r="V403" s="260">
        <f t="shared" si="75"/>
        <v>2031</v>
      </c>
      <c r="W403" s="260">
        <f t="shared" si="75"/>
        <v>2032</v>
      </c>
      <c r="X403" s="260">
        <f t="shared" si="75"/>
        <v>2033</v>
      </c>
      <c r="Y403" s="260">
        <f t="shared" si="75"/>
        <v>2034</v>
      </c>
      <c r="Z403" s="260">
        <f t="shared" si="75"/>
        <v>2035</v>
      </c>
      <c r="AA403" s="260">
        <f t="shared" si="75"/>
        <v>2036</v>
      </c>
      <c r="AB403" s="260">
        <f t="shared" si="75"/>
        <v>2037</v>
      </c>
      <c r="AC403" s="260">
        <f t="shared" si="75"/>
        <v>2038</v>
      </c>
      <c r="AD403" s="260">
        <f t="shared" si="75"/>
        <v>2039</v>
      </c>
      <c r="AE403" s="260">
        <f t="shared" si="75"/>
        <v>2040</v>
      </c>
      <c r="AF403" s="260">
        <f t="shared" si="75"/>
        <v>2041</v>
      </c>
      <c r="AG403" s="260">
        <f t="shared" si="75"/>
        <v>2042</v>
      </c>
    </row>
    <row r="404" spans="1:143" s="78" customFormat="1" ht="12.75">
      <c r="A404" s="127" t="s">
        <v>360</v>
      </c>
      <c r="B404" s="144">
        <f>'Datu ievade'!$C$40</f>
        <v>232.75</v>
      </c>
      <c r="C404" s="144">
        <f>$B$404*HLOOKUP(C$375,'Datu ievade'!$B$421:$AG$428,4)</f>
        <v>237.405</v>
      </c>
      <c r="D404" s="144">
        <f>$B$404*HLOOKUP(D$375,'Datu ievade'!$B$421:$AG$428,4)</f>
        <v>242.06</v>
      </c>
      <c r="E404" s="144">
        <f>$B$404*HLOOKUP(E$375,'Datu ievade'!$B$421:$AG$428,4)</f>
        <v>246.715</v>
      </c>
      <c r="F404" s="144">
        <f>$B$404*HLOOKUP(F$375,'Datu ievade'!$B$421:$AG$428,4)</f>
        <v>251.37</v>
      </c>
      <c r="G404" s="144">
        <f>$B$404*HLOOKUP(G$375,'Datu ievade'!$B$421:$AG$428,4)</f>
        <v>256.02500000000003</v>
      </c>
      <c r="H404" s="144">
        <f>$B$404*HLOOKUP(H$375,'Datu ievade'!$B$421:$AG$428,4)</f>
        <v>260.68</v>
      </c>
      <c r="I404" s="144">
        <f>$B$404*HLOOKUP(I$375,'Datu ievade'!$B$421:$AG$428,4)</f>
        <v>265.335</v>
      </c>
      <c r="J404" s="144">
        <f>$B$404*HLOOKUP(J$375,'Datu ievade'!$B$421:$AG$428,4)</f>
        <v>269.99</v>
      </c>
      <c r="K404" s="144">
        <f>$B$404*HLOOKUP(K$375,'Datu ievade'!$B$421:$AG$428,4)</f>
        <v>274.645</v>
      </c>
      <c r="L404" s="144">
        <f>$B$404*HLOOKUP(L$375,'Datu ievade'!$B$421:$AG$428,4)</f>
        <v>279.3</v>
      </c>
      <c r="M404" s="144">
        <f>$B$404*HLOOKUP(M$375,'Datu ievade'!$B$421:$AG$428,4)</f>
        <v>283.955</v>
      </c>
      <c r="N404" s="144">
        <f>$B$404*HLOOKUP(N$375,'Datu ievade'!$B$421:$AG$428,4)</f>
        <v>288.61</v>
      </c>
      <c r="O404" s="144">
        <f>$B$404*HLOOKUP(O$375,'Datu ievade'!$B$421:$AG$428,4)</f>
        <v>293.265</v>
      </c>
      <c r="P404" s="144">
        <f>$B$404*HLOOKUP(P$375,'Datu ievade'!$B$421:$AG$428,4)</f>
        <v>300.2475</v>
      </c>
      <c r="Q404" s="144">
        <f>$B$404*HLOOKUP(Q$375,'Datu ievade'!$B$421:$AG$428,4)</f>
        <v>307.23</v>
      </c>
      <c r="R404" s="144">
        <f>$B$404*HLOOKUP(R$375,'Datu ievade'!$B$421:$AG$428,4)</f>
        <v>314.21250000000003</v>
      </c>
      <c r="S404" s="144">
        <f>$B$404*HLOOKUP(S$375,'Datu ievade'!$B$421:$AG$428,4)</f>
        <v>321.195</v>
      </c>
      <c r="T404" s="144">
        <f>$B$404*HLOOKUP(T$375,'Datu ievade'!$B$421:$AG$428,4)</f>
        <v>328.1775</v>
      </c>
      <c r="U404" s="144">
        <f>$B$404*HLOOKUP(U$375,'Datu ievade'!$B$421:$AG$428,4)</f>
        <v>335.15999999999997</v>
      </c>
      <c r="V404" s="144">
        <f>$B$404*HLOOKUP(V$375,'Datu ievade'!$B$421:$AG$428,4)</f>
        <v>342.1425</v>
      </c>
      <c r="W404" s="144">
        <f>$B$404*HLOOKUP(W$375,'Datu ievade'!$B$421:$AG$428,4)</f>
        <v>349.125</v>
      </c>
      <c r="X404" s="144">
        <f>$B$404*HLOOKUP(X$375,'Datu ievade'!$B$421:$AG$428,4)</f>
        <v>356.1075</v>
      </c>
      <c r="Y404" s="144">
        <f>$B$404*HLOOKUP(Y$375,'Datu ievade'!$B$421:$AG$428,4)</f>
        <v>363.09000000000003</v>
      </c>
      <c r="Z404" s="144">
        <f>$B$404*HLOOKUP(Z$375,'Datu ievade'!$B$421:$AG$428,4)</f>
        <v>370.0725</v>
      </c>
      <c r="AA404" s="144">
        <f>$B$404*HLOOKUP(AA$375,'Datu ievade'!$B$421:$AG$428,4)</f>
        <v>377.055</v>
      </c>
      <c r="AB404" s="144">
        <f>$B$404*HLOOKUP(AB$375,'Datu ievade'!$B$421:$AG$428,4)</f>
        <v>384.03749999999997</v>
      </c>
      <c r="AC404" s="144">
        <f>$B$404*HLOOKUP(AC$375,'Datu ievade'!$B$421:$AG$428,4)</f>
        <v>391.02</v>
      </c>
      <c r="AD404" s="144">
        <f>$B$404*HLOOKUP(AD$375,'Datu ievade'!$B$421:$AG$428,4)</f>
        <v>398.0025</v>
      </c>
      <c r="AE404" s="144">
        <f>$B$404*HLOOKUP(AE$375,'Datu ievade'!$B$421:$AG$428,4)</f>
        <v>404.985</v>
      </c>
      <c r="AF404" s="144">
        <f>$B$404*HLOOKUP(AF$375,'Datu ievade'!$B$421:$AG$428,4)</f>
        <v>411.96750000000003</v>
      </c>
      <c r="AG404" s="144">
        <f>$B$404*HLOOKUP(AG$375,'Datu ievade'!$B$421:$AG$428,4)</f>
        <v>421.27750000000003</v>
      </c>
      <c r="AH404" s="258"/>
      <c r="AI404" s="258"/>
      <c r="AJ404" s="258"/>
      <c r="AK404" s="258"/>
      <c r="AL404" s="258"/>
      <c r="AM404" s="258"/>
      <c r="AN404" s="258"/>
      <c r="AO404" s="258"/>
      <c r="AP404" s="258"/>
      <c r="AQ404" s="258"/>
      <c r="AR404" s="258"/>
      <c r="AS404" s="258"/>
      <c r="AT404" s="258"/>
      <c r="AU404" s="258"/>
      <c r="AV404" s="258"/>
      <c r="AW404" s="258"/>
      <c r="AX404" s="258"/>
      <c r="AY404" s="258"/>
      <c r="AZ404" s="258"/>
      <c r="BA404" s="258"/>
      <c r="BB404" s="258"/>
      <c r="BC404" s="258"/>
      <c r="BD404" s="258"/>
      <c r="BE404" s="258"/>
      <c r="BF404" s="258"/>
      <c r="BG404" s="258"/>
      <c r="BH404" s="258"/>
      <c r="BI404" s="258"/>
      <c r="BJ404" s="258"/>
      <c r="BK404" s="258"/>
      <c r="BL404" s="258"/>
      <c r="BM404" s="258"/>
      <c r="BN404" s="258"/>
      <c r="BO404" s="258"/>
      <c r="BP404" s="258"/>
      <c r="BQ404" s="258"/>
      <c r="BR404" s="258"/>
      <c r="BS404" s="258"/>
      <c r="BT404" s="258"/>
      <c r="BU404" s="258"/>
      <c r="BV404" s="258"/>
      <c r="BW404" s="258"/>
      <c r="BX404" s="258"/>
      <c r="BY404" s="258"/>
      <c r="BZ404" s="258"/>
      <c r="CA404" s="258"/>
      <c r="CB404" s="258"/>
      <c r="CC404" s="258"/>
      <c r="CD404" s="258"/>
      <c r="CE404" s="258"/>
      <c r="CF404" s="258"/>
      <c r="CG404" s="258"/>
      <c r="CH404" s="258"/>
      <c r="CI404" s="258"/>
      <c r="CJ404" s="258"/>
      <c r="CK404" s="258"/>
      <c r="CL404" s="258"/>
      <c r="CM404" s="258"/>
      <c r="CN404" s="258"/>
      <c r="CO404" s="258"/>
      <c r="CP404" s="258"/>
      <c r="CQ404" s="258"/>
      <c r="CR404" s="258"/>
      <c r="CS404" s="258"/>
      <c r="CT404" s="258"/>
      <c r="CU404" s="258"/>
      <c r="CV404" s="258"/>
      <c r="CW404" s="258"/>
      <c r="CX404" s="258"/>
      <c r="CY404" s="258"/>
      <c r="CZ404" s="258"/>
      <c r="DA404" s="258"/>
      <c r="DB404" s="258"/>
      <c r="DC404" s="258"/>
      <c r="DD404" s="258"/>
      <c r="DE404" s="258"/>
      <c r="DF404" s="258"/>
      <c r="DG404" s="258"/>
      <c r="DH404" s="258"/>
      <c r="DI404" s="258"/>
      <c r="DJ404" s="258"/>
      <c r="DK404" s="258"/>
      <c r="DL404" s="258"/>
      <c r="DM404" s="258"/>
      <c r="DN404" s="258"/>
      <c r="DO404" s="258"/>
      <c r="DP404" s="258"/>
      <c r="DQ404" s="258"/>
      <c r="DR404" s="258"/>
      <c r="DS404" s="258"/>
      <c r="DT404" s="258"/>
      <c r="DU404" s="258"/>
      <c r="DV404" s="258"/>
      <c r="DW404" s="258"/>
      <c r="DX404" s="258"/>
      <c r="DY404" s="258"/>
      <c r="DZ404" s="258"/>
      <c r="EA404" s="258"/>
      <c r="EB404" s="258"/>
      <c r="EC404" s="258"/>
      <c r="ED404" s="258"/>
      <c r="EE404" s="258"/>
      <c r="EF404" s="258"/>
      <c r="EG404" s="258"/>
      <c r="EH404" s="258"/>
      <c r="EI404" s="258"/>
      <c r="EJ404" s="258"/>
      <c r="EK404" s="258"/>
      <c r="EL404" s="258"/>
      <c r="EM404" s="258"/>
    </row>
    <row r="405" spans="1:33" s="258" customFormat="1" ht="12.75">
      <c r="A405" s="141" t="s">
        <v>361</v>
      </c>
      <c r="B405" s="269">
        <f>E240*$B$36*30/1000</f>
        <v>8.25</v>
      </c>
      <c r="C405" s="269">
        <f aca="true" t="shared" si="76" ref="C405:AG405">F240*$B$36*30/1000</f>
        <v>8.25</v>
      </c>
      <c r="D405" s="269">
        <f t="shared" si="76"/>
        <v>7.5</v>
      </c>
      <c r="E405" s="269">
        <f t="shared" si="76"/>
        <v>7.5</v>
      </c>
      <c r="F405" s="269">
        <f t="shared" si="76"/>
        <v>7.5</v>
      </c>
      <c r="G405" s="269">
        <f t="shared" si="76"/>
        <v>7.5</v>
      </c>
      <c r="H405" s="269">
        <f t="shared" si="76"/>
        <v>7.5</v>
      </c>
      <c r="I405" s="269">
        <f t="shared" si="76"/>
        <v>7.5</v>
      </c>
      <c r="J405" s="269">
        <f t="shared" si="76"/>
        <v>7.5</v>
      </c>
      <c r="K405" s="269">
        <f t="shared" si="76"/>
        <v>7.5</v>
      </c>
      <c r="L405" s="269">
        <f t="shared" si="76"/>
        <v>7.5</v>
      </c>
      <c r="M405" s="269">
        <f t="shared" si="76"/>
        <v>7.5</v>
      </c>
      <c r="N405" s="269">
        <f t="shared" si="76"/>
        <v>7.5</v>
      </c>
      <c r="O405" s="269">
        <f t="shared" si="76"/>
        <v>7.5</v>
      </c>
      <c r="P405" s="269">
        <f t="shared" si="76"/>
        <v>7.5</v>
      </c>
      <c r="Q405" s="269">
        <f t="shared" si="76"/>
        <v>7.5</v>
      </c>
      <c r="R405" s="269">
        <f t="shared" si="76"/>
        <v>7.5</v>
      </c>
      <c r="S405" s="269">
        <f t="shared" si="76"/>
        <v>7.5</v>
      </c>
      <c r="T405" s="269">
        <f t="shared" si="76"/>
        <v>7.5</v>
      </c>
      <c r="U405" s="269">
        <f t="shared" si="76"/>
        <v>7.5</v>
      </c>
      <c r="V405" s="269">
        <f t="shared" si="76"/>
        <v>7.5</v>
      </c>
      <c r="W405" s="269">
        <f t="shared" si="76"/>
        <v>7.5</v>
      </c>
      <c r="X405" s="269">
        <f t="shared" si="76"/>
        <v>7.5</v>
      </c>
      <c r="Y405" s="269">
        <f t="shared" si="76"/>
        <v>7.5</v>
      </c>
      <c r="Z405" s="269">
        <f t="shared" si="76"/>
        <v>7.5</v>
      </c>
      <c r="AA405" s="269">
        <f t="shared" si="76"/>
        <v>7.5</v>
      </c>
      <c r="AB405" s="269">
        <f t="shared" si="76"/>
        <v>7.5</v>
      </c>
      <c r="AC405" s="269">
        <f t="shared" si="76"/>
        <v>7.5</v>
      </c>
      <c r="AD405" s="269">
        <f t="shared" si="76"/>
        <v>7.5</v>
      </c>
      <c r="AE405" s="269">
        <f t="shared" si="76"/>
        <v>7.5</v>
      </c>
      <c r="AF405" s="269">
        <f t="shared" si="76"/>
        <v>7.5</v>
      </c>
      <c r="AG405" s="269">
        <f t="shared" si="76"/>
        <v>7.5</v>
      </c>
    </row>
    <row r="406" spans="1:33" s="78" customFormat="1" ht="25.5">
      <c r="A406" s="139" t="s">
        <v>362</v>
      </c>
      <c r="B406" s="144">
        <f>B376*B405*(1+'Datu ievade'!C429)</f>
        <v>2.013</v>
      </c>
      <c r="C406" s="144">
        <f>C377*C405*(1+'Datu ievade'!D429)</f>
        <v>2.123715</v>
      </c>
      <c r="D406" s="144">
        <f>D377*D405*(1+'Datu ievade'!E429)</f>
        <v>1.83915</v>
      </c>
      <c r="E406" s="144">
        <f>E377*E405*(1+'Datu ievade'!F429)</f>
        <v>2.8182</v>
      </c>
      <c r="F406" s="144">
        <f>F377*F405*(1+'Datu ievade'!G429)</f>
        <v>2.86395</v>
      </c>
      <c r="G406" s="144">
        <f>G377*G405*(1+'Datu ievade'!H429)</f>
        <v>2.8731</v>
      </c>
      <c r="H406" s="144">
        <f>H377*H405*(1+'Datu ievade'!I429)</f>
        <v>2.8914</v>
      </c>
      <c r="I406" s="144">
        <f>I377*I405*(1+'Datu ievade'!J429)</f>
        <v>2.9371500000000004</v>
      </c>
      <c r="J406" s="144">
        <f>J377*J405*(1+'Datu ievade'!K429)</f>
        <v>2.9829000000000003</v>
      </c>
      <c r="K406" s="144">
        <f>K377*K405*(1+'Datu ievade'!L429)</f>
        <v>3.0012</v>
      </c>
      <c r="L406" s="144">
        <f>L377*L405*(1+'Datu ievade'!M429)</f>
        <v>3.0744</v>
      </c>
      <c r="M406" s="144">
        <f>M377*M405*(1+'Datu ievade'!N429)</f>
        <v>3.111</v>
      </c>
      <c r="N406" s="144">
        <f>N377*N405*(1+'Datu ievade'!O429)</f>
        <v>3.1567499999999997</v>
      </c>
      <c r="O406" s="144">
        <f>O377*O405*(1+'Datu ievade'!P429)</f>
        <v>3.17505</v>
      </c>
      <c r="P406" s="144">
        <f>P377*P405*(1+'Datu ievade'!Q429)</f>
        <v>3.2025</v>
      </c>
      <c r="Q406" s="144">
        <f>Q377*Q405*(1+'Datu ievade'!R429)</f>
        <v>3.2482499999999996</v>
      </c>
      <c r="R406" s="144">
        <f>R377*R405*(1+'Datu ievade'!S429)</f>
        <v>3.2939999999999996</v>
      </c>
      <c r="S406" s="144">
        <f>S377*S405*(1+'Datu ievade'!T429)</f>
        <v>3.3946499999999995</v>
      </c>
      <c r="T406" s="144">
        <f>T377*T405*(1+'Datu ievade'!U429)</f>
        <v>3.4404</v>
      </c>
      <c r="U406" s="144">
        <f>U377*U405*(1+'Datu ievade'!V429)</f>
        <v>3.4587</v>
      </c>
      <c r="V406" s="144">
        <f>V377*V405*(1+'Datu ievade'!W429)</f>
        <v>3.48615</v>
      </c>
      <c r="W406" s="144">
        <f>W377*W405*(1+'Datu ievade'!X429)</f>
        <v>3.50445</v>
      </c>
      <c r="X406" s="144">
        <f>X377*X405*(1+'Datu ievade'!Y429)</f>
        <v>3.5227500000000003</v>
      </c>
      <c r="Y406" s="144">
        <f>Y377*Y405*(1+'Datu ievade'!Z429)</f>
        <v>3.5502000000000002</v>
      </c>
      <c r="Z406" s="144">
        <f>Z377*Z405*(1+'Datu ievade'!AA429)</f>
        <v>3.5685000000000002</v>
      </c>
      <c r="AA406" s="144">
        <f>AA377*AA405*(1+'Datu ievade'!AB429)</f>
        <v>3.59595</v>
      </c>
      <c r="AB406" s="144">
        <f>AB377*AB405*(1+'Datu ievade'!AC429)</f>
        <v>3.65085</v>
      </c>
      <c r="AC406" s="144">
        <f>AC377*AC405*(1+'Datu ievade'!AD429)</f>
        <v>3.6783</v>
      </c>
      <c r="AD406" s="144">
        <f>AD377*AD405*(1+'Datu ievade'!AE429)</f>
        <v>3.66</v>
      </c>
      <c r="AE406" s="144">
        <f>AE377*AE405*(1+'Datu ievade'!AF429)</f>
        <v>3.7240499999999996</v>
      </c>
      <c r="AF406" s="144">
        <f>AF377*AF405*(1+'Datu ievade'!AG429)</f>
        <v>3.7881</v>
      </c>
      <c r="AG406" s="144">
        <f>AG377*AG405*(1+'Datu ievade'!AH429)</f>
        <v>3.8246999999999995</v>
      </c>
    </row>
    <row r="407" spans="1:33" s="78" customFormat="1" ht="25.5">
      <c r="A407" s="141" t="s">
        <v>363</v>
      </c>
      <c r="B407" s="145">
        <f>E274*$B$36*30/1000</f>
        <v>8.25</v>
      </c>
      <c r="C407" s="145">
        <f aca="true" t="shared" si="77" ref="C407:AG407">F274*$B$36*30/1000</f>
        <v>8.25</v>
      </c>
      <c r="D407" s="145">
        <f t="shared" si="77"/>
        <v>7.5</v>
      </c>
      <c r="E407" s="145">
        <f t="shared" si="77"/>
        <v>7.5</v>
      </c>
      <c r="F407" s="145">
        <f t="shared" si="77"/>
        <v>7.5</v>
      </c>
      <c r="G407" s="145">
        <f t="shared" si="77"/>
        <v>7.5</v>
      </c>
      <c r="H407" s="145">
        <f t="shared" si="77"/>
        <v>7.5</v>
      </c>
      <c r="I407" s="145">
        <f t="shared" si="77"/>
        <v>7.5</v>
      </c>
      <c r="J407" s="145">
        <f t="shared" si="77"/>
        <v>7.5</v>
      </c>
      <c r="K407" s="145">
        <f t="shared" si="77"/>
        <v>7.5</v>
      </c>
      <c r="L407" s="145">
        <f t="shared" si="77"/>
        <v>7.5</v>
      </c>
      <c r="M407" s="145">
        <f t="shared" si="77"/>
        <v>7.5</v>
      </c>
      <c r="N407" s="145">
        <f t="shared" si="77"/>
        <v>7.5</v>
      </c>
      <c r="O407" s="145">
        <f t="shared" si="77"/>
        <v>7.5</v>
      </c>
      <c r="P407" s="145">
        <f t="shared" si="77"/>
        <v>7.5</v>
      </c>
      <c r="Q407" s="145">
        <f t="shared" si="77"/>
        <v>7.5</v>
      </c>
      <c r="R407" s="145">
        <f t="shared" si="77"/>
        <v>7.5</v>
      </c>
      <c r="S407" s="145">
        <f t="shared" si="77"/>
        <v>7.5</v>
      </c>
      <c r="T407" s="145">
        <f t="shared" si="77"/>
        <v>7.5</v>
      </c>
      <c r="U407" s="145">
        <f t="shared" si="77"/>
        <v>7.5</v>
      </c>
      <c r="V407" s="145">
        <f t="shared" si="77"/>
        <v>7.5</v>
      </c>
      <c r="W407" s="145">
        <f t="shared" si="77"/>
        <v>7.5</v>
      </c>
      <c r="X407" s="145">
        <f t="shared" si="77"/>
        <v>7.5</v>
      </c>
      <c r="Y407" s="145">
        <f t="shared" si="77"/>
        <v>7.5</v>
      </c>
      <c r="Z407" s="145">
        <f t="shared" si="77"/>
        <v>7.5</v>
      </c>
      <c r="AA407" s="145">
        <f t="shared" si="77"/>
        <v>7.5</v>
      </c>
      <c r="AB407" s="145">
        <f t="shared" si="77"/>
        <v>7.5</v>
      </c>
      <c r="AC407" s="145">
        <f t="shared" si="77"/>
        <v>7.5</v>
      </c>
      <c r="AD407" s="145">
        <f t="shared" si="77"/>
        <v>7.5</v>
      </c>
      <c r="AE407" s="145">
        <f t="shared" si="77"/>
        <v>7.5</v>
      </c>
      <c r="AF407" s="145">
        <f t="shared" si="77"/>
        <v>7.5</v>
      </c>
      <c r="AG407" s="145">
        <f t="shared" si="77"/>
        <v>7.5</v>
      </c>
    </row>
    <row r="408" spans="1:33" s="78" customFormat="1" ht="25.5">
      <c r="A408" s="139" t="s">
        <v>364</v>
      </c>
      <c r="B408" s="144">
        <f>B383*B407*(1+'Datu ievade'!C429)</f>
        <v>3.0195</v>
      </c>
      <c r="C408" s="144">
        <f>C387*C407*(1+'Datu ievade'!D429)</f>
        <v>3.331515</v>
      </c>
      <c r="D408" s="144">
        <f>D387*D407*(1+'Datu ievade'!E429)</f>
        <v>2.8914</v>
      </c>
      <c r="E408" s="144">
        <f>E387*E407*(1+'Datu ievade'!F429)</f>
        <v>3.8979</v>
      </c>
      <c r="F408" s="144">
        <f>F387*F407*(1+'Datu ievade'!G429)</f>
        <v>3.9162</v>
      </c>
      <c r="G408" s="144">
        <f>G387*G407*(1+'Datu ievade'!H429)</f>
        <v>3.96195</v>
      </c>
      <c r="H408" s="144">
        <f>H387*H407*(1+'Datu ievade'!I429)</f>
        <v>4.026</v>
      </c>
      <c r="I408" s="144">
        <f>I387*I407*(1+'Datu ievade'!J429)</f>
        <v>4.09005</v>
      </c>
      <c r="J408" s="144">
        <f>J387*J407*(1+'Datu ievade'!K429)</f>
        <v>4.0992</v>
      </c>
      <c r="K408" s="144">
        <f>K387*K407*(1+'Datu ievade'!L429)</f>
        <v>4.16325</v>
      </c>
      <c r="L408" s="144">
        <f>L387*L407*(1+'Datu ievade'!M429)</f>
        <v>4.1907</v>
      </c>
      <c r="M408" s="144">
        <f>M387*M407*(1+'Datu ievade'!N429)</f>
        <v>4.2547500000000005</v>
      </c>
      <c r="N408" s="144">
        <f>N387*N407*(1+'Datu ievade'!O429)</f>
        <v>4.3187999999999995</v>
      </c>
      <c r="O408" s="144">
        <f>O387*O407*(1+'Datu ievade'!P429)</f>
        <v>4.3279499999999995</v>
      </c>
      <c r="P408" s="144">
        <f>P387*P407*(1+'Datu ievade'!Q429)</f>
        <v>4.3919999999999995</v>
      </c>
      <c r="Q408" s="144">
        <f>Q387*Q407*(1+'Datu ievade'!R429)</f>
        <v>4.456049999999999</v>
      </c>
      <c r="R408" s="144">
        <f>R387*R407*(1+'Datu ievade'!S429)</f>
        <v>4.52925</v>
      </c>
      <c r="S408" s="144">
        <f>S387*S407*(1+'Datu ievade'!T429)</f>
        <v>4.5933</v>
      </c>
      <c r="T408" s="144">
        <f>T387*T407*(1+'Datu ievade'!U429)</f>
        <v>4.69395</v>
      </c>
      <c r="U408" s="144">
        <f>U387*U407*(1+'Datu ievade'!V429)</f>
        <v>4.7214</v>
      </c>
      <c r="V408" s="144">
        <f>V387*V407*(1+'Datu ievade'!W429)</f>
        <v>4.80375</v>
      </c>
      <c r="W408" s="144">
        <f>W387*W407*(1+'Datu ievade'!X429)</f>
        <v>4.84035</v>
      </c>
      <c r="X408" s="144">
        <f>X387*X407*(1+'Datu ievade'!Y429)</f>
        <v>4.87695</v>
      </c>
      <c r="Y408" s="144">
        <f>Y387*Y407*(1+'Datu ievade'!Z429)</f>
        <v>4.91355</v>
      </c>
      <c r="Z408" s="144">
        <f>Z387*Z407*(1+'Datu ievade'!AA429)</f>
        <v>4.95015</v>
      </c>
      <c r="AA408" s="144">
        <f>AA387*AA407*(1+'Datu ievade'!AB429)</f>
        <v>4.9776</v>
      </c>
      <c r="AB408" s="144">
        <f>AB387*AB407*(1+'Datu ievade'!AC429)</f>
        <v>5.014200000000001</v>
      </c>
      <c r="AC408" s="144">
        <f>AC387*AC407*(1+'Datu ievade'!AD429)</f>
        <v>5.050800000000001</v>
      </c>
      <c r="AD408" s="144">
        <f>AD387*AD407*(1+'Datu ievade'!AE429)</f>
        <v>5.0874</v>
      </c>
      <c r="AE408" s="144">
        <f>AE387*AE407*(1+'Datu ievade'!AF429)</f>
        <v>5.124</v>
      </c>
      <c r="AF408" s="144">
        <f>AF387*AF407*(1+'Datu ievade'!AG429)</f>
        <v>5.18805</v>
      </c>
      <c r="AG408" s="144">
        <f>AG387*AG407*(1+'Datu ievade'!AH429)</f>
        <v>5.2520999999999995</v>
      </c>
    </row>
    <row r="409" spans="1:33" s="78" customFormat="1" ht="12.75">
      <c r="A409" s="146" t="s">
        <v>365</v>
      </c>
      <c r="B409" s="144">
        <f aca="true" t="shared" si="78" ref="B409:AG409">B408+B406</f>
        <v>5.0325</v>
      </c>
      <c r="C409" s="144">
        <f>C408+C406</f>
        <v>5.45523</v>
      </c>
      <c r="D409" s="144">
        <f t="shared" si="78"/>
        <v>4.73055</v>
      </c>
      <c r="E409" s="144">
        <f t="shared" si="78"/>
        <v>6.7161</v>
      </c>
      <c r="F409" s="144">
        <f t="shared" si="78"/>
        <v>6.78015</v>
      </c>
      <c r="G409" s="144">
        <f t="shared" si="78"/>
        <v>6.83505</v>
      </c>
      <c r="H409" s="144">
        <f t="shared" si="78"/>
        <v>6.9174</v>
      </c>
      <c r="I409" s="144">
        <f t="shared" si="78"/>
        <v>7.027200000000001</v>
      </c>
      <c r="J409" s="144">
        <f t="shared" si="78"/>
        <v>7.0821000000000005</v>
      </c>
      <c r="K409" s="144">
        <f t="shared" si="78"/>
        <v>7.1644499999999995</v>
      </c>
      <c r="L409" s="144">
        <f t="shared" si="78"/>
        <v>7.2650999999999994</v>
      </c>
      <c r="M409" s="144">
        <f t="shared" si="78"/>
        <v>7.36575</v>
      </c>
      <c r="N409" s="144">
        <f t="shared" si="78"/>
        <v>7.475549999999999</v>
      </c>
      <c r="O409" s="144">
        <f t="shared" si="78"/>
        <v>7.503</v>
      </c>
      <c r="P409" s="144">
        <f t="shared" si="78"/>
        <v>7.5945</v>
      </c>
      <c r="Q409" s="144">
        <f t="shared" si="78"/>
        <v>7.704299999999999</v>
      </c>
      <c r="R409" s="144">
        <f t="shared" si="78"/>
        <v>7.82325</v>
      </c>
      <c r="S409" s="144">
        <f t="shared" si="78"/>
        <v>7.98795</v>
      </c>
      <c r="T409" s="144">
        <f t="shared" si="78"/>
        <v>8.13435</v>
      </c>
      <c r="U409" s="144">
        <f t="shared" si="78"/>
        <v>8.1801</v>
      </c>
      <c r="V409" s="144">
        <f t="shared" si="78"/>
        <v>8.2899</v>
      </c>
      <c r="W409" s="144">
        <f t="shared" si="78"/>
        <v>8.3448</v>
      </c>
      <c r="X409" s="144">
        <f t="shared" si="78"/>
        <v>8.3997</v>
      </c>
      <c r="Y409" s="144">
        <f t="shared" si="78"/>
        <v>8.463750000000001</v>
      </c>
      <c r="Z409" s="144">
        <f t="shared" si="78"/>
        <v>8.518650000000001</v>
      </c>
      <c r="AA409" s="144">
        <f t="shared" si="78"/>
        <v>8.573550000000001</v>
      </c>
      <c r="AB409" s="144">
        <f t="shared" si="78"/>
        <v>8.66505</v>
      </c>
      <c r="AC409" s="144">
        <f t="shared" si="78"/>
        <v>8.7291</v>
      </c>
      <c r="AD409" s="144">
        <f t="shared" si="78"/>
        <v>8.747399999999999</v>
      </c>
      <c r="AE409" s="144">
        <f t="shared" si="78"/>
        <v>8.848049999999999</v>
      </c>
      <c r="AF409" s="144">
        <f t="shared" si="78"/>
        <v>8.97615</v>
      </c>
      <c r="AG409" s="144">
        <f t="shared" si="78"/>
        <v>9.076799999999999</v>
      </c>
    </row>
    <row r="410" spans="1:33" s="78" customFormat="1" ht="25.5">
      <c r="A410" s="146" t="s">
        <v>366</v>
      </c>
      <c r="B410" s="270">
        <f aca="true" t="shared" si="79" ref="B410:AG410">B409/B404</f>
        <v>0.0216219119226638</v>
      </c>
      <c r="C410" s="270">
        <f>C409/C404</f>
        <v>0.02297858090604663</v>
      </c>
      <c r="D410" s="270">
        <f t="shared" si="79"/>
        <v>0.019542881930099974</v>
      </c>
      <c r="E410" s="270">
        <f t="shared" si="79"/>
        <v>0.027222098372616178</v>
      </c>
      <c r="F410" s="270">
        <f t="shared" si="79"/>
        <v>0.026972789115646257</v>
      </c>
      <c r="G410" s="270">
        <f t="shared" si="79"/>
        <v>0.026696806952446046</v>
      </c>
      <c r="H410" s="270">
        <f t="shared" si="79"/>
        <v>0.0265359828141783</v>
      </c>
      <c r="I410" s="270">
        <f t="shared" si="79"/>
        <v>0.026484255752162365</v>
      </c>
      <c r="J410" s="270">
        <f t="shared" si="79"/>
        <v>0.026230971517463612</v>
      </c>
      <c r="K410" s="270">
        <f t="shared" si="79"/>
        <v>0.02608622039359901</v>
      </c>
      <c r="L410" s="270">
        <f t="shared" si="79"/>
        <v>0.026011815252416755</v>
      </c>
      <c r="M410" s="270">
        <f t="shared" si="79"/>
        <v>0.02593984962406015</v>
      </c>
      <c r="N410" s="270">
        <f t="shared" si="79"/>
        <v>0.025901909150757074</v>
      </c>
      <c r="O410" s="270">
        <f t="shared" si="79"/>
        <v>0.025584369085980257</v>
      </c>
      <c r="P410" s="270">
        <f t="shared" si="79"/>
        <v>0.025294132340818825</v>
      </c>
      <c r="Q410" s="270">
        <f t="shared" si="79"/>
        <v>0.02507665267063763</v>
      </c>
      <c r="R410" s="270">
        <f t="shared" si="79"/>
        <v>0.024897959183673466</v>
      </c>
      <c r="S410" s="270">
        <f t="shared" si="79"/>
        <v>0.024869471816186428</v>
      </c>
      <c r="T410" s="270">
        <f t="shared" si="79"/>
        <v>0.024786434170532713</v>
      </c>
      <c r="U410" s="270">
        <f t="shared" si="79"/>
        <v>0.02440655209452202</v>
      </c>
      <c r="V410" s="270">
        <f t="shared" si="79"/>
        <v>0.024229378109998027</v>
      </c>
      <c r="W410" s="270">
        <f t="shared" si="79"/>
        <v>0.02390204081632653</v>
      </c>
      <c r="X410" s="270">
        <f t="shared" si="79"/>
        <v>0.0235875402792696</v>
      </c>
      <c r="Y410" s="270">
        <f t="shared" si="79"/>
        <v>0.023310336280261093</v>
      </c>
      <c r="Z410" s="270">
        <f t="shared" si="79"/>
        <v>0.023018867924528306</v>
      </c>
      <c r="AA410" s="270">
        <f t="shared" si="79"/>
        <v>0.022738194693081915</v>
      </c>
      <c r="AB410" s="270">
        <f t="shared" si="79"/>
        <v>0.0225630309540084</v>
      </c>
      <c r="AC410" s="270">
        <f t="shared" si="79"/>
        <v>0.02232392205002302</v>
      </c>
      <c r="AD410" s="270">
        <f t="shared" si="79"/>
        <v>0.02197825390544029</v>
      </c>
      <c r="AE410" s="270">
        <f t="shared" si="79"/>
        <v>0.021847846216526533</v>
      </c>
      <c r="AF410" s="270">
        <f t="shared" si="79"/>
        <v>0.02178849059695243</v>
      </c>
      <c r="AG410" s="270">
        <f t="shared" si="79"/>
        <v>0.021545893146441474</v>
      </c>
    </row>
    <row r="411" spans="1:33" s="258" customFormat="1" ht="25.5">
      <c r="A411" s="146" t="str">
        <f>"11.8. Pieļaujamie kopējie mājsaimn. izdevumi 2% - "&amp;'Datu ievade'!C190*100&amp;"%  robežās, t.sk.:"</f>
        <v>11.8. Pieļaujamie kopējie mājsaimn. izdevumi 2% - 0%  robežās, t.sk.:</v>
      </c>
      <c r="B411" s="262">
        <f>IF(B410&gt;'Datu ievade'!$B$41,B404*'Datu ievade'!$B$41,B409)</f>
        <v>5.0325</v>
      </c>
      <c r="C411" s="262">
        <f>IF(C410&gt;'Datu ievade'!$B$41,C404*'Datu ievade'!$B$41,C409)</f>
        <v>5.45523</v>
      </c>
      <c r="D411" s="262">
        <f>IF(D410&gt;'Datu ievade'!$B$41,D404*'Datu ievade'!$B$41,D409)</f>
        <v>4.73055</v>
      </c>
      <c r="E411" s="262">
        <f>IF(E410&gt;'Datu ievade'!$B$41,E404*'Datu ievade'!$B$41,E409)</f>
        <v>6.7161</v>
      </c>
      <c r="F411" s="262">
        <f>IF(F410&gt;'Datu ievade'!$B$41,F404*'Datu ievade'!$B$41,F409)</f>
        <v>6.78015</v>
      </c>
      <c r="G411" s="262">
        <f>IF(G410&gt;'Datu ievade'!$B$41,G404*'Datu ievade'!$B$41,G409)</f>
        <v>6.83505</v>
      </c>
      <c r="H411" s="262">
        <f>IF(H410&gt;'Datu ievade'!$B$41,H404*'Datu ievade'!$B$41,H409)</f>
        <v>6.9174</v>
      </c>
      <c r="I411" s="262">
        <f>IF(I410&gt;'Datu ievade'!$B$41,I404*'Datu ievade'!$B$41,I409)</f>
        <v>7.027200000000001</v>
      </c>
      <c r="J411" s="262">
        <f>IF(J410&gt;'Datu ievade'!$B$41,J404*'Datu ievade'!$B$41,J409)</f>
        <v>7.0821000000000005</v>
      </c>
      <c r="K411" s="262">
        <f>IF(K410&gt;'Datu ievade'!$B$41,K404*'Datu ievade'!$B$41,K409)</f>
        <v>7.1644499999999995</v>
      </c>
      <c r="L411" s="262">
        <f>IF(L410&gt;'Datu ievade'!$B$41,L404*'Datu ievade'!$B$41,L409)</f>
        <v>7.2650999999999994</v>
      </c>
      <c r="M411" s="262">
        <f>IF(M410&gt;'Datu ievade'!$B$41,M404*'Datu ievade'!$B$41,M409)</f>
        <v>7.36575</v>
      </c>
      <c r="N411" s="262">
        <f>IF(N410&gt;'Datu ievade'!$B$41,N404*'Datu ievade'!$B$41,N409)</f>
        <v>7.475549999999999</v>
      </c>
      <c r="O411" s="262">
        <f>IF(O410&gt;'Datu ievade'!$B$41,O404*'Datu ievade'!$B$41,O409)</f>
        <v>7.503</v>
      </c>
      <c r="P411" s="262">
        <f>IF(P410&gt;'Datu ievade'!$B$41,P404*'Datu ievade'!$B$41,P409)</f>
        <v>7.5945</v>
      </c>
      <c r="Q411" s="262">
        <f>IF(Q410&gt;'Datu ievade'!$B$41,Q404*'Datu ievade'!$B$41,Q409)</f>
        <v>7.704299999999999</v>
      </c>
      <c r="R411" s="262">
        <f>IF(R410&gt;'Datu ievade'!$B$41,R404*'Datu ievade'!$B$41,R409)</f>
        <v>7.82325</v>
      </c>
      <c r="S411" s="262">
        <f>IF(S410&gt;'Datu ievade'!$B$41,S404*'Datu ievade'!$B$41,S409)</f>
        <v>7.98795</v>
      </c>
      <c r="T411" s="262">
        <f>IF(T410&gt;'Datu ievade'!$B$41,T404*'Datu ievade'!$B$41,T409)</f>
        <v>8.13435</v>
      </c>
      <c r="U411" s="262">
        <f>IF(U410&gt;'Datu ievade'!$B$41,U404*'Datu ievade'!$B$41,U409)</f>
        <v>8.1801</v>
      </c>
      <c r="V411" s="262">
        <f>IF(V410&gt;'Datu ievade'!$B$41,V404*'Datu ievade'!$B$41,V409)</f>
        <v>8.2899</v>
      </c>
      <c r="W411" s="262">
        <f>IF(W410&gt;'Datu ievade'!$B$41,W404*'Datu ievade'!$B$41,W409)</f>
        <v>8.3448</v>
      </c>
      <c r="X411" s="262">
        <f>IF(X410&gt;'Datu ievade'!$B$41,X404*'Datu ievade'!$B$41,X409)</f>
        <v>8.3997</v>
      </c>
      <c r="Y411" s="262">
        <f>IF(Y410&gt;'Datu ievade'!$B$41,Y404*'Datu ievade'!$B$41,Y409)</f>
        <v>8.463750000000001</v>
      </c>
      <c r="Z411" s="262">
        <f>IF(Z410&gt;'Datu ievade'!$B$41,Z404*'Datu ievade'!$B$41,Z409)</f>
        <v>8.518650000000001</v>
      </c>
      <c r="AA411" s="262">
        <f>IF(AA410&gt;'Datu ievade'!$B$41,AA404*'Datu ievade'!$B$41,AA409)</f>
        <v>8.573550000000001</v>
      </c>
      <c r="AB411" s="262">
        <f>IF(AB410&gt;'Datu ievade'!$B$41,AB404*'Datu ievade'!$B$41,AB409)</f>
        <v>8.66505</v>
      </c>
      <c r="AC411" s="262">
        <f>IF(AC410&gt;'Datu ievade'!$B$41,AC404*'Datu ievade'!$B$41,AC409)</f>
        <v>8.7291</v>
      </c>
      <c r="AD411" s="262">
        <f>IF(AD410&gt;'Datu ievade'!$B$41,AD404*'Datu ievade'!$B$41,AD409)</f>
        <v>8.747399999999999</v>
      </c>
      <c r="AE411" s="262">
        <f>IF(AE410&gt;'Datu ievade'!$B$41,AE404*'Datu ievade'!$B$41,AE409)</f>
        <v>8.848049999999999</v>
      </c>
      <c r="AF411" s="262">
        <f>IF(AF410&gt;'Datu ievade'!$B$41,AF404*'Datu ievade'!$B$41,AF409)</f>
        <v>8.97615</v>
      </c>
      <c r="AG411" s="262">
        <f>IF(AG410&gt;'Datu ievade'!$B$41,AG404*'Datu ievade'!$B$41,AG409)</f>
        <v>9.076799999999999</v>
      </c>
    </row>
    <row r="412" spans="1:33" s="78" customFormat="1" ht="25.5">
      <c r="A412" s="146" t="s">
        <v>367</v>
      </c>
      <c r="B412" s="259">
        <f>B406/B409</f>
        <v>0.4</v>
      </c>
      <c r="C412" s="259">
        <f>C406/C409</f>
        <v>0.38929889298892983</v>
      </c>
      <c r="D412" s="259">
        <f aca="true" t="shared" si="80" ref="D412:AG412">D406/D409</f>
        <v>0.38878143133462284</v>
      </c>
      <c r="E412" s="259">
        <f t="shared" si="80"/>
        <v>0.41961852861035426</v>
      </c>
      <c r="F412" s="259">
        <f t="shared" si="80"/>
        <v>0.4224021592442645</v>
      </c>
      <c r="G412" s="259">
        <f t="shared" si="80"/>
        <v>0.4203480589022758</v>
      </c>
      <c r="H412" s="259">
        <f t="shared" si="80"/>
        <v>0.417989417989418</v>
      </c>
      <c r="I412" s="259">
        <f t="shared" si="80"/>
        <v>0.41796875</v>
      </c>
      <c r="J412" s="259">
        <f t="shared" si="80"/>
        <v>0.42118863049095606</v>
      </c>
      <c r="K412" s="259">
        <f t="shared" si="80"/>
        <v>0.41890166028097064</v>
      </c>
      <c r="L412" s="259">
        <f t="shared" si="80"/>
        <v>0.42317380352644834</v>
      </c>
      <c r="M412" s="259">
        <f t="shared" si="80"/>
        <v>0.422360248447205</v>
      </c>
      <c r="N412" s="259">
        <f t="shared" si="80"/>
        <v>0.4222766217870257</v>
      </c>
      <c r="O412" s="259">
        <f t="shared" si="80"/>
        <v>0.42317073170731706</v>
      </c>
      <c r="P412" s="259">
        <f t="shared" si="80"/>
        <v>0.42168674698795183</v>
      </c>
      <c r="Q412" s="259">
        <f t="shared" si="80"/>
        <v>0.42161520190023755</v>
      </c>
      <c r="R412" s="259">
        <f t="shared" si="80"/>
        <v>0.42105263157894735</v>
      </c>
      <c r="S412" s="259">
        <f t="shared" si="80"/>
        <v>0.42497136311569295</v>
      </c>
      <c r="T412" s="259">
        <f t="shared" si="80"/>
        <v>0.42294713160854897</v>
      </c>
      <c r="U412" s="259">
        <f t="shared" si="80"/>
        <v>0.4228187919463087</v>
      </c>
      <c r="V412" s="259">
        <f t="shared" si="80"/>
        <v>0.42052980132450335</v>
      </c>
      <c r="W412" s="259">
        <f t="shared" si="80"/>
        <v>0.4199561403508772</v>
      </c>
      <c r="X412" s="259">
        <f t="shared" si="80"/>
        <v>0.4193899782135077</v>
      </c>
      <c r="Y412" s="259">
        <f t="shared" si="80"/>
        <v>0.41945945945945945</v>
      </c>
      <c r="Z412" s="259">
        <f t="shared" si="80"/>
        <v>0.4189044038668099</v>
      </c>
      <c r="AA412" s="259">
        <f t="shared" si="80"/>
        <v>0.41942369263607254</v>
      </c>
      <c r="AB412" s="259">
        <f t="shared" si="80"/>
        <v>0.4213305174234424</v>
      </c>
      <c r="AC412" s="259">
        <f t="shared" si="80"/>
        <v>0.4213836477987421</v>
      </c>
      <c r="AD412" s="259">
        <f t="shared" si="80"/>
        <v>0.4184100418410043</v>
      </c>
      <c r="AE412" s="259">
        <f t="shared" si="80"/>
        <v>0.42088934850051707</v>
      </c>
      <c r="AF412" s="259">
        <f t="shared" si="80"/>
        <v>0.4220183486238532</v>
      </c>
      <c r="AG412" s="259">
        <f t="shared" si="80"/>
        <v>0.4213709677419355</v>
      </c>
    </row>
    <row r="413" spans="1:33" s="78" customFormat="1" ht="12.75">
      <c r="A413" s="146" t="s">
        <v>368</v>
      </c>
      <c r="B413" s="259">
        <f>B408/B409</f>
        <v>0.6</v>
      </c>
      <c r="C413" s="259">
        <f>C408/C409</f>
        <v>0.61070110701107</v>
      </c>
      <c r="D413" s="259">
        <f aca="true" t="shared" si="81" ref="D413:AG413">D408/D409</f>
        <v>0.6112185686653772</v>
      </c>
      <c r="E413" s="259">
        <f t="shared" si="81"/>
        <v>0.5803814713896458</v>
      </c>
      <c r="F413" s="259">
        <f t="shared" si="81"/>
        <v>0.5775978407557355</v>
      </c>
      <c r="G413" s="259">
        <f t="shared" si="81"/>
        <v>0.5796519410977242</v>
      </c>
      <c r="H413" s="259">
        <f t="shared" si="81"/>
        <v>0.582010582010582</v>
      </c>
      <c r="I413" s="259">
        <f t="shared" si="81"/>
        <v>0.5820312499999999</v>
      </c>
      <c r="J413" s="259">
        <f t="shared" si="81"/>
        <v>0.5788113695090439</v>
      </c>
      <c r="K413" s="259">
        <f t="shared" si="81"/>
        <v>0.5810983397190294</v>
      </c>
      <c r="L413" s="259">
        <f t="shared" si="81"/>
        <v>0.5768261964735516</v>
      </c>
      <c r="M413" s="259">
        <f t="shared" si="81"/>
        <v>0.5776397515527951</v>
      </c>
      <c r="N413" s="259">
        <f t="shared" si="81"/>
        <v>0.5777233782129743</v>
      </c>
      <c r="O413" s="259">
        <f t="shared" si="81"/>
        <v>0.5768292682926829</v>
      </c>
      <c r="P413" s="259">
        <f t="shared" si="81"/>
        <v>0.5783132530120482</v>
      </c>
      <c r="Q413" s="259">
        <f t="shared" si="81"/>
        <v>0.5783847980997625</v>
      </c>
      <c r="R413" s="259">
        <f t="shared" si="81"/>
        <v>0.5789473684210527</v>
      </c>
      <c r="S413" s="259">
        <f t="shared" si="81"/>
        <v>0.575028636884307</v>
      </c>
      <c r="T413" s="259">
        <f t="shared" si="81"/>
        <v>0.5770528683914511</v>
      </c>
      <c r="U413" s="259">
        <f t="shared" si="81"/>
        <v>0.5771812080536913</v>
      </c>
      <c r="V413" s="259">
        <f t="shared" si="81"/>
        <v>0.5794701986754968</v>
      </c>
      <c r="W413" s="259">
        <f t="shared" si="81"/>
        <v>0.5800438596491229</v>
      </c>
      <c r="X413" s="259">
        <f t="shared" si="81"/>
        <v>0.5806100217864925</v>
      </c>
      <c r="Y413" s="259">
        <f t="shared" si="81"/>
        <v>0.5805405405405405</v>
      </c>
      <c r="Z413" s="259">
        <f t="shared" si="81"/>
        <v>0.5810955961331901</v>
      </c>
      <c r="AA413" s="259">
        <f t="shared" si="81"/>
        <v>0.5805763073639273</v>
      </c>
      <c r="AB413" s="259">
        <f t="shared" si="81"/>
        <v>0.5786694825765576</v>
      </c>
      <c r="AC413" s="259">
        <f t="shared" si="81"/>
        <v>0.5786163522012578</v>
      </c>
      <c r="AD413" s="259">
        <f t="shared" si="81"/>
        <v>0.5815899581589958</v>
      </c>
      <c r="AE413" s="259">
        <f t="shared" si="81"/>
        <v>0.5791106514994829</v>
      </c>
      <c r="AF413" s="259">
        <f t="shared" si="81"/>
        <v>0.5779816513761468</v>
      </c>
      <c r="AG413" s="259">
        <f t="shared" si="81"/>
        <v>0.5786290322580645</v>
      </c>
    </row>
    <row r="414" spans="1:33" s="78" customFormat="1" ht="12.75">
      <c r="A414" s="146" t="s">
        <v>369</v>
      </c>
      <c r="B414" s="144">
        <f>B412*B411</f>
        <v>2.013</v>
      </c>
      <c r="C414" s="144">
        <f>C412*C411</f>
        <v>2.123715</v>
      </c>
      <c r="D414" s="144">
        <f aca="true" t="shared" si="82" ref="D414:AG414">D412*D411</f>
        <v>1.83915</v>
      </c>
      <c r="E414" s="144">
        <f t="shared" si="82"/>
        <v>2.8182</v>
      </c>
      <c r="F414" s="144">
        <f t="shared" si="82"/>
        <v>2.86395</v>
      </c>
      <c r="G414" s="144">
        <f t="shared" si="82"/>
        <v>2.8731</v>
      </c>
      <c r="H414" s="144">
        <f t="shared" si="82"/>
        <v>2.8914</v>
      </c>
      <c r="I414" s="144">
        <f t="shared" si="82"/>
        <v>2.9371500000000004</v>
      </c>
      <c r="J414" s="144">
        <f t="shared" si="82"/>
        <v>2.9829000000000003</v>
      </c>
      <c r="K414" s="144">
        <f t="shared" si="82"/>
        <v>3.0012</v>
      </c>
      <c r="L414" s="144">
        <f t="shared" si="82"/>
        <v>3.0744</v>
      </c>
      <c r="M414" s="144">
        <f t="shared" si="82"/>
        <v>3.111</v>
      </c>
      <c r="N414" s="144">
        <f t="shared" si="82"/>
        <v>3.1567499999999997</v>
      </c>
      <c r="O414" s="144">
        <f t="shared" si="82"/>
        <v>3.17505</v>
      </c>
      <c r="P414" s="144">
        <f t="shared" si="82"/>
        <v>3.2025</v>
      </c>
      <c r="Q414" s="144">
        <f t="shared" si="82"/>
        <v>3.2482499999999996</v>
      </c>
      <c r="R414" s="144">
        <f t="shared" si="82"/>
        <v>3.2939999999999996</v>
      </c>
      <c r="S414" s="144">
        <f t="shared" si="82"/>
        <v>3.3946499999999995</v>
      </c>
      <c r="T414" s="144">
        <f t="shared" si="82"/>
        <v>3.4404</v>
      </c>
      <c r="U414" s="144">
        <f t="shared" si="82"/>
        <v>3.4587</v>
      </c>
      <c r="V414" s="144">
        <f t="shared" si="82"/>
        <v>3.48615</v>
      </c>
      <c r="W414" s="144">
        <f t="shared" si="82"/>
        <v>3.50445</v>
      </c>
      <c r="X414" s="144">
        <f t="shared" si="82"/>
        <v>3.5227500000000003</v>
      </c>
      <c r="Y414" s="144">
        <f t="shared" si="82"/>
        <v>3.5502000000000002</v>
      </c>
      <c r="Z414" s="144">
        <f t="shared" si="82"/>
        <v>3.5685000000000002</v>
      </c>
      <c r="AA414" s="144">
        <f t="shared" si="82"/>
        <v>3.59595</v>
      </c>
      <c r="AB414" s="144">
        <f t="shared" si="82"/>
        <v>3.65085</v>
      </c>
      <c r="AC414" s="144">
        <f t="shared" si="82"/>
        <v>3.6783</v>
      </c>
      <c r="AD414" s="144">
        <f t="shared" si="82"/>
        <v>3.6600000000000006</v>
      </c>
      <c r="AE414" s="144">
        <f t="shared" si="82"/>
        <v>3.7240499999999996</v>
      </c>
      <c r="AF414" s="144">
        <f t="shared" si="82"/>
        <v>3.7881</v>
      </c>
      <c r="AG414" s="144">
        <f t="shared" si="82"/>
        <v>3.8246999999999995</v>
      </c>
    </row>
    <row r="415" spans="1:33" s="78" customFormat="1" ht="12.75">
      <c r="A415" s="146" t="s">
        <v>370</v>
      </c>
      <c r="B415" s="144">
        <f>B413*B411</f>
        <v>3.0195</v>
      </c>
      <c r="C415" s="144">
        <f>C413*C411</f>
        <v>3.331515</v>
      </c>
      <c r="D415" s="144">
        <f aca="true" t="shared" si="83" ref="D415:AG415">D413*D411</f>
        <v>2.8914</v>
      </c>
      <c r="E415" s="144">
        <f t="shared" si="83"/>
        <v>3.8979</v>
      </c>
      <c r="F415" s="144">
        <f t="shared" si="83"/>
        <v>3.9162</v>
      </c>
      <c r="G415" s="144">
        <f t="shared" si="83"/>
        <v>3.96195</v>
      </c>
      <c r="H415" s="144">
        <f t="shared" si="83"/>
        <v>4.026</v>
      </c>
      <c r="I415" s="144">
        <f t="shared" si="83"/>
        <v>4.09005</v>
      </c>
      <c r="J415" s="144">
        <f t="shared" si="83"/>
        <v>4.0992</v>
      </c>
      <c r="K415" s="144">
        <f t="shared" si="83"/>
        <v>4.16325</v>
      </c>
      <c r="L415" s="144">
        <f t="shared" si="83"/>
        <v>4.1907</v>
      </c>
      <c r="M415" s="144">
        <f t="shared" si="83"/>
        <v>4.2547500000000005</v>
      </c>
      <c r="N415" s="144">
        <f t="shared" si="83"/>
        <v>4.3187999999999995</v>
      </c>
      <c r="O415" s="144">
        <f t="shared" si="83"/>
        <v>4.3279499999999995</v>
      </c>
      <c r="P415" s="144">
        <f t="shared" si="83"/>
        <v>4.3919999999999995</v>
      </c>
      <c r="Q415" s="144">
        <f t="shared" si="83"/>
        <v>4.456049999999999</v>
      </c>
      <c r="R415" s="144">
        <f t="shared" si="83"/>
        <v>4.52925</v>
      </c>
      <c r="S415" s="144">
        <f t="shared" si="83"/>
        <v>4.5933</v>
      </c>
      <c r="T415" s="144">
        <f t="shared" si="83"/>
        <v>4.69395</v>
      </c>
      <c r="U415" s="144">
        <f t="shared" si="83"/>
        <v>4.7214</v>
      </c>
      <c r="V415" s="144">
        <f t="shared" si="83"/>
        <v>4.80375</v>
      </c>
      <c r="W415" s="144">
        <f t="shared" si="83"/>
        <v>4.84035</v>
      </c>
      <c r="X415" s="144">
        <f t="shared" si="83"/>
        <v>4.87695</v>
      </c>
      <c r="Y415" s="144">
        <f t="shared" si="83"/>
        <v>4.91355</v>
      </c>
      <c r="Z415" s="144">
        <f t="shared" si="83"/>
        <v>4.95015</v>
      </c>
      <c r="AA415" s="144">
        <f t="shared" si="83"/>
        <v>4.977599999999999</v>
      </c>
      <c r="AB415" s="144">
        <f t="shared" si="83"/>
        <v>5.014200000000001</v>
      </c>
      <c r="AC415" s="144">
        <f t="shared" si="83"/>
        <v>5.050800000000001</v>
      </c>
      <c r="AD415" s="144">
        <f t="shared" si="83"/>
        <v>5.0874</v>
      </c>
      <c r="AE415" s="144">
        <f t="shared" si="83"/>
        <v>5.124</v>
      </c>
      <c r="AF415" s="144">
        <f t="shared" si="83"/>
        <v>5.1880500000000005</v>
      </c>
      <c r="AG415" s="144">
        <f t="shared" si="83"/>
        <v>5.252099999999999</v>
      </c>
    </row>
    <row r="416" spans="1:33" s="78" customFormat="1" ht="12.75">
      <c r="A416" s="146" t="s">
        <v>371</v>
      </c>
      <c r="B416" s="147">
        <f>B414/B405</f>
        <v>0.244</v>
      </c>
      <c r="C416" s="147">
        <f>C414/C405</f>
        <v>0.25742</v>
      </c>
      <c r="D416" s="147">
        <f aca="true" t="shared" si="84" ref="D416:AG416">D414/D405</f>
        <v>0.24522000000000002</v>
      </c>
      <c r="E416" s="147">
        <f t="shared" si="84"/>
        <v>0.37576</v>
      </c>
      <c r="F416" s="147">
        <f t="shared" si="84"/>
        <v>0.38186</v>
      </c>
      <c r="G416" s="147">
        <f t="shared" si="84"/>
        <v>0.38308</v>
      </c>
      <c r="H416" s="147">
        <f t="shared" si="84"/>
        <v>0.38552</v>
      </c>
      <c r="I416" s="147">
        <f t="shared" si="84"/>
        <v>0.39162</v>
      </c>
      <c r="J416" s="147">
        <f t="shared" si="84"/>
        <v>0.39772</v>
      </c>
      <c r="K416" s="147">
        <f t="shared" si="84"/>
        <v>0.40015999999999996</v>
      </c>
      <c r="L416" s="147">
        <f t="shared" si="84"/>
        <v>0.40991999999999995</v>
      </c>
      <c r="M416" s="147">
        <f t="shared" si="84"/>
        <v>0.4148</v>
      </c>
      <c r="N416" s="147">
        <f t="shared" si="84"/>
        <v>0.42089999999999994</v>
      </c>
      <c r="O416" s="147">
        <f t="shared" si="84"/>
        <v>0.42334</v>
      </c>
      <c r="P416" s="147">
        <f t="shared" si="84"/>
        <v>0.427</v>
      </c>
      <c r="Q416" s="147">
        <f t="shared" si="84"/>
        <v>0.43309999999999993</v>
      </c>
      <c r="R416" s="147">
        <f t="shared" si="84"/>
        <v>0.4391999999999999</v>
      </c>
      <c r="S416" s="147">
        <f t="shared" si="84"/>
        <v>0.4526199999999999</v>
      </c>
      <c r="T416" s="147">
        <f t="shared" si="84"/>
        <v>0.45871999999999996</v>
      </c>
      <c r="U416" s="147">
        <f t="shared" si="84"/>
        <v>0.46115999999999996</v>
      </c>
      <c r="V416" s="147">
        <f t="shared" si="84"/>
        <v>0.46481999999999996</v>
      </c>
      <c r="W416" s="147">
        <f t="shared" si="84"/>
        <v>0.46725999999999995</v>
      </c>
      <c r="X416" s="147">
        <f t="shared" si="84"/>
        <v>0.46970000000000006</v>
      </c>
      <c r="Y416" s="147">
        <f t="shared" si="84"/>
        <v>0.47336000000000006</v>
      </c>
      <c r="Z416" s="147">
        <f t="shared" si="84"/>
        <v>0.47580000000000006</v>
      </c>
      <c r="AA416" s="147">
        <f t="shared" si="84"/>
        <v>0.47946000000000005</v>
      </c>
      <c r="AB416" s="147">
        <f t="shared" si="84"/>
        <v>0.48678000000000005</v>
      </c>
      <c r="AC416" s="147">
        <f t="shared" si="84"/>
        <v>0.49044000000000004</v>
      </c>
      <c r="AD416" s="147">
        <f t="shared" si="84"/>
        <v>0.4880000000000001</v>
      </c>
      <c r="AE416" s="147">
        <f t="shared" si="84"/>
        <v>0.4965399999999999</v>
      </c>
      <c r="AF416" s="147">
        <f t="shared" si="84"/>
        <v>0.50508</v>
      </c>
      <c r="AG416" s="147">
        <f t="shared" si="84"/>
        <v>0.50996</v>
      </c>
    </row>
    <row r="417" spans="1:33" s="78" customFormat="1" ht="12.75">
      <c r="A417" s="282" t="s">
        <v>372</v>
      </c>
      <c r="B417" s="281">
        <f>B415/B407</f>
        <v>0.366</v>
      </c>
      <c r="C417" s="147">
        <f>C415/C407</f>
        <v>0.40382</v>
      </c>
      <c r="D417" s="147">
        <f aca="true" t="shared" si="85" ref="D417:AG417">D415/D407</f>
        <v>0.38552</v>
      </c>
      <c r="E417" s="147">
        <f t="shared" si="85"/>
        <v>0.51972</v>
      </c>
      <c r="F417" s="147">
        <f t="shared" si="85"/>
        <v>0.52216</v>
      </c>
      <c r="G417" s="147">
        <f t="shared" si="85"/>
        <v>0.52826</v>
      </c>
      <c r="H417" s="147">
        <f t="shared" si="85"/>
        <v>0.5367999999999999</v>
      </c>
      <c r="I417" s="147">
        <f t="shared" si="85"/>
        <v>0.5453399999999999</v>
      </c>
      <c r="J417" s="147">
        <f t="shared" si="85"/>
        <v>0.5465599999999999</v>
      </c>
      <c r="K417" s="147">
        <f t="shared" si="85"/>
        <v>0.5550999999999999</v>
      </c>
      <c r="L417" s="147">
        <f t="shared" si="85"/>
        <v>0.5587599999999999</v>
      </c>
      <c r="M417" s="147">
        <f t="shared" si="85"/>
        <v>0.5673</v>
      </c>
      <c r="N417" s="147">
        <f t="shared" si="85"/>
        <v>0.5758399999999999</v>
      </c>
      <c r="O417" s="147">
        <f t="shared" si="85"/>
        <v>0.5770599999999999</v>
      </c>
      <c r="P417" s="147">
        <f t="shared" si="85"/>
        <v>0.5855999999999999</v>
      </c>
      <c r="Q417" s="147">
        <f t="shared" si="85"/>
        <v>0.5941399999999999</v>
      </c>
      <c r="R417" s="147">
        <f t="shared" si="85"/>
        <v>0.6039</v>
      </c>
      <c r="S417" s="147">
        <f t="shared" si="85"/>
        <v>0.61244</v>
      </c>
      <c r="T417" s="147">
        <f t="shared" si="85"/>
        <v>0.62586</v>
      </c>
      <c r="U417" s="147">
        <f t="shared" si="85"/>
        <v>0.62952</v>
      </c>
      <c r="V417" s="147">
        <f t="shared" si="85"/>
        <v>0.6405</v>
      </c>
      <c r="W417" s="147">
        <f t="shared" si="85"/>
        <v>0.64538</v>
      </c>
      <c r="X417" s="147">
        <f t="shared" si="85"/>
        <v>0.65026</v>
      </c>
      <c r="Y417" s="147">
        <f t="shared" si="85"/>
        <v>0.65514</v>
      </c>
      <c r="Z417" s="147">
        <f t="shared" si="85"/>
        <v>0.6600199999999999</v>
      </c>
      <c r="AA417" s="147">
        <f t="shared" si="85"/>
        <v>0.6636799999999998</v>
      </c>
      <c r="AB417" s="147">
        <f t="shared" si="85"/>
        <v>0.66856</v>
      </c>
      <c r="AC417" s="147">
        <f t="shared" si="85"/>
        <v>0.67344</v>
      </c>
      <c r="AD417" s="147">
        <f t="shared" si="85"/>
        <v>0.6783199999999999</v>
      </c>
      <c r="AE417" s="147">
        <f t="shared" si="85"/>
        <v>0.6831999999999999</v>
      </c>
      <c r="AF417" s="147">
        <f t="shared" si="85"/>
        <v>0.69174</v>
      </c>
      <c r="AG417" s="147">
        <f t="shared" si="85"/>
        <v>0.7002799999999998</v>
      </c>
    </row>
    <row r="418" spans="1:35" ht="38.25" customHeight="1">
      <c r="A418" s="1012" t="s">
        <v>447</v>
      </c>
      <c r="B418" s="1012"/>
      <c r="C418" s="1012"/>
      <c r="D418" s="1012"/>
      <c r="E418" s="1012"/>
      <c r="F418" s="1012"/>
      <c r="G418" s="1012"/>
      <c r="H418" s="1012"/>
      <c r="AH418" s="170">
        <v>0.21</v>
      </c>
      <c r="AI418" s="170">
        <v>0.21</v>
      </c>
    </row>
    <row r="419" ht="12.75">
      <c r="A419" s="83" t="s">
        <v>103</v>
      </c>
    </row>
    <row r="420" spans="1:33" ht="14.25">
      <c r="A420" s="84" t="s">
        <v>104</v>
      </c>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row>
    <row r="421" spans="1:35" ht="12.75">
      <c r="A421" s="158"/>
      <c r="B421" s="163">
        <v>2011</v>
      </c>
      <c r="C421" s="163">
        <f>B421+1</f>
        <v>2012</v>
      </c>
      <c r="D421" s="163">
        <f aca="true" t="shared" si="86" ref="D421:AG422">C421+1</f>
        <v>2013</v>
      </c>
      <c r="E421" s="163">
        <f t="shared" si="86"/>
        <v>2014</v>
      </c>
      <c r="F421" s="163">
        <f t="shared" si="86"/>
        <v>2015</v>
      </c>
      <c r="G421" s="163">
        <f t="shared" si="86"/>
        <v>2016</v>
      </c>
      <c r="H421" s="163">
        <f t="shared" si="86"/>
        <v>2017</v>
      </c>
      <c r="I421" s="163">
        <f t="shared" si="86"/>
        <v>2018</v>
      </c>
      <c r="J421" s="163">
        <f t="shared" si="86"/>
        <v>2019</v>
      </c>
      <c r="K421" s="163">
        <f t="shared" si="86"/>
        <v>2020</v>
      </c>
      <c r="L421" s="163">
        <f t="shared" si="86"/>
        <v>2021</v>
      </c>
      <c r="M421" s="163">
        <f t="shared" si="86"/>
        <v>2022</v>
      </c>
      <c r="N421" s="163">
        <f t="shared" si="86"/>
        <v>2023</v>
      </c>
      <c r="O421" s="163">
        <f t="shared" si="86"/>
        <v>2024</v>
      </c>
      <c r="P421" s="163">
        <f t="shared" si="86"/>
        <v>2025</v>
      </c>
      <c r="Q421" s="163">
        <f t="shared" si="86"/>
        <v>2026</v>
      </c>
      <c r="R421" s="163">
        <f t="shared" si="86"/>
        <v>2027</v>
      </c>
      <c r="S421" s="163">
        <f t="shared" si="86"/>
        <v>2028</v>
      </c>
      <c r="T421" s="163">
        <f t="shared" si="86"/>
        <v>2029</v>
      </c>
      <c r="U421" s="163">
        <f t="shared" si="86"/>
        <v>2030</v>
      </c>
      <c r="V421" s="163">
        <f t="shared" si="86"/>
        <v>2031</v>
      </c>
      <c r="W421" s="163">
        <f t="shared" si="86"/>
        <v>2032</v>
      </c>
      <c r="X421" s="163">
        <f t="shared" si="86"/>
        <v>2033</v>
      </c>
      <c r="Y421" s="163">
        <f t="shared" si="86"/>
        <v>2034</v>
      </c>
      <c r="Z421" s="163">
        <f t="shared" si="86"/>
        <v>2035</v>
      </c>
      <c r="AA421" s="163">
        <f t="shared" si="86"/>
        <v>2036</v>
      </c>
      <c r="AB421" s="163">
        <f t="shared" si="86"/>
        <v>2037</v>
      </c>
      <c r="AC421" s="163">
        <f t="shared" si="86"/>
        <v>2038</v>
      </c>
      <c r="AD421" s="163">
        <f t="shared" si="86"/>
        <v>2039</v>
      </c>
      <c r="AE421" s="163">
        <f t="shared" si="86"/>
        <v>2040</v>
      </c>
      <c r="AF421" s="163">
        <f t="shared" si="86"/>
        <v>2041</v>
      </c>
      <c r="AG421" s="163">
        <f t="shared" si="86"/>
        <v>2042</v>
      </c>
      <c r="AH421" s="163">
        <f>AG421+1</f>
        <v>2043</v>
      </c>
      <c r="AI421" s="163">
        <f>AH421+1</f>
        <v>2044</v>
      </c>
    </row>
    <row r="422" spans="1:35" s="157" customFormat="1" ht="12.75">
      <c r="A422" s="158"/>
      <c r="B422" s="164">
        <v>1</v>
      </c>
      <c r="C422" s="164">
        <f>B422+1</f>
        <v>2</v>
      </c>
      <c r="D422" s="164">
        <f t="shared" si="86"/>
        <v>3</v>
      </c>
      <c r="E422" s="164">
        <f t="shared" si="86"/>
        <v>4</v>
      </c>
      <c r="F422" s="164">
        <f t="shared" si="86"/>
        <v>5</v>
      </c>
      <c r="G422" s="164">
        <f t="shared" si="86"/>
        <v>6</v>
      </c>
      <c r="H422" s="164">
        <f t="shared" si="86"/>
        <v>7</v>
      </c>
      <c r="I422" s="164">
        <f t="shared" si="86"/>
        <v>8</v>
      </c>
      <c r="J422" s="164">
        <f t="shared" si="86"/>
        <v>9</v>
      </c>
      <c r="K422" s="164">
        <f t="shared" si="86"/>
        <v>10</v>
      </c>
      <c r="L422" s="164">
        <f t="shared" si="86"/>
        <v>11</v>
      </c>
      <c r="M422" s="164">
        <f t="shared" si="86"/>
        <v>12</v>
      </c>
      <c r="N422" s="164">
        <f t="shared" si="86"/>
        <v>13</v>
      </c>
      <c r="O422" s="164">
        <f t="shared" si="86"/>
        <v>14</v>
      </c>
      <c r="P422" s="164">
        <f t="shared" si="86"/>
        <v>15</v>
      </c>
      <c r="Q422" s="164">
        <f t="shared" si="86"/>
        <v>16</v>
      </c>
      <c r="R422" s="164">
        <f t="shared" si="86"/>
        <v>17</v>
      </c>
      <c r="S422" s="164">
        <f t="shared" si="86"/>
        <v>18</v>
      </c>
      <c r="T422" s="164">
        <f t="shared" si="86"/>
        <v>19</v>
      </c>
      <c r="U422" s="164">
        <f t="shared" si="86"/>
        <v>20</v>
      </c>
      <c r="V422" s="164">
        <f t="shared" si="86"/>
        <v>21</v>
      </c>
      <c r="W422" s="164">
        <f t="shared" si="86"/>
        <v>22</v>
      </c>
      <c r="X422" s="164">
        <f t="shared" si="86"/>
        <v>23</v>
      </c>
      <c r="Y422" s="164">
        <f t="shared" si="86"/>
        <v>24</v>
      </c>
      <c r="Z422" s="164">
        <f t="shared" si="86"/>
        <v>25</v>
      </c>
      <c r="AA422" s="164">
        <f t="shared" si="86"/>
        <v>26</v>
      </c>
      <c r="AB422" s="164">
        <f t="shared" si="86"/>
        <v>27</v>
      </c>
      <c r="AC422" s="164">
        <f t="shared" si="86"/>
        <v>28</v>
      </c>
      <c r="AD422" s="164">
        <f t="shared" si="86"/>
        <v>29</v>
      </c>
      <c r="AE422" s="164">
        <f t="shared" si="86"/>
        <v>30</v>
      </c>
      <c r="AF422" s="164">
        <f t="shared" si="86"/>
        <v>31</v>
      </c>
      <c r="AG422" s="164">
        <f t="shared" si="86"/>
        <v>32</v>
      </c>
      <c r="AH422" s="164">
        <f>AG422+1</f>
        <v>33</v>
      </c>
      <c r="AI422" s="164">
        <f>AH422+1</f>
        <v>34</v>
      </c>
    </row>
    <row r="423" spans="1:35" s="157" customFormat="1" ht="12.75">
      <c r="A423" s="158" t="s">
        <v>105</v>
      </c>
      <c r="B423" s="950">
        <v>0.035</v>
      </c>
      <c r="C423" s="606">
        <v>0.024</v>
      </c>
      <c r="D423" s="606">
        <v>0.02</v>
      </c>
      <c r="E423" s="606">
        <v>0.02</v>
      </c>
      <c r="F423" s="606">
        <v>0.02</v>
      </c>
      <c r="G423" s="165">
        <v>0.02</v>
      </c>
      <c r="H423" s="165">
        <v>0.02</v>
      </c>
      <c r="I423" s="165">
        <v>0.02</v>
      </c>
      <c r="J423" s="165">
        <v>0.02</v>
      </c>
      <c r="K423" s="165">
        <v>0.02</v>
      </c>
      <c r="L423" s="165">
        <v>0.02</v>
      </c>
      <c r="M423" s="165">
        <v>0.02</v>
      </c>
      <c r="N423" s="165">
        <v>0.02</v>
      </c>
      <c r="O423" s="165">
        <v>0.02</v>
      </c>
      <c r="P423" s="165">
        <v>0.02</v>
      </c>
      <c r="Q423" s="165">
        <v>0.02</v>
      </c>
      <c r="R423" s="165">
        <v>0.02</v>
      </c>
      <c r="S423" s="165">
        <v>0.02</v>
      </c>
      <c r="T423" s="165">
        <v>0.02</v>
      </c>
      <c r="U423" s="165">
        <v>0.02</v>
      </c>
      <c r="V423" s="165">
        <v>0.02</v>
      </c>
      <c r="W423" s="165">
        <v>0.02</v>
      </c>
      <c r="X423" s="165">
        <v>0.02</v>
      </c>
      <c r="Y423" s="165">
        <v>0.02</v>
      </c>
      <c r="Z423" s="165">
        <v>0.02</v>
      </c>
      <c r="AA423" s="165">
        <v>0.02</v>
      </c>
      <c r="AB423" s="165">
        <v>0.02</v>
      </c>
      <c r="AC423" s="165">
        <v>0.02</v>
      </c>
      <c r="AD423" s="165">
        <v>0.02</v>
      </c>
      <c r="AE423" s="165">
        <v>0.02</v>
      </c>
      <c r="AF423" s="165">
        <v>0.02</v>
      </c>
      <c r="AG423" s="165">
        <v>0.02</v>
      </c>
      <c r="AH423" s="165">
        <v>0.02</v>
      </c>
      <c r="AI423" s="165">
        <v>0.02</v>
      </c>
    </row>
    <row r="424" spans="1:35" s="157" customFormat="1" ht="12.75">
      <c r="A424" s="158" t="s">
        <v>106</v>
      </c>
      <c r="B424" s="166">
        <v>1</v>
      </c>
      <c r="C424" s="855">
        <f aca="true" t="shared" si="87" ref="C424:AG424">ROUND(B424*(1+C423),2)</f>
        <v>1.02</v>
      </c>
      <c r="D424" s="855">
        <f t="shared" si="87"/>
        <v>1.04</v>
      </c>
      <c r="E424" s="167">
        <f t="shared" si="87"/>
        <v>1.06</v>
      </c>
      <c r="F424" s="167">
        <f t="shared" si="87"/>
        <v>1.08</v>
      </c>
      <c r="G424" s="167">
        <f t="shared" si="87"/>
        <v>1.1</v>
      </c>
      <c r="H424" s="167">
        <f t="shared" si="87"/>
        <v>1.12</v>
      </c>
      <c r="I424" s="167">
        <f t="shared" si="87"/>
        <v>1.14</v>
      </c>
      <c r="J424" s="167">
        <f t="shared" si="87"/>
        <v>1.16</v>
      </c>
      <c r="K424" s="167">
        <f t="shared" si="87"/>
        <v>1.18</v>
      </c>
      <c r="L424" s="167">
        <f t="shared" si="87"/>
        <v>1.2</v>
      </c>
      <c r="M424" s="167">
        <f t="shared" si="87"/>
        <v>1.22</v>
      </c>
      <c r="N424" s="167">
        <f t="shared" si="87"/>
        <v>1.24</v>
      </c>
      <c r="O424" s="167">
        <f t="shared" si="87"/>
        <v>1.26</v>
      </c>
      <c r="P424" s="167">
        <f t="shared" si="87"/>
        <v>1.29</v>
      </c>
      <c r="Q424" s="167">
        <f t="shared" si="87"/>
        <v>1.32</v>
      </c>
      <c r="R424" s="167">
        <f t="shared" si="87"/>
        <v>1.35</v>
      </c>
      <c r="S424" s="167">
        <f t="shared" si="87"/>
        <v>1.38</v>
      </c>
      <c r="T424" s="167">
        <f t="shared" si="87"/>
        <v>1.41</v>
      </c>
      <c r="U424" s="167">
        <f t="shared" si="87"/>
        <v>1.44</v>
      </c>
      <c r="V424" s="167">
        <f t="shared" si="87"/>
        <v>1.47</v>
      </c>
      <c r="W424" s="167">
        <f t="shared" si="87"/>
        <v>1.5</v>
      </c>
      <c r="X424" s="167">
        <f t="shared" si="87"/>
        <v>1.53</v>
      </c>
      <c r="Y424" s="167">
        <f t="shared" si="87"/>
        <v>1.56</v>
      </c>
      <c r="Z424" s="167">
        <f t="shared" si="87"/>
        <v>1.59</v>
      </c>
      <c r="AA424" s="167">
        <f t="shared" si="87"/>
        <v>1.62</v>
      </c>
      <c r="AB424" s="167">
        <f t="shared" si="87"/>
        <v>1.65</v>
      </c>
      <c r="AC424" s="167">
        <f t="shared" si="87"/>
        <v>1.68</v>
      </c>
      <c r="AD424" s="167">
        <f t="shared" si="87"/>
        <v>1.71</v>
      </c>
      <c r="AE424" s="167">
        <f t="shared" si="87"/>
        <v>1.74</v>
      </c>
      <c r="AF424" s="167">
        <f t="shared" si="87"/>
        <v>1.77</v>
      </c>
      <c r="AG424" s="167">
        <f t="shared" si="87"/>
        <v>1.81</v>
      </c>
      <c r="AH424" s="167">
        <f>ROUND(AG424*(1+AH423),2)</f>
        <v>1.85</v>
      </c>
      <c r="AI424" s="167">
        <f>ROUND(AH424*(1+AI423),2)</f>
        <v>1.89</v>
      </c>
    </row>
    <row r="425" spans="1:35" s="157" customFormat="1" ht="12.75">
      <c r="A425" s="159" t="s">
        <v>107</v>
      </c>
      <c r="B425" s="950">
        <v>-0.017</v>
      </c>
      <c r="C425" s="606">
        <v>0.027</v>
      </c>
      <c r="D425" s="606">
        <v>0.034</v>
      </c>
      <c r="E425" s="606">
        <v>0.033</v>
      </c>
      <c r="F425" s="606">
        <v>0.034</v>
      </c>
      <c r="G425" s="165">
        <v>0.022</v>
      </c>
      <c r="H425" s="165">
        <f>G425</f>
        <v>0.022</v>
      </c>
      <c r="I425" s="165">
        <f aca="true" t="shared" si="88" ref="I425:AI425">H425</f>
        <v>0.022</v>
      </c>
      <c r="J425" s="165">
        <f t="shared" si="88"/>
        <v>0.022</v>
      </c>
      <c r="K425" s="165">
        <f t="shared" si="88"/>
        <v>0.022</v>
      </c>
      <c r="L425" s="165">
        <f t="shared" si="88"/>
        <v>0.022</v>
      </c>
      <c r="M425" s="165">
        <f t="shared" si="88"/>
        <v>0.022</v>
      </c>
      <c r="N425" s="165">
        <f t="shared" si="88"/>
        <v>0.022</v>
      </c>
      <c r="O425" s="165">
        <f t="shared" si="88"/>
        <v>0.022</v>
      </c>
      <c r="P425" s="165">
        <f t="shared" si="88"/>
        <v>0.022</v>
      </c>
      <c r="Q425" s="165">
        <f t="shared" si="88"/>
        <v>0.022</v>
      </c>
      <c r="R425" s="165">
        <f t="shared" si="88"/>
        <v>0.022</v>
      </c>
      <c r="S425" s="165">
        <f t="shared" si="88"/>
        <v>0.022</v>
      </c>
      <c r="T425" s="165">
        <f t="shared" si="88"/>
        <v>0.022</v>
      </c>
      <c r="U425" s="165">
        <f t="shared" si="88"/>
        <v>0.022</v>
      </c>
      <c r="V425" s="165">
        <f t="shared" si="88"/>
        <v>0.022</v>
      </c>
      <c r="W425" s="165">
        <f t="shared" si="88"/>
        <v>0.022</v>
      </c>
      <c r="X425" s="165">
        <f t="shared" si="88"/>
        <v>0.022</v>
      </c>
      <c r="Y425" s="165">
        <f t="shared" si="88"/>
        <v>0.022</v>
      </c>
      <c r="Z425" s="165">
        <f t="shared" si="88"/>
        <v>0.022</v>
      </c>
      <c r="AA425" s="165">
        <f t="shared" si="88"/>
        <v>0.022</v>
      </c>
      <c r="AB425" s="165">
        <f t="shared" si="88"/>
        <v>0.022</v>
      </c>
      <c r="AC425" s="165">
        <f t="shared" si="88"/>
        <v>0.022</v>
      </c>
      <c r="AD425" s="165">
        <f t="shared" si="88"/>
        <v>0.022</v>
      </c>
      <c r="AE425" s="165">
        <f t="shared" si="88"/>
        <v>0.022</v>
      </c>
      <c r="AF425" s="165">
        <f t="shared" si="88"/>
        <v>0.022</v>
      </c>
      <c r="AG425" s="165">
        <f t="shared" si="88"/>
        <v>0.022</v>
      </c>
      <c r="AH425" s="165">
        <f t="shared" si="88"/>
        <v>0.022</v>
      </c>
      <c r="AI425" s="165">
        <f t="shared" si="88"/>
        <v>0.022</v>
      </c>
    </row>
    <row r="426" spans="1:35" s="157" customFormat="1" ht="12.75">
      <c r="A426" s="158" t="s">
        <v>106</v>
      </c>
      <c r="B426" s="166">
        <v>1</v>
      </c>
      <c r="C426" s="855">
        <f>ROUND(B426*(1+C425),2)</f>
        <v>1.03</v>
      </c>
      <c r="D426" s="855">
        <f>ROUND(C426*(1+D425),2)</f>
        <v>1.07</v>
      </c>
      <c r="E426" s="167">
        <f aca="true" t="shared" si="89" ref="E426:AG426">ROUND(D426*(1+E425),2)</f>
        <v>1.11</v>
      </c>
      <c r="F426" s="167">
        <f t="shared" si="89"/>
        <v>1.15</v>
      </c>
      <c r="G426" s="167">
        <f t="shared" si="89"/>
        <v>1.18</v>
      </c>
      <c r="H426" s="167">
        <f t="shared" si="89"/>
        <v>1.21</v>
      </c>
      <c r="I426" s="167">
        <f t="shared" si="89"/>
        <v>1.24</v>
      </c>
      <c r="J426" s="167">
        <f t="shared" si="89"/>
        <v>1.27</v>
      </c>
      <c r="K426" s="167">
        <f t="shared" si="89"/>
        <v>1.3</v>
      </c>
      <c r="L426" s="167">
        <f t="shared" si="89"/>
        <v>1.33</v>
      </c>
      <c r="M426" s="167">
        <f t="shared" si="89"/>
        <v>1.36</v>
      </c>
      <c r="N426" s="167">
        <f t="shared" si="89"/>
        <v>1.39</v>
      </c>
      <c r="O426" s="167">
        <f t="shared" si="89"/>
        <v>1.42</v>
      </c>
      <c r="P426" s="167">
        <f t="shared" si="89"/>
        <v>1.45</v>
      </c>
      <c r="Q426" s="167">
        <f t="shared" si="89"/>
        <v>1.48</v>
      </c>
      <c r="R426" s="167">
        <f t="shared" si="89"/>
        <v>1.51</v>
      </c>
      <c r="S426" s="167">
        <f t="shared" si="89"/>
        <v>1.54</v>
      </c>
      <c r="T426" s="167">
        <f t="shared" si="89"/>
        <v>1.57</v>
      </c>
      <c r="U426" s="167">
        <f t="shared" si="89"/>
        <v>1.6</v>
      </c>
      <c r="V426" s="167">
        <f t="shared" si="89"/>
        <v>1.64</v>
      </c>
      <c r="W426" s="167">
        <f t="shared" si="89"/>
        <v>1.68</v>
      </c>
      <c r="X426" s="167">
        <f t="shared" si="89"/>
        <v>1.72</v>
      </c>
      <c r="Y426" s="167">
        <f t="shared" si="89"/>
        <v>1.76</v>
      </c>
      <c r="Z426" s="167">
        <f t="shared" si="89"/>
        <v>1.8</v>
      </c>
      <c r="AA426" s="167">
        <f t="shared" si="89"/>
        <v>1.84</v>
      </c>
      <c r="AB426" s="167">
        <f t="shared" si="89"/>
        <v>1.88</v>
      </c>
      <c r="AC426" s="167">
        <f t="shared" si="89"/>
        <v>1.92</v>
      </c>
      <c r="AD426" s="167">
        <f t="shared" si="89"/>
        <v>1.96</v>
      </c>
      <c r="AE426" s="167">
        <f t="shared" si="89"/>
        <v>2</v>
      </c>
      <c r="AF426" s="167">
        <f t="shared" si="89"/>
        <v>2.04</v>
      </c>
      <c r="AG426" s="167">
        <f t="shared" si="89"/>
        <v>2.08</v>
      </c>
      <c r="AH426" s="167">
        <f>ROUND(AG426*(1+AH425),2)</f>
        <v>2.13</v>
      </c>
      <c r="AI426" s="167">
        <f>ROUND(AH426*(1+AI425),2)</f>
        <v>2.18</v>
      </c>
    </row>
    <row r="427" spans="1:35" s="157" customFormat="1" ht="12.75">
      <c r="A427" s="159" t="s">
        <v>108</v>
      </c>
      <c r="B427" s="950">
        <v>0.03</v>
      </c>
      <c r="C427" s="606">
        <v>0.02</v>
      </c>
      <c r="D427" s="606">
        <v>0.02</v>
      </c>
      <c r="E427" s="606">
        <v>0.02</v>
      </c>
      <c r="F427" s="606">
        <v>0.02</v>
      </c>
      <c r="G427" s="165">
        <v>0.02</v>
      </c>
      <c r="H427" s="165">
        <f>G427</f>
        <v>0.02</v>
      </c>
      <c r="I427" s="165">
        <f aca="true" t="shared" si="90" ref="I427:AI427">H427</f>
        <v>0.02</v>
      </c>
      <c r="J427" s="165">
        <f t="shared" si="90"/>
        <v>0.02</v>
      </c>
      <c r="K427" s="165">
        <f t="shared" si="90"/>
        <v>0.02</v>
      </c>
      <c r="L427" s="165">
        <f t="shared" si="90"/>
        <v>0.02</v>
      </c>
      <c r="M427" s="165">
        <f t="shared" si="90"/>
        <v>0.02</v>
      </c>
      <c r="N427" s="165">
        <f t="shared" si="90"/>
        <v>0.02</v>
      </c>
      <c r="O427" s="165">
        <f t="shared" si="90"/>
        <v>0.02</v>
      </c>
      <c r="P427" s="165">
        <f t="shared" si="90"/>
        <v>0.02</v>
      </c>
      <c r="Q427" s="165">
        <f t="shared" si="90"/>
        <v>0.02</v>
      </c>
      <c r="R427" s="165">
        <f t="shared" si="90"/>
        <v>0.02</v>
      </c>
      <c r="S427" s="165">
        <f t="shared" si="90"/>
        <v>0.02</v>
      </c>
      <c r="T427" s="165">
        <f t="shared" si="90"/>
        <v>0.02</v>
      </c>
      <c r="U427" s="165">
        <f t="shared" si="90"/>
        <v>0.02</v>
      </c>
      <c r="V427" s="165">
        <f t="shared" si="90"/>
        <v>0.02</v>
      </c>
      <c r="W427" s="165">
        <f t="shared" si="90"/>
        <v>0.02</v>
      </c>
      <c r="X427" s="165">
        <f t="shared" si="90"/>
        <v>0.02</v>
      </c>
      <c r="Y427" s="165">
        <f t="shared" si="90"/>
        <v>0.02</v>
      </c>
      <c r="Z427" s="165">
        <f t="shared" si="90"/>
        <v>0.02</v>
      </c>
      <c r="AA427" s="165">
        <f t="shared" si="90"/>
        <v>0.02</v>
      </c>
      <c r="AB427" s="165">
        <f t="shared" si="90"/>
        <v>0.02</v>
      </c>
      <c r="AC427" s="165">
        <f t="shared" si="90"/>
        <v>0.02</v>
      </c>
      <c r="AD427" s="165">
        <f t="shared" si="90"/>
        <v>0.02</v>
      </c>
      <c r="AE427" s="165">
        <f t="shared" si="90"/>
        <v>0.02</v>
      </c>
      <c r="AF427" s="165">
        <f t="shared" si="90"/>
        <v>0.02</v>
      </c>
      <c r="AG427" s="165">
        <f t="shared" si="90"/>
        <v>0.02</v>
      </c>
      <c r="AH427" s="165">
        <f t="shared" si="90"/>
        <v>0.02</v>
      </c>
      <c r="AI427" s="165">
        <f t="shared" si="90"/>
        <v>0.02</v>
      </c>
    </row>
    <row r="428" spans="1:35" s="157" customFormat="1" ht="12.75">
      <c r="A428" s="158" t="s">
        <v>106</v>
      </c>
      <c r="B428" s="166">
        <v>1</v>
      </c>
      <c r="C428" s="855">
        <f aca="true" t="shared" si="91" ref="C428:AG428">ROUND(B428*(1+C427),2)</f>
        <v>1.02</v>
      </c>
      <c r="D428" s="855">
        <f t="shared" si="91"/>
        <v>1.04</v>
      </c>
      <c r="E428" s="167">
        <f t="shared" si="91"/>
        <v>1.06</v>
      </c>
      <c r="F428" s="167">
        <f t="shared" si="91"/>
        <v>1.08</v>
      </c>
      <c r="G428" s="167">
        <f t="shared" si="91"/>
        <v>1.1</v>
      </c>
      <c r="H428" s="167">
        <f t="shared" si="91"/>
        <v>1.12</v>
      </c>
      <c r="I428" s="167">
        <f t="shared" si="91"/>
        <v>1.14</v>
      </c>
      <c r="J428" s="167">
        <f t="shared" si="91"/>
        <v>1.16</v>
      </c>
      <c r="K428" s="167">
        <f t="shared" si="91"/>
        <v>1.18</v>
      </c>
      <c r="L428" s="167">
        <f t="shared" si="91"/>
        <v>1.2</v>
      </c>
      <c r="M428" s="167">
        <f t="shared" si="91"/>
        <v>1.22</v>
      </c>
      <c r="N428" s="167">
        <f t="shared" si="91"/>
        <v>1.24</v>
      </c>
      <c r="O428" s="167">
        <f t="shared" si="91"/>
        <v>1.26</v>
      </c>
      <c r="P428" s="167">
        <f t="shared" si="91"/>
        <v>1.29</v>
      </c>
      <c r="Q428" s="167">
        <f t="shared" si="91"/>
        <v>1.32</v>
      </c>
      <c r="R428" s="167">
        <f t="shared" si="91"/>
        <v>1.35</v>
      </c>
      <c r="S428" s="167">
        <f t="shared" si="91"/>
        <v>1.38</v>
      </c>
      <c r="T428" s="167">
        <f t="shared" si="91"/>
        <v>1.41</v>
      </c>
      <c r="U428" s="167">
        <f t="shared" si="91"/>
        <v>1.44</v>
      </c>
      <c r="V428" s="167">
        <f t="shared" si="91"/>
        <v>1.47</v>
      </c>
      <c r="W428" s="167">
        <f t="shared" si="91"/>
        <v>1.5</v>
      </c>
      <c r="X428" s="167">
        <f t="shared" si="91"/>
        <v>1.53</v>
      </c>
      <c r="Y428" s="167">
        <f t="shared" si="91"/>
        <v>1.56</v>
      </c>
      <c r="Z428" s="167">
        <f t="shared" si="91"/>
        <v>1.59</v>
      </c>
      <c r="AA428" s="167">
        <f t="shared" si="91"/>
        <v>1.62</v>
      </c>
      <c r="AB428" s="167">
        <f t="shared" si="91"/>
        <v>1.65</v>
      </c>
      <c r="AC428" s="167">
        <f t="shared" si="91"/>
        <v>1.68</v>
      </c>
      <c r="AD428" s="167">
        <f t="shared" si="91"/>
        <v>1.71</v>
      </c>
      <c r="AE428" s="167">
        <f t="shared" si="91"/>
        <v>1.74</v>
      </c>
      <c r="AF428" s="167">
        <f t="shared" si="91"/>
        <v>1.77</v>
      </c>
      <c r="AG428" s="167">
        <f t="shared" si="91"/>
        <v>1.81</v>
      </c>
      <c r="AH428" s="167">
        <f>ROUND(AG428*(1+AH427),2)</f>
        <v>1.85</v>
      </c>
      <c r="AI428" s="167">
        <f>ROUND(AH428*(1+AI427),2)</f>
        <v>1.89</v>
      </c>
    </row>
    <row r="429" spans="1:35" ht="12.75">
      <c r="A429" s="158" t="s">
        <v>109</v>
      </c>
      <c r="B429" s="168">
        <v>0.22</v>
      </c>
      <c r="C429" s="168">
        <v>0.22</v>
      </c>
      <c r="D429" s="168">
        <v>0.22</v>
      </c>
      <c r="E429" s="168">
        <f aca="true" t="shared" si="92" ref="E429:AG429">D429</f>
        <v>0.22</v>
      </c>
      <c r="F429" s="168">
        <f t="shared" si="92"/>
        <v>0.22</v>
      </c>
      <c r="G429" s="168">
        <f t="shared" si="92"/>
        <v>0.22</v>
      </c>
      <c r="H429" s="168">
        <f t="shared" si="92"/>
        <v>0.22</v>
      </c>
      <c r="I429" s="168">
        <f t="shared" si="92"/>
        <v>0.22</v>
      </c>
      <c r="J429" s="168">
        <f t="shared" si="92"/>
        <v>0.22</v>
      </c>
      <c r="K429" s="168">
        <f t="shared" si="92"/>
        <v>0.22</v>
      </c>
      <c r="L429" s="168">
        <f t="shared" si="92"/>
        <v>0.22</v>
      </c>
      <c r="M429" s="168">
        <f t="shared" si="92"/>
        <v>0.22</v>
      </c>
      <c r="N429" s="168">
        <f t="shared" si="92"/>
        <v>0.22</v>
      </c>
      <c r="O429" s="168">
        <f t="shared" si="92"/>
        <v>0.22</v>
      </c>
      <c r="P429" s="168">
        <f t="shared" si="92"/>
        <v>0.22</v>
      </c>
      <c r="Q429" s="168">
        <f t="shared" si="92"/>
        <v>0.22</v>
      </c>
      <c r="R429" s="168">
        <f t="shared" si="92"/>
        <v>0.22</v>
      </c>
      <c r="S429" s="168">
        <f t="shared" si="92"/>
        <v>0.22</v>
      </c>
      <c r="T429" s="168">
        <f t="shared" si="92"/>
        <v>0.22</v>
      </c>
      <c r="U429" s="168">
        <f t="shared" si="92"/>
        <v>0.22</v>
      </c>
      <c r="V429" s="168">
        <f t="shared" si="92"/>
        <v>0.22</v>
      </c>
      <c r="W429" s="168">
        <f t="shared" si="92"/>
        <v>0.22</v>
      </c>
      <c r="X429" s="168">
        <f t="shared" si="92"/>
        <v>0.22</v>
      </c>
      <c r="Y429" s="168">
        <f t="shared" si="92"/>
        <v>0.22</v>
      </c>
      <c r="Z429" s="168">
        <f t="shared" si="92"/>
        <v>0.22</v>
      </c>
      <c r="AA429" s="168">
        <f t="shared" si="92"/>
        <v>0.22</v>
      </c>
      <c r="AB429" s="168">
        <f t="shared" si="92"/>
        <v>0.22</v>
      </c>
      <c r="AC429" s="168">
        <f t="shared" si="92"/>
        <v>0.22</v>
      </c>
      <c r="AD429" s="168">
        <f t="shared" si="92"/>
        <v>0.22</v>
      </c>
      <c r="AE429" s="168">
        <f t="shared" si="92"/>
        <v>0.22</v>
      </c>
      <c r="AF429" s="168">
        <f t="shared" si="92"/>
        <v>0.22</v>
      </c>
      <c r="AG429" s="168">
        <f t="shared" si="92"/>
        <v>0.22</v>
      </c>
      <c r="AH429" s="168">
        <f>AG429</f>
        <v>0.22</v>
      </c>
      <c r="AI429" s="168">
        <f>AH429</f>
        <v>0.22</v>
      </c>
    </row>
    <row r="430" spans="1:35" ht="12.75">
      <c r="A430" s="158" t="s">
        <v>110</v>
      </c>
      <c r="B430" s="169">
        <v>0.2409</v>
      </c>
      <c r="C430" s="169">
        <v>0.2409</v>
      </c>
      <c r="D430" s="169">
        <v>0.2409</v>
      </c>
      <c r="E430" s="169">
        <v>0.2409</v>
      </c>
      <c r="F430" s="169">
        <v>0.2409</v>
      </c>
      <c r="G430" s="169">
        <v>0.2409</v>
      </c>
      <c r="H430" s="169">
        <v>0.2409</v>
      </c>
      <c r="I430" s="169">
        <v>0.2409</v>
      </c>
      <c r="J430" s="169">
        <v>0.2409</v>
      </c>
      <c r="K430" s="169">
        <v>0.2409</v>
      </c>
      <c r="L430" s="169">
        <v>0.2409</v>
      </c>
      <c r="M430" s="169">
        <v>0.2409</v>
      </c>
      <c r="N430" s="169">
        <v>0.2409</v>
      </c>
      <c r="O430" s="169">
        <v>0.2409</v>
      </c>
      <c r="P430" s="169">
        <v>0.2409</v>
      </c>
      <c r="Q430" s="169">
        <v>0.2409</v>
      </c>
      <c r="R430" s="169">
        <v>0.2409</v>
      </c>
      <c r="S430" s="169">
        <v>0.2409</v>
      </c>
      <c r="T430" s="169">
        <v>0.2409</v>
      </c>
      <c r="U430" s="169">
        <v>0.2409</v>
      </c>
      <c r="V430" s="169">
        <v>0.2409</v>
      </c>
      <c r="W430" s="169">
        <v>0.2409</v>
      </c>
      <c r="X430" s="169">
        <v>0.2409</v>
      </c>
      <c r="Y430" s="169">
        <v>0.2409</v>
      </c>
      <c r="Z430" s="169">
        <v>0.2409</v>
      </c>
      <c r="AA430" s="169">
        <v>0.2409</v>
      </c>
      <c r="AB430" s="169">
        <v>0.2409</v>
      </c>
      <c r="AC430" s="169">
        <v>0.2409</v>
      </c>
      <c r="AD430" s="169">
        <v>0.2409</v>
      </c>
      <c r="AE430" s="169">
        <v>0.2409</v>
      </c>
      <c r="AF430" s="169">
        <v>0.2409</v>
      </c>
      <c r="AG430" s="169">
        <v>0.2409</v>
      </c>
      <c r="AH430" s="169">
        <v>0.2409</v>
      </c>
      <c r="AI430" s="169">
        <v>0.2409</v>
      </c>
    </row>
    <row r="431" spans="1:35" ht="12.75">
      <c r="A431" s="158" t="s">
        <v>111</v>
      </c>
      <c r="B431" s="168">
        <v>0.15</v>
      </c>
      <c r="C431" s="168">
        <v>0.15</v>
      </c>
      <c r="D431" s="168">
        <v>0.15</v>
      </c>
      <c r="E431" s="168">
        <v>0.15</v>
      </c>
      <c r="F431" s="168">
        <v>0.15</v>
      </c>
      <c r="G431" s="168">
        <v>0.15</v>
      </c>
      <c r="H431" s="168">
        <v>0.15</v>
      </c>
      <c r="I431" s="168">
        <v>0.15</v>
      </c>
      <c r="J431" s="168">
        <v>0.15</v>
      </c>
      <c r="K431" s="168">
        <v>0.15</v>
      </c>
      <c r="L431" s="168">
        <v>0.15</v>
      </c>
      <c r="M431" s="168">
        <v>0.15</v>
      </c>
      <c r="N431" s="168">
        <v>0.15</v>
      </c>
      <c r="O431" s="168">
        <v>0.15</v>
      </c>
      <c r="P431" s="168">
        <v>0.15</v>
      </c>
      <c r="Q431" s="168">
        <v>0.15</v>
      </c>
      <c r="R431" s="168">
        <v>0.15</v>
      </c>
      <c r="S431" s="168">
        <v>0.15</v>
      </c>
      <c r="T431" s="168">
        <v>0.15</v>
      </c>
      <c r="U431" s="168">
        <v>0.15</v>
      </c>
      <c r="V431" s="168">
        <v>0.15</v>
      </c>
      <c r="W431" s="168">
        <v>0.15</v>
      </c>
      <c r="X431" s="168">
        <v>0.15</v>
      </c>
      <c r="Y431" s="168">
        <v>0.15</v>
      </c>
      <c r="Z431" s="168">
        <v>0.15</v>
      </c>
      <c r="AA431" s="168">
        <v>0.15</v>
      </c>
      <c r="AB431" s="168">
        <v>0.15</v>
      </c>
      <c r="AC431" s="168">
        <v>0.15</v>
      </c>
      <c r="AD431" s="168">
        <v>0.15</v>
      </c>
      <c r="AE431" s="168">
        <v>0.15</v>
      </c>
      <c r="AF431" s="168">
        <v>0.15</v>
      </c>
      <c r="AG431" s="168">
        <v>0.15</v>
      </c>
      <c r="AH431" s="168">
        <v>0.15</v>
      </c>
      <c r="AI431" s="168">
        <v>0.15</v>
      </c>
    </row>
    <row r="432" spans="1:35" ht="12.75">
      <c r="A432" s="160" t="s">
        <v>112</v>
      </c>
      <c r="B432" s="856">
        <v>0.07</v>
      </c>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row>
    <row r="433" spans="1:35" ht="12.75">
      <c r="A433" s="161" t="s">
        <v>377</v>
      </c>
      <c r="B433" s="170">
        <v>0.22</v>
      </c>
      <c r="C433" s="170">
        <v>0.22</v>
      </c>
      <c r="D433" s="170">
        <v>0.22</v>
      </c>
      <c r="E433" s="170">
        <v>0.22</v>
      </c>
      <c r="F433" s="170">
        <v>0.22</v>
      </c>
      <c r="G433" s="170">
        <v>0.22</v>
      </c>
      <c r="H433" s="170">
        <v>0.22</v>
      </c>
      <c r="I433" s="170">
        <v>0.22</v>
      </c>
      <c r="J433" s="170">
        <v>0.22</v>
      </c>
      <c r="K433" s="170">
        <v>0.22</v>
      </c>
      <c r="L433" s="170">
        <v>0.22</v>
      </c>
      <c r="M433" s="170">
        <v>0.22</v>
      </c>
      <c r="N433" s="170">
        <v>0.22</v>
      </c>
      <c r="O433" s="170">
        <v>0.22</v>
      </c>
      <c r="P433" s="170">
        <v>0.22</v>
      </c>
      <c r="Q433" s="170">
        <v>0.22</v>
      </c>
      <c r="R433" s="170">
        <v>0.22</v>
      </c>
      <c r="S433" s="170">
        <v>0.22</v>
      </c>
      <c r="T433" s="170">
        <v>0.22</v>
      </c>
      <c r="U433" s="170">
        <v>0.22</v>
      </c>
      <c r="V433" s="170">
        <v>0.22</v>
      </c>
      <c r="W433" s="170">
        <v>0.22</v>
      </c>
      <c r="X433" s="170">
        <v>0.22</v>
      </c>
      <c r="Y433" s="170">
        <v>0.22</v>
      </c>
      <c r="Z433" s="170">
        <v>0.22</v>
      </c>
      <c r="AA433" s="170">
        <v>0.22</v>
      </c>
      <c r="AB433" s="170">
        <v>0.22</v>
      </c>
      <c r="AC433" s="170">
        <v>0.22</v>
      </c>
      <c r="AD433" s="170">
        <v>0.22</v>
      </c>
      <c r="AE433" s="170">
        <v>0.22</v>
      </c>
      <c r="AF433" s="170">
        <v>0.22</v>
      </c>
      <c r="AG433" s="170">
        <v>0.22</v>
      </c>
      <c r="AH433" s="170">
        <v>0.22</v>
      </c>
      <c r="AI433" s="170">
        <v>0.22</v>
      </c>
    </row>
    <row r="434" ht="12.75">
      <c r="B434" s="857">
        <f>AVERAGE(C423:AI423)</f>
        <v>0.02012121212121213</v>
      </c>
    </row>
    <row r="435" spans="1:2" ht="12.75">
      <c r="A435" s="1" t="s">
        <v>534</v>
      </c>
      <c r="B435" s="858">
        <v>0.05</v>
      </c>
    </row>
    <row r="436" ht="12.75"/>
    <row r="437" ht="12.75"/>
    <row r="438" ht="12.75"/>
    <row r="439" ht="12.75"/>
    <row r="441" ht="12.75"/>
    <row r="442" ht="12.75"/>
    <row r="444" ht="12.75"/>
    <row r="445" ht="12.75"/>
    <row r="446" ht="12.75"/>
    <row r="447" ht="12.75"/>
    <row r="448" ht="12.75"/>
    <row r="449" ht="12.75"/>
    <row r="451" ht="12.75"/>
    <row r="452" ht="12.75"/>
    <row r="453" ht="12.75"/>
    <row r="454" ht="12.75"/>
    <row r="455" ht="12.75"/>
    <row r="456"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sheetData>
  <sheetProtection/>
  <mergeCells count="4">
    <mergeCell ref="B8:D8"/>
    <mergeCell ref="B353:F353"/>
    <mergeCell ref="A418:H418"/>
    <mergeCell ref="G81:M81"/>
  </mergeCells>
  <conditionalFormatting sqref="G353">
    <cfRule type="cellIs" priority="4" dxfId="0" operator="notBetween" stopIfTrue="1">
      <formula>0.02</formula>
      <formula>0.04</formula>
    </cfRule>
  </conditionalFormatting>
  <conditionalFormatting sqref="B88 B92 B4 B8:D8">
    <cfRule type="cellIs" priority="2" dxfId="0" operator="equal" stopIfTrue="1">
      <formula>"Ierakstīt pašvaldības nosaukumu"</formula>
    </cfRule>
  </conditionalFormatting>
  <conditionalFormatting sqref="B82:C82">
    <cfRule type="cellIs" priority="1" dxfId="0" operator="notEqual" stopIfTrue="1">
      <formula>1</formula>
    </cfRule>
  </conditionalFormatting>
  <dataValidations count="18">
    <dataValidation type="decimal" allowBlank="1" showErrorMessage="1" error="ERAF līdzfinansējuma likme nevar būt mazāka par 0% un pārsniegt 85%" sqref="B79">
      <formula1>0</formula1>
      <formula2>B81</formula2>
    </dataValidation>
    <dataValidation type="decimal" operator="greaterThanOrEqual" allowBlank="1" showErrorMessage="1" error="Jāievada pozitīvs skaitlis" sqref="B405:AG405 B407:AG407 B383 B376:AG376 B373 A341:AI342 A343 C343 A346:A348 B340:AI342 B322:AI337 B74:C74 B78 B20:AI20">
      <formula1>0</formula1>
    </dataValidation>
    <dataValidation operator="equal" allowBlank="1" showErrorMessage="1" error="Jāievada skaitlis" sqref="C184:D203">
      <formula1>0</formula1>
    </dataValidation>
    <dataValidation operator="equal" allowBlank="1" showErrorMessage="1" error="Jāievada pozitīvs skaitlis" sqref="B73 B365:F366 B28:B30 B368:F372">
      <formula1>0</formula1>
    </dataValidation>
    <dataValidation operator="equal" allowBlank="1" showErrorMessage="1" errorTitle="Jāievada pozitīvs skaitlis" error="Jāievada pozitīvs skaitlis" sqref="C271:AJ272 C254:AJ254 B280:B294 C293:AJ294 C237:AJ238 C288:AJ288 C236:D236 B236:B239 C287:G287 C273:D273 C179:AG179 C168:D168 B133:B180 H229:AG231 B229:G229 AH230:AJ231 B42:F56 C239:D239 B271:B273 B246:B263 B204:B227 C208:AG227 C247:AJ247 C248:D253 C255:D256 C246:H246 C281:AJ281 C280:G280 C289:D292 C263:D263 C257:AJ262 H43:AI49 P42:AI42 G50:AI67 C282:D286 E202:AI202 E191:AG191">
      <formula1>0</formula1>
    </dataValidation>
    <dataValidation type="decimal" operator="greaterThanOrEqual" allowBlank="1" showErrorMessage="1" errorTitle="Jāievada pozitīvs skaitlis" error="Jāievada pozitīvs skaitlis" sqref="B301:AI318">
      <formula1>0</formula1>
    </dataValidation>
    <dataValidation type="list" operator="equal" allowBlank="1" showInputMessage="1" showErrorMessage="1" prompt="Izvēlieties veikt analīzi variantam AR vai BEZ projekta" sqref="B349">
      <formula1>$B$350:$B$351</formula1>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353">
      <formula1>$B$354:$B$355</formula1>
    </dataValidation>
    <dataValidation type="list" operator="equal" allowBlank="1" showInputMessage="1" showErrorMessage="1" promptTitle="Tarifa aprēķins" prompt="Izvēlieties vai tarifa aprēķinā iekļaut aizņēmumu projekta īstenošanai, vai kopējo pamatlīdzekļu nolietojumu." sqref="B357">
      <formula1>$B$358:$B$359</formula1>
    </dataValidation>
    <dataValidation type="decimal" allowBlank="1" showErrorMessage="1" error="Jāievada pozitīvs skaitlis, ne lielāks kā 7%" sqref="B361">
      <formula1>0</formula1>
      <formula2>0.07</formula2>
    </dataValidation>
    <dataValidation type="list" operator="equal" allowBlank="1" showErrorMessage="1" sqref="B88">
      <formula1>$B$89:$B$90</formula1>
    </dataValidation>
    <dataValidation type="list" operator="equal" allowBlank="1" showErrorMessage="1" sqref="B92">
      <formula1>$B$93:$B$94</formula1>
    </dataValidation>
    <dataValidation type="decimal" operator="greaterThan" allowBlank="1" showErrorMessage="1" error="Jāievada pozitīvs skaitlis" sqref="C73 B76 B75:C75 B41 B77:C77">
      <formula1>0</formula1>
    </dataValidation>
    <dataValidation type="decimal" operator="lessThanOrEqual" allowBlank="1" showErrorMessage="1" error="Nedrīkst pārsniegt 85%" sqref="B81">
      <formula1>0.85</formula1>
    </dataValidation>
    <dataValidation errorStyle="warning" type="whole" operator="equal" allowBlank="1" showInputMessage="1" showErrorMessage="1" prompt="Jābūt 100%" sqref="B82:C82">
      <formula1>1</formula1>
    </dataValidation>
    <dataValidation type="whole" allowBlank="1" showErrorMessage="1" error="Jāievada vesels skaitlis starp 0 un 40" sqref="B85:B86">
      <formula1>0</formula1>
      <formula2>40</formula2>
    </dataValidation>
    <dataValidation type="list" operator="equal" allowBlank="1" showErrorMessage="1" sqref="B8">
      <formula1>$B$9:$B$10</formula1>
    </dataValidation>
    <dataValidation type="whole" operator="greaterThan" allowBlank="1" showErrorMessage="1" error="Jāievada pozitīvs skaitlis" sqref="B23:B27 B31">
      <formula1>0</formula1>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A72"/>
  <sheetViews>
    <sheetView zoomScalePageLayoutView="0" workbookViewId="0" topLeftCell="A4">
      <pane xSplit="7" topLeftCell="H1" activePane="topRight" state="frozen"/>
      <selection pane="topLeft" activeCell="A4" sqref="A4"/>
      <selection pane="topRight" activeCell="V36" sqref="V36"/>
    </sheetView>
  </sheetViews>
  <sheetFormatPr defaultColWidth="9.140625" defaultRowHeight="11.25" outlineLevelCol="1"/>
  <cols>
    <col min="1" max="1" width="38.57421875" style="772" customWidth="1"/>
    <col min="2" max="2" width="18.00390625" style="772" customWidth="1"/>
    <col min="3" max="3" width="13.57421875" style="772" customWidth="1"/>
    <col min="4" max="4" width="13.00390625" style="772" hidden="1" customWidth="1"/>
    <col min="5" max="5" width="8.140625" style="772" hidden="1" customWidth="1"/>
    <col min="6" max="6" width="11.57421875" style="772" hidden="1" customWidth="1"/>
    <col min="7" max="7" width="8.140625" style="772" hidden="1" customWidth="1"/>
    <col min="8" max="8" width="10.421875" style="772" hidden="1" customWidth="1" outlineLevel="1"/>
    <col min="9" max="9" width="7.28125" style="772" hidden="1" customWidth="1" outlineLevel="1"/>
    <col min="10" max="10" width="7.421875" style="772" hidden="1" customWidth="1" outlineLevel="1"/>
    <col min="11" max="11" width="11.421875" style="848" hidden="1" customWidth="1" outlineLevel="1"/>
    <col min="12" max="13" width="10.421875" style="772" hidden="1" customWidth="1" outlineLevel="1"/>
    <col min="14" max="14" width="10.57421875" style="772" hidden="1" customWidth="1" outlineLevel="1"/>
    <col min="15" max="15" width="10.28125" style="772" hidden="1" customWidth="1" outlineLevel="1"/>
    <col min="16" max="16" width="10.8515625" style="772" hidden="1" customWidth="1" outlineLevel="1"/>
    <col min="17" max="17" width="10.00390625" style="772" hidden="1" customWidth="1" outlineLevel="1"/>
    <col min="18" max="18" width="10.421875" style="772" hidden="1" customWidth="1" outlineLevel="1"/>
    <col min="19" max="19" width="11.140625" style="772" hidden="1" customWidth="1" outlineLevel="1"/>
    <col min="20" max="20" width="10.8515625" style="772" bestFit="1" customWidth="1" collapsed="1"/>
    <col min="21" max="21" width="12.8515625" style="772" customWidth="1" outlineLevel="1"/>
    <col min="22" max="22" width="10.7109375" style="848" customWidth="1" outlineLevel="1"/>
    <col min="23" max="23" width="11.57421875" style="772" customWidth="1" outlineLevel="1"/>
    <col min="24" max="24" width="12.00390625" style="772" customWidth="1" outlineLevel="1"/>
    <col min="25" max="25" width="10.7109375" style="772" customWidth="1" outlineLevel="1"/>
    <col min="26" max="26" width="11.28125" style="772" customWidth="1" outlineLevel="1"/>
    <col min="27" max="27" width="12.57421875" style="772" customWidth="1" outlineLevel="1"/>
    <col min="28" max="28" width="14.00390625" style="772" customWidth="1" outlineLevel="1"/>
    <col min="29" max="29" width="13.28125" style="772" customWidth="1" outlineLevel="1"/>
    <col min="30" max="30" width="10.8515625" style="772" customWidth="1" outlineLevel="1"/>
    <col min="31" max="31" width="11.7109375" style="772" customWidth="1" outlineLevel="1"/>
    <col min="32" max="32" width="13.00390625" style="772" customWidth="1" outlineLevel="1"/>
    <col min="33" max="33" width="11.57421875" style="772" bestFit="1" customWidth="1"/>
    <col min="34" max="34" width="12.7109375" style="772" customWidth="1" outlineLevel="1"/>
    <col min="35" max="35" width="12.00390625" style="848" customWidth="1" outlineLevel="1"/>
    <col min="36" max="45" width="12.00390625" style="772" customWidth="1" outlineLevel="1"/>
    <col min="46" max="46" width="11.57421875" style="772" bestFit="1" customWidth="1"/>
    <col min="47" max="47" width="3.00390625" style="772" customWidth="1"/>
    <col min="48" max="48" width="13.7109375" style="772" customWidth="1"/>
    <col min="49" max="49" width="15.00390625" style="772" customWidth="1"/>
    <col min="50" max="50" width="25.00390625" style="772" customWidth="1"/>
    <col min="51" max="16384" width="9.140625" style="772" customWidth="1"/>
  </cols>
  <sheetData>
    <row r="1" spans="1:35" s="753" customFormat="1" ht="26.25">
      <c r="A1" s="752"/>
      <c r="C1" s="754"/>
      <c r="E1" s="754"/>
      <c r="G1" s="754"/>
      <c r="K1" s="755"/>
      <c r="V1" s="755"/>
      <c r="AI1" s="755"/>
    </row>
    <row r="2" spans="1:35" s="757" customFormat="1" ht="14.25" customHeight="1">
      <c r="A2" s="756"/>
      <c r="C2" s="758"/>
      <c r="E2" s="756"/>
      <c r="G2" s="756"/>
      <c r="K2" s="759"/>
      <c r="V2" s="759"/>
      <c r="AI2" s="759"/>
    </row>
    <row r="3" spans="1:50" s="757" customFormat="1" ht="14.25" customHeight="1">
      <c r="A3" s="756"/>
      <c r="E3" s="760"/>
      <c r="G3" s="760"/>
      <c r="H3" s="761"/>
      <c r="I3" s="761"/>
      <c r="J3" s="761"/>
      <c r="K3" s="762"/>
      <c r="L3" s="761"/>
      <c r="M3" s="761"/>
      <c r="N3" s="761"/>
      <c r="O3" s="761"/>
      <c r="P3" s="761"/>
      <c r="Q3" s="761"/>
      <c r="R3" s="761"/>
      <c r="S3" s="761"/>
      <c r="T3" s="761"/>
      <c r="U3" s="761"/>
      <c r="V3" s="762"/>
      <c r="W3" s="761"/>
      <c r="X3" s="761"/>
      <c r="Y3" s="761"/>
      <c r="Z3" s="761"/>
      <c r="AA3" s="761"/>
      <c r="AB3" s="761"/>
      <c r="AC3" s="761"/>
      <c r="AD3" s="761"/>
      <c r="AE3" s="761"/>
      <c r="AF3" s="761"/>
      <c r="AG3" s="761"/>
      <c r="AH3" s="761"/>
      <c r="AI3" s="762"/>
      <c r="AJ3" s="761"/>
      <c r="AK3" s="761"/>
      <c r="AL3" s="761"/>
      <c r="AM3" s="761"/>
      <c r="AN3" s="761"/>
      <c r="AO3" s="761"/>
      <c r="AP3" s="761"/>
      <c r="AQ3" s="761"/>
      <c r="AR3" s="761"/>
      <c r="AS3" s="761"/>
      <c r="AT3" s="761"/>
      <c r="AU3" s="761"/>
      <c r="AV3" s="761"/>
      <c r="AW3" s="761"/>
      <c r="AX3" s="761"/>
    </row>
    <row r="4" spans="1:35" s="757" customFormat="1" ht="14.25" customHeight="1">
      <c r="A4" s="756"/>
      <c r="K4" s="759"/>
      <c r="V4" s="759"/>
      <c r="AI4" s="759"/>
    </row>
    <row r="5" spans="1:50" s="757" customFormat="1" ht="14.25" customHeight="1">
      <c r="A5" s="763"/>
      <c r="B5" s="758"/>
      <c r="D5" s="764"/>
      <c r="E5" s="760"/>
      <c r="G5" s="760"/>
      <c r="H5" s="761"/>
      <c r="I5" s="761"/>
      <c r="J5" s="761"/>
      <c r="K5" s="762"/>
      <c r="L5" s="761"/>
      <c r="M5" s="761"/>
      <c r="N5" s="761"/>
      <c r="O5" s="761"/>
      <c r="P5" s="761"/>
      <c r="Q5" s="761"/>
      <c r="R5" s="761"/>
      <c r="S5" s="761"/>
      <c r="T5" s="761"/>
      <c r="U5" s="761"/>
      <c r="V5" s="762"/>
      <c r="W5" s="761"/>
      <c r="X5" s="761"/>
      <c r="Y5" s="761"/>
      <c r="Z5" s="761"/>
      <c r="AA5" s="761"/>
      <c r="AB5" s="761"/>
      <c r="AC5" s="761"/>
      <c r="AD5" s="761"/>
      <c r="AE5" s="761"/>
      <c r="AF5" s="761"/>
      <c r="AG5" s="761"/>
      <c r="AH5" s="761"/>
      <c r="AI5" s="762"/>
      <c r="AJ5" s="761"/>
      <c r="AK5" s="761"/>
      <c r="AL5" s="761"/>
      <c r="AM5" s="761"/>
      <c r="AN5" s="761"/>
      <c r="AO5" s="761"/>
      <c r="AP5" s="761"/>
      <c r="AQ5" s="761"/>
      <c r="AR5" s="761"/>
      <c r="AS5" s="761"/>
      <c r="AT5" s="761"/>
      <c r="AU5" s="761"/>
      <c r="AV5" s="761"/>
      <c r="AW5" s="761"/>
      <c r="AX5" s="761"/>
    </row>
    <row r="6" spans="1:50" s="757" customFormat="1" ht="31.5" customHeight="1">
      <c r="A6" s="1032"/>
      <c r="B6" s="1032"/>
      <c r="D6" s="765"/>
      <c r="E6" s="760"/>
      <c r="F6" s="760"/>
      <c r="G6" s="760"/>
      <c r="H6" s="761"/>
      <c r="I6" s="761"/>
      <c r="J6" s="761"/>
      <c r="K6" s="762"/>
      <c r="L6" s="761"/>
      <c r="M6" s="761"/>
      <c r="N6" s="761"/>
      <c r="O6" s="761"/>
      <c r="P6" s="761"/>
      <c r="Q6" s="761"/>
      <c r="R6" s="761"/>
      <c r="S6" s="761"/>
      <c r="T6" s="761"/>
      <c r="U6" s="761"/>
      <c r="V6" s="762"/>
      <c r="W6" s="761"/>
      <c r="X6" s="761"/>
      <c r="Y6" s="762"/>
      <c r="Z6" s="761"/>
      <c r="AA6" s="761"/>
      <c r="AB6" s="761"/>
      <c r="AC6" s="761"/>
      <c r="AD6" s="761"/>
      <c r="AE6" s="761"/>
      <c r="AF6" s="761"/>
      <c r="AG6" s="761"/>
      <c r="AH6" s="761"/>
      <c r="AI6" s="762"/>
      <c r="AJ6" s="761"/>
      <c r="AK6" s="761"/>
      <c r="AL6" s="761"/>
      <c r="AM6" s="761"/>
      <c r="AN6" s="761"/>
      <c r="AO6" s="761"/>
      <c r="AP6" s="761"/>
      <c r="AQ6" s="761"/>
      <c r="AR6" s="761"/>
      <c r="AS6" s="761"/>
      <c r="AT6" s="761"/>
      <c r="AU6" s="761"/>
      <c r="AV6" s="761"/>
      <c r="AW6" s="761"/>
      <c r="AX6" s="761"/>
    </row>
    <row r="7" spans="1:49" s="767" customFormat="1" ht="15.75" customHeight="1" thickBot="1">
      <c r="A7" s="766"/>
      <c r="H7" s="768"/>
      <c r="I7" s="768"/>
      <c r="J7" s="768"/>
      <c r="K7" s="769"/>
      <c r="L7" s="768"/>
      <c r="M7" s="768"/>
      <c r="N7" s="768"/>
      <c r="O7" s="768"/>
      <c r="P7" s="768"/>
      <c r="Q7" s="768"/>
      <c r="R7" s="768"/>
      <c r="S7" s="768"/>
      <c r="T7" s="770"/>
      <c r="U7" s="768"/>
      <c r="V7" s="769"/>
      <c r="W7" s="768"/>
      <c r="X7" s="768"/>
      <c r="Y7" s="768"/>
      <c r="Z7" s="768"/>
      <c r="AA7" s="768"/>
      <c r="AB7" s="768"/>
      <c r="AC7" s="768"/>
      <c r="AD7" s="768"/>
      <c r="AE7" s="768"/>
      <c r="AF7" s="768"/>
      <c r="AG7" s="770"/>
      <c r="AH7" s="768"/>
      <c r="AI7" s="769"/>
      <c r="AJ7" s="768"/>
      <c r="AK7" s="768"/>
      <c r="AL7" s="768"/>
      <c r="AM7" s="768"/>
      <c r="AN7" s="768"/>
      <c r="AO7" s="768"/>
      <c r="AP7" s="768"/>
      <c r="AQ7" s="768"/>
      <c r="AR7" s="768"/>
      <c r="AS7" s="768"/>
      <c r="AT7" s="770"/>
      <c r="AV7" s="771"/>
      <c r="AW7" s="771"/>
    </row>
    <row r="8" spans="1:49" ht="13.5" customHeight="1" thickTop="1">
      <c r="A8" s="1033" t="s">
        <v>487</v>
      </c>
      <c r="B8" s="1035" t="s">
        <v>488</v>
      </c>
      <c r="C8" s="1021" t="s">
        <v>489</v>
      </c>
      <c r="D8" s="1019" t="s">
        <v>490</v>
      </c>
      <c r="E8" s="1021" t="s">
        <v>491</v>
      </c>
      <c r="F8" s="1019" t="s">
        <v>492</v>
      </c>
      <c r="G8" s="1021" t="s">
        <v>493</v>
      </c>
      <c r="H8" s="1036">
        <v>2011</v>
      </c>
      <c r="I8" s="1024"/>
      <c r="J8" s="1024"/>
      <c r="K8" s="1024"/>
      <c r="L8" s="1024"/>
      <c r="M8" s="1024"/>
      <c r="N8" s="1024"/>
      <c r="O8" s="1024"/>
      <c r="P8" s="1024"/>
      <c r="Q8" s="1024"/>
      <c r="R8" s="1024"/>
      <c r="S8" s="1025"/>
      <c r="T8" s="1026">
        <f>H8</f>
        <v>2011</v>
      </c>
      <c r="U8" s="1023">
        <f>H8+1</f>
        <v>2012</v>
      </c>
      <c r="V8" s="1024"/>
      <c r="W8" s="1024"/>
      <c r="X8" s="1024"/>
      <c r="Y8" s="1024"/>
      <c r="Z8" s="1024"/>
      <c r="AA8" s="1024"/>
      <c r="AB8" s="1024"/>
      <c r="AC8" s="1024"/>
      <c r="AD8" s="1024"/>
      <c r="AE8" s="1024"/>
      <c r="AF8" s="1025"/>
      <c r="AG8" s="1026">
        <f>U8</f>
        <v>2012</v>
      </c>
      <c r="AH8" s="1023">
        <f>U8+1</f>
        <v>2013</v>
      </c>
      <c r="AI8" s="1024"/>
      <c r="AJ8" s="1024"/>
      <c r="AK8" s="1024"/>
      <c r="AL8" s="1024"/>
      <c r="AM8" s="1024"/>
      <c r="AN8" s="1024"/>
      <c r="AO8" s="1024"/>
      <c r="AP8" s="1024"/>
      <c r="AQ8" s="1024"/>
      <c r="AR8" s="1024"/>
      <c r="AS8" s="1025"/>
      <c r="AT8" s="1026">
        <f>AH8</f>
        <v>2013</v>
      </c>
      <c r="AV8" s="1028" t="s">
        <v>494</v>
      </c>
      <c r="AW8" s="1030" t="s">
        <v>495</v>
      </c>
    </row>
    <row r="9" spans="1:49" s="778" customFormat="1" ht="49.5" customHeight="1" thickBot="1">
      <c r="A9" s="1034"/>
      <c r="B9" s="1035"/>
      <c r="C9" s="1022"/>
      <c r="D9" s="1020"/>
      <c r="E9" s="1022"/>
      <c r="F9" s="1020"/>
      <c r="G9" s="1022"/>
      <c r="H9" s="773" t="s">
        <v>496</v>
      </c>
      <c r="I9" s="774" t="s">
        <v>497</v>
      </c>
      <c r="J9" s="774" t="s">
        <v>498</v>
      </c>
      <c r="K9" s="775" t="s">
        <v>499</v>
      </c>
      <c r="L9" s="774" t="s">
        <v>500</v>
      </c>
      <c r="M9" s="774" t="s">
        <v>501</v>
      </c>
      <c r="N9" s="774" t="s">
        <v>502</v>
      </c>
      <c r="O9" s="774" t="s">
        <v>503</v>
      </c>
      <c r="P9" s="774" t="s">
        <v>504</v>
      </c>
      <c r="Q9" s="774" t="s">
        <v>505</v>
      </c>
      <c r="R9" s="774" t="s">
        <v>506</v>
      </c>
      <c r="S9" s="776" t="s">
        <v>507</v>
      </c>
      <c r="T9" s="1027"/>
      <c r="U9" s="777" t="s">
        <v>496</v>
      </c>
      <c r="V9" s="775" t="s">
        <v>497</v>
      </c>
      <c r="W9" s="774" t="s">
        <v>498</v>
      </c>
      <c r="X9" s="774" t="s">
        <v>499</v>
      </c>
      <c r="Y9" s="774" t="s">
        <v>500</v>
      </c>
      <c r="Z9" s="774" t="s">
        <v>501</v>
      </c>
      <c r="AA9" s="774" t="s">
        <v>502</v>
      </c>
      <c r="AB9" s="774" t="s">
        <v>503</v>
      </c>
      <c r="AC9" s="774" t="s">
        <v>504</v>
      </c>
      <c r="AD9" s="774" t="s">
        <v>505</v>
      </c>
      <c r="AE9" s="774" t="s">
        <v>506</v>
      </c>
      <c r="AF9" s="776" t="s">
        <v>507</v>
      </c>
      <c r="AG9" s="1027"/>
      <c r="AH9" s="777" t="s">
        <v>496</v>
      </c>
      <c r="AI9" s="775" t="s">
        <v>497</v>
      </c>
      <c r="AJ9" s="774" t="s">
        <v>498</v>
      </c>
      <c r="AK9" s="774" t="s">
        <v>499</v>
      </c>
      <c r="AL9" s="774" t="s">
        <v>500</v>
      </c>
      <c r="AM9" s="774" t="s">
        <v>501</v>
      </c>
      <c r="AN9" s="774" t="s">
        <v>502</v>
      </c>
      <c r="AO9" s="774" t="s">
        <v>503</v>
      </c>
      <c r="AP9" s="774" t="s">
        <v>504</v>
      </c>
      <c r="AQ9" s="774" t="s">
        <v>505</v>
      </c>
      <c r="AR9" s="774" t="s">
        <v>506</v>
      </c>
      <c r="AS9" s="776" t="s">
        <v>507</v>
      </c>
      <c r="AT9" s="1027"/>
      <c r="AV9" s="1029"/>
      <c r="AW9" s="1031"/>
    </row>
    <row r="10" spans="1:49" s="767" customFormat="1" ht="12.75">
      <c r="A10" s="779" t="s">
        <v>508</v>
      </c>
      <c r="B10" s="779"/>
      <c r="C10" s="780"/>
      <c r="D10" s="781"/>
      <c r="E10" s="782"/>
      <c r="F10" s="781"/>
      <c r="G10" s="782"/>
      <c r="H10" s="783"/>
      <c r="I10" s="784"/>
      <c r="J10" s="783"/>
      <c r="K10" s="461"/>
      <c r="L10" s="783"/>
      <c r="M10" s="783"/>
      <c r="N10" s="783"/>
      <c r="O10" s="783"/>
      <c r="P10" s="783"/>
      <c r="Q10" s="783"/>
      <c r="R10" s="783"/>
      <c r="S10" s="785"/>
      <c r="T10" s="786"/>
      <c r="U10" s="787"/>
      <c r="V10" s="461"/>
      <c r="W10" s="783"/>
      <c r="X10" s="783"/>
      <c r="Y10" s="783"/>
      <c r="Z10" s="783"/>
      <c r="AA10" s="783"/>
      <c r="AB10" s="783"/>
      <c r="AC10" s="783"/>
      <c r="AD10" s="783"/>
      <c r="AE10" s="783" t="s">
        <v>509</v>
      </c>
      <c r="AF10" s="785"/>
      <c r="AG10" s="786"/>
      <c r="AH10" s="787" t="s">
        <v>509</v>
      </c>
      <c r="AI10" s="461"/>
      <c r="AJ10" s="783" t="s">
        <v>509</v>
      </c>
      <c r="AK10" s="783"/>
      <c r="AL10" s="783" t="s">
        <v>509</v>
      </c>
      <c r="AM10" s="783"/>
      <c r="AN10" s="783"/>
      <c r="AO10" s="783"/>
      <c r="AP10" s="783" t="s">
        <v>509</v>
      </c>
      <c r="AQ10" s="783"/>
      <c r="AR10" s="783"/>
      <c r="AS10" s="785"/>
      <c r="AT10" s="786"/>
      <c r="AV10" s="788"/>
      <c r="AW10" s="789"/>
    </row>
    <row r="11" spans="1:49" s="767" customFormat="1" ht="6" customHeight="1">
      <c r="A11" s="779"/>
      <c r="B11" s="790"/>
      <c r="C11" s="791"/>
      <c r="D11" s="792"/>
      <c r="E11" s="793"/>
      <c r="F11" s="792"/>
      <c r="G11" s="793"/>
      <c r="H11" s="794"/>
      <c r="I11" s="794"/>
      <c r="J11" s="794"/>
      <c r="K11" s="794"/>
      <c r="L11" s="794"/>
      <c r="M11" s="794"/>
      <c r="N11" s="794"/>
      <c r="O11" s="794"/>
      <c r="P11" s="794"/>
      <c r="Q11" s="794"/>
      <c r="R11" s="794"/>
      <c r="S11" s="795"/>
      <c r="T11" s="796"/>
      <c r="U11" s="797"/>
      <c r="V11" s="794"/>
      <c r="W11" s="794"/>
      <c r="X11" s="794"/>
      <c r="Y11" s="794"/>
      <c r="Z11" s="794"/>
      <c r="AA11" s="794"/>
      <c r="AB11" s="794"/>
      <c r="AC11" s="794"/>
      <c r="AD11" s="794"/>
      <c r="AE11" s="794"/>
      <c r="AF11" s="795"/>
      <c r="AG11" s="796"/>
      <c r="AH11" s="797"/>
      <c r="AI11" s="794"/>
      <c r="AJ11" s="794"/>
      <c r="AK11" s="794"/>
      <c r="AL11" s="794"/>
      <c r="AM11" s="794"/>
      <c r="AN11" s="794"/>
      <c r="AO11" s="794"/>
      <c r="AP11" s="794"/>
      <c r="AQ11" s="794"/>
      <c r="AR11" s="794"/>
      <c r="AS11" s="795"/>
      <c r="AT11" s="796"/>
      <c r="AV11" s="798"/>
      <c r="AW11" s="799"/>
    </row>
    <row r="12" spans="1:49" s="767" customFormat="1" ht="12.75">
      <c r="A12" s="800" t="s">
        <v>510</v>
      </c>
      <c r="B12" s="790"/>
      <c r="C12" s="801"/>
      <c r="D12" s="802"/>
      <c r="E12" s="803"/>
      <c r="F12" s="802"/>
      <c r="G12" s="803"/>
      <c r="H12" s="804"/>
      <c r="I12" s="804"/>
      <c r="J12" s="804"/>
      <c r="K12" s="804"/>
      <c r="L12" s="804"/>
      <c r="M12" s="804"/>
      <c r="N12" s="804"/>
      <c r="O12" s="804"/>
      <c r="P12" s="804"/>
      <c r="Q12" s="804"/>
      <c r="R12" s="804"/>
      <c r="S12" s="805"/>
      <c r="T12" s="806"/>
      <c r="U12" s="807"/>
      <c r="V12" s="986"/>
      <c r="W12" s="808"/>
      <c r="X12" s="804"/>
      <c r="Y12" s="804"/>
      <c r="Z12" s="804"/>
      <c r="AA12" s="804"/>
      <c r="AB12" s="804"/>
      <c r="AC12" s="804"/>
      <c r="AD12" s="804"/>
      <c r="AE12" s="804"/>
      <c r="AF12" s="805"/>
      <c r="AG12" s="806"/>
      <c r="AH12" s="807"/>
      <c r="AI12" s="804"/>
      <c r="AJ12" s="804"/>
      <c r="AK12" s="804"/>
      <c r="AL12" s="804"/>
      <c r="AM12" s="804"/>
      <c r="AN12" s="804"/>
      <c r="AO12" s="804"/>
      <c r="AP12" s="804"/>
      <c r="AQ12" s="804"/>
      <c r="AR12" s="804"/>
      <c r="AS12" s="805"/>
      <c r="AT12" s="806"/>
      <c r="AV12" s="809"/>
      <c r="AW12" s="810"/>
    </row>
    <row r="13" spans="1:53" s="812" customFormat="1" ht="12.75" customHeight="1">
      <c r="A13" s="811" t="s">
        <v>511</v>
      </c>
      <c r="B13" s="861">
        <f>'Datu ievade'!D79</f>
        <v>298691.7</v>
      </c>
      <c r="C13" s="987">
        <f>B13/$B$16</f>
        <v>0.41591710390001</v>
      </c>
      <c r="D13" s="862"/>
      <c r="E13" s="863"/>
      <c r="F13" s="862"/>
      <c r="G13" s="863"/>
      <c r="H13" s="864"/>
      <c r="I13" s="864"/>
      <c r="J13" s="864"/>
      <c r="K13" s="864"/>
      <c r="L13" s="864"/>
      <c r="M13" s="864"/>
      <c r="N13" s="864"/>
      <c r="O13" s="864"/>
      <c r="P13" s="864"/>
      <c r="Q13" s="864"/>
      <c r="R13" s="864"/>
      <c r="S13" s="865"/>
      <c r="T13" s="866">
        <f>SUM(H13:S13)</f>
        <v>0</v>
      </c>
      <c r="U13" s="867"/>
      <c r="V13" s="868"/>
      <c r="W13" s="869"/>
      <c r="X13" s="869"/>
      <c r="Y13" s="955"/>
      <c r="Z13" s="864"/>
      <c r="AA13" s="868"/>
      <c r="AB13" s="864"/>
      <c r="AC13" s="966"/>
      <c r="AD13" s="864"/>
      <c r="AE13" s="864">
        <f>B13*0.2</f>
        <v>59738.340000000004</v>
      </c>
      <c r="AF13" s="865"/>
      <c r="AG13" s="866">
        <f>SUM(U13:AF13)</f>
        <v>59738.340000000004</v>
      </c>
      <c r="AH13" s="867"/>
      <c r="AI13" s="966">
        <f>(Z22+AC22+AE22)*C13</f>
        <v>55574.84342311934</v>
      </c>
      <c r="AJ13" s="966"/>
      <c r="AK13" s="966">
        <f>AI22*C13</f>
        <v>60779.21414422016</v>
      </c>
      <c r="AL13" s="871"/>
      <c r="AM13" s="864">
        <f>AK22*C13</f>
        <v>60779.21414422016</v>
      </c>
      <c r="AN13" s="868"/>
      <c r="AO13" s="864"/>
      <c r="AP13" s="870"/>
      <c r="AQ13" s="864">
        <f>B13-AM13-AI13-AK13-AE13-AH13</f>
        <v>61820.08828844033</v>
      </c>
      <c r="AR13" s="864"/>
      <c r="AS13" s="865"/>
      <c r="AT13" s="866">
        <f>SUM(AH13:AS13)</f>
        <v>238953.36000000002</v>
      </c>
      <c r="AU13" s="871"/>
      <c r="AV13" s="872">
        <f>T13+AG13+AT13</f>
        <v>298691.7</v>
      </c>
      <c r="AW13" s="990">
        <f>AV13/$AV$16</f>
        <v>0.41591710390001</v>
      </c>
      <c r="AX13" s="813">
        <f aca="true" t="shared" si="0" ref="AX13:AX32">B13-AV13</f>
        <v>0</v>
      </c>
      <c r="AY13" s="814"/>
      <c r="BA13" s="815"/>
    </row>
    <row r="14" spans="1:53" s="812" customFormat="1" ht="12.75" customHeight="1" hidden="1">
      <c r="A14" s="816" t="s">
        <v>512</v>
      </c>
      <c r="B14" s="861">
        <v>0</v>
      </c>
      <c r="C14" s="987">
        <f>B14/$B$16</f>
        <v>0</v>
      </c>
      <c r="D14" s="872"/>
      <c r="E14" s="863"/>
      <c r="F14" s="872"/>
      <c r="G14" s="863"/>
      <c r="H14" s="864"/>
      <c r="I14" s="864"/>
      <c r="J14" s="869"/>
      <c r="K14" s="869"/>
      <c r="L14" s="864"/>
      <c r="M14" s="873"/>
      <c r="N14" s="869"/>
      <c r="O14" s="864"/>
      <c r="P14" s="874"/>
      <c r="Q14" s="864"/>
      <c r="R14" s="864"/>
      <c r="S14" s="865"/>
      <c r="T14" s="866">
        <f>SUM(H14:S14)</f>
        <v>0</v>
      </c>
      <c r="U14" s="875"/>
      <c r="V14" s="868"/>
      <c r="W14" s="869"/>
      <c r="X14" s="869"/>
      <c r="Y14" s="864"/>
      <c r="Z14" s="864"/>
      <c r="AA14" s="868"/>
      <c r="AB14" s="864"/>
      <c r="AC14" s="870"/>
      <c r="AD14" s="864"/>
      <c r="AE14" s="864"/>
      <c r="AF14" s="865"/>
      <c r="AG14" s="866">
        <f>SUM(U14:AF14)</f>
        <v>0</v>
      </c>
      <c r="AH14" s="867"/>
      <c r="AI14" s="966"/>
      <c r="AJ14" s="966"/>
      <c r="AK14" s="966"/>
      <c r="AL14" s="864"/>
      <c r="AM14" s="864"/>
      <c r="AN14" s="868"/>
      <c r="AO14" s="864"/>
      <c r="AP14" s="870"/>
      <c r="AQ14" s="864"/>
      <c r="AR14" s="864"/>
      <c r="AS14" s="865"/>
      <c r="AT14" s="866">
        <f>SUM(AH14:AS14)</f>
        <v>0</v>
      </c>
      <c r="AU14" s="871"/>
      <c r="AV14" s="872">
        <f>T14+AG14+AT14</f>
        <v>0</v>
      </c>
      <c r="AW14" s="990">
        <f>AV14/$AV$16</f>
        <v>0</v>
      </c>
      <c r="AX14" s="813">
        <f t="shared" si="0"/>
        <v>0</v>
      </c>
      <c r="AY14" s="814"/>
      <c r="BA14" s="815"/>
    </row>
    <row r="15" spans="1:53" s="812" customFormat="1" ht="12.75" customHeight="1" thickBot="1">
      <c r="A15" s="816" t="s">
        <v>3</v>
      </c>
      <c r="B15" s="861">
        <f>'Datu ievade'!D76</f>
        <v>419460.3</v>
      </c>
      <c r="C15" s="987">
        <f>B15/$B$16</f>
        <v>0.58408289609999</v>
      </c>
      <c r="D15" s="876"/>
      <c r="E15" s="863"/>
      <c r="F15" s="876"/>
      <c r="G15" s="863"/>
      <c r="H15" s="864"/>
      <c r="I15" s="864"/>
      <c r="J15" s="869"/>
      <c r="K15" s="868"/>
      <c r="M15" s="873"/>
      <c r="N15" s="869"/>
      <c r="O15" s="864"/>
      <c r="P15" s="870"/>
      <c r="Q15" s="864"/>
      <c r="R15" s="864"/>
      <c r="S15" s="865"/>
      <c r="T15" s="866">
        <f>SUM(H15:S15)</f>
        <v>0</v>
      </c>
      <c r="U15" s="875"/>
      <c r="V15" s="864"/>
      <c r="W15" s="868"/>
      <c r="X15" s="966"/>
      <c r="Y15" s="864"/>
      <c r="Z15" s="864"/>
      <c r="AA15" s="868"/>
      <c r="AB15" s="864"/>
      <c r="AC15" s="870">
        <v>78045.16</v>
      </c>
      <c r="AD15" s="864"/>
      <c r="AE15" s="864"/>
      <c r="AF15" s="865"/>
      <c r="AG15" s="866">
        <f>SUM(U15:AF15)</f>
        <v>78045.16</v>
      </c>
      <c r="AH15" s="867"/>
      <c r="AI15" s="966">
        <v>341415.14</v>
      </c>
      <c r="AJ15" s="966"/>
      <c r="AK15" s="966"/>
      <c r="AL15" s="864"/>
      <c r="AM15" s="864"/>
      <c r="AN15" s="868"/>
      <c r="AO15" s="864"/>
      <c r="AP15" s="870"/>
      <c r="AQ15" s="864"/>
      <c r="AR15" s="864"/>
      <c r="AS15" s="865"/>
      <c r="AT15" s="866">
        <f>SUM(AH15:AS15)</f>
        <v>341415.14</v>
      </c>
      <c r="AU15" s="871"/>
      <c r="AV15" s="872">
        <f>T15+AG15+AT15</f>
        <v>419460.30000000005</v>
      </c>
      <c r="AW15" s="990">
        <f>AV15/$AV$16</f>
        <v>0.5840828960999901</v>
      </c>
      <c r="AX15" s="813">
        <f t="shared" si="0"/>
        <v>0</v>
      </c>
      <c r="AY15" s="814"/>
      <c r="BA15" s="815"/>
    </row>
    <row r="16" spans="1:50" s="766" customFormat="1" ht="26.25" customHeight="1" thickBot="1">
      <c r="A16" s="817" t="s">
        <v>513</v>
      </c>
      <c r="B16" s="877">
        <f>SUM(B13:B15)</f>
        <v>718152</v>
      </c>
      <c r="C16" s="988">
        <f>SUM(C13:C15)</f>
        <v>1</v>
      </c>
      <c r="D16" s="878"/>
      <c r="E16" s="879"/>
      <c r="F16" s="878"/>
      <c r="G16" s="879"/>
      <c r="H16" s="880">
        <f>SUM(H13:H15)</f>
        <v>0</v>
      </c>
      <c r="I16" s="880">
        <f aca="true" t="shared" si="1" ref="I16:Q16">SUM(I13:I15)</f>
        <v>0</v>
      </c>
      <c r="J16" s="880">
        <f t="shared" si="1"/>
        <v>0</v>
      </c>
      <c r="K16" s="880">
        <f t="shared" si="1"/>
        <v>0</v>
      </c>
      <c r="L16" s="880">
        <f>SUM(L13:L15)</f>
        <v>0</v>
      </c>
      <c r="M16" s="880">
        <f t="shared" si="1"/>
        <v>0</v>
      </c>
      <c r="N16" s="880">
        <f>SUM(N13:N15)</f>
        <v>0</v>
      </c>
      <c r="O16" s="880">
        <f t="shared" si="1"/>
        <v>0</v>
      </c>
      <c r="P16" s="880">
        <f t="shared" si="1"/>
        <v>0</v>
      </c>
      <c r="Q16" s="880">
        <f t="shared" si="1"/>
        <v>0</v>
      </c>
      <c r="R16" s="880">
        <f>SUM(R13:R15)</f>
        <v>0</v>
      </c>
      <c r="S16" s="881">
        <f>SUM(S13:S15)</f>
        <v>0</v>
      </c>
      <c r="T16" s="882">
        <f>SUM(H16:S16)</f>
        <v>0</v>
      </c>
      <c r="U16" s="883">
        <f aca="true" t="shared" si="2" ref="U16:AF16">SUM(U13:U15)</f>
        <v>0</v>
      </c>
      <c r="V16" s="880">
        <f t="shared" si="2"/>
        <v>0</v>
      </c>
      <c r="W16" s="880">
        <f>SUM(W13:W15)</f>
        <v>0</v>
      </c>
      <c r="X16" s="880">
        <f t="shared" si="2"/>
        <v>0</v>
      </c>
      <c r="Y16" s="880">
        <f t="shared" si="2"/>
        <v>0</v>
      </c>
      <c r="Z16" s="880">
        <f t="shared" si="2"/>
        <v>0</v>
      </c>
      <c r="AA16" s="880">
        <f t="shared" si="2"/>
        <v>0</v>
      </c>
      <c r="AB16" s="880">
        <f t="shared" si="2"/>
        <v>0</v>
      </c>
      <c r="AC16" s="880">
        <f t="shared" si="2"/>
        <v>78045.16</v>
      </c>
      <c r="AD16" s="880">
        <f t="shared" si="2"/>
        <v>0</v>
      </c>
      <c r="AE16" s="880">
        <f t="shared" si="2"/>
        <v>59738.340000000004</v>
      </c>
      <c r="AF16" s="881">
        <f t="shared" si="2"/>
        <v>0</v>
      </c>
      <c r="AG16" s="882">
        <f>SUM(U16:AF16)</f>
        <v>137783.5</v>
      </c>
      <c r="AH16" s="883">
        <f aca="true" t="shared" si="3" ref="AH16:AS16">SUM(AH13:AH15)</f>
        <v>0</v>
      </c>
      <c r="AI16" s="880">
        <f t="shared" si="3"/>
        <v>396989.98342311935</v>
      </c>
      <c r="AJ16" s="880">
        <f t="shared" si="3"/>
        <v>0</v>
      </c>
      <c r="AK16" s="880">
        <f t="shared" si="3"/>
        <v>60779.21414422016</v>
      </c>
      <c r="AL16" s="880">
        <f t="shared" si="3"/>
        <v>0</v>
      </c>
      <c r="AM16" s="880">
        <f t="shared" si="3"/>
        <v>60779.21414422016</v>
      </c>
      <c r="AN16" s="880">
        <f t="shared" si="3"/>
        <v>0</v>
      </c>
      <c r="AO16" s="880">
        <f t="shared" si="3"/>
        <v>0</v>
      </c>
      <c r="AP16" s="880">
        <f t="shared" si="3"/>
        <v>0</v>
      </c>
      <c r="AQ16" s="880">
        <f t="shared" si="3"/>
        <v>61820.08828844033</v>
      </c>
      <c r="AR16" s="880">
        <f t="shared" si="3"/>
        <v>0</v>
      </c>
      <c r="AS16" s="881">
        <f t="shared" si="3"/>
        <v>0</v>
      </c>
      <c r="AT16" s="882">
        <f>SUM(AH16:AS16)</f>
        <v>580368.5</v>
      </c>
      <c r="AU16" s="884"/>
      <c r="AV16" s="878">
        <f>SUM(AV13:AV15)</f>
        <v>718152</v>
      </c>
      <c r="AW16" s="991">
        <f>SUM(AW13:AW15)</f>
        <v>1</v>
      </c>
      <c r="AX16" s="813">
        <f t="shared" si="0"/>
        <v>0</v>
      </c>
    </row>
    <row r="17" spans="1:50" s="767" customFormat="1" ht="12.75" customHeight="1">
      <c r="A17" s="800" t="s">
        <v>514</v>
      </c>
      <c r="B17" s="885"/>
      <c r="C17" s="989"/>
      <c r="D17" s="887"/>
      <c r="E17" s="888"/>
      <c r="F17" s="887"/>
      <c r="G17" s="888"/>
      <c r="H17" s="889"/>
      <c r="I17" s="890"/>
      <c r="J17" s="890"/>
      <c r="K17" s="890"/>
      <c r="L17" s="890"/>
      <c r="M17" s="890"/>
      <c r="N17" s="890"/>
      <c r="O17" s="890"/>
      <c r="P17" s="890"/>
      <c r="Q17" s="890"/>
      <c r="R17" s="890"/>
      <c r="S17" s="891"/>
      <c r="T17" s="892"/>
      <c r="U17" s="889"/>
      <c r="V17" s="885"/>
      <c r="W17" s="885"/>
      <c r="X17" s="885"/>
      <c r="Y17" s="885"/>
      <c r="Z17" s="885"/>
      <c r="AA17" s="885"/>
      <c r="AB17" s="885"/>
      <c r="AC17" s="885"/>
      <c r="AD17" s="885"/>
      <c r="AE17" s="885"/>
      <c r="AF17" s="891"/>
      <c r="AG17" s="892"/>
      <c r="AH17" s="889"/>
      <c r="AI17" s="885"/>
      <c r="AJ17" s="885"/>
      <c r="AK17" s="885"/>
      <c r="AL17" s="885"/>
      <c r="AM17" s="885"/>
      <c r="AN17" s="885"/>
      <c r="AO17" s="885"/>
      <c r="AP17" s="885"/>
      <c r="AQ17" s="885"/>
      <c r="AR17" s="885"/>
      <c r="AS17" s="891"/>
      <c r="AT17" s="892"/>
      <c r="AU17" s="893"/>
      <c r="AV17" s="894"/>
      <c r="AW17" s="992"/>
      <c r="AX17" s="813">
        <f t="shared" si="0"/>
        <v>0</v>
      </c>
    </row>
    <row r="18" spans="1:50" s="767" customFormat="1" ht="18" customHeight="1">
      <c r="A18" s="818" t="s">
        <v>515</v>
      </c>
      <c r="B18" s="885">
        <f>SUM('Datu ievade'!B58:F59,'Datu ievade'!B65:F66)</f>
        <v>695740</v>
      </c>
      <c r="C18" s="989">
        <f>B18/B22</f>
        <v>0.9687921220020275</v>
      </c>
      <c r="D18" s="895"/>
      <c r="E18" s="888"/>
      <c r="F18" s="895"/>
      <c r="G18" s="888"/>
      <c r="H18" s="896"/>
      <c r="I18" s="896"/>
      <c r="J18" s="896"/>
      <c r="K18" s="896"/>
      <c r="L18" s="896"/>
      <c r="M18" s="896"/>
      <c r="N18" s="896"/>
      <c r="O18" s="896"/>
      <c r="P18" s="896"/>
      <c r="Q18" s="896"/>
      <c r="R18" s="896"/>
      <c r="S18" s="896"/>
      <c r="T18" s="897">
        <f>SUM(H18:S18)</f>
        <v>0</v>
      </c>
      <c r="U18" s="896"/>
      <c r="V18" s="896"/>
      <c r="W18" s="896"/>
      <c r="X18" s="896"/>
      <c r="Y18" s="896"/>
      <c r="Z18" s="896"/>
      <c r="AA18" s="896"/>
      <c r="AB18" s="896"/>
      <c r="AC18" s="896"/>
      <c r="AD18" s="896"/>
      <c r="AE18" s="896">
        <v>120360</v>
      </c>
      <c r="AF18" s="896"/>
      <c r="AG18" s="897">
        <f>SUM(U18:AF18)</f>
        <v>120360</v>
      </c>
      <c r="AH18" s="896"/>
      <c r="AI18" s="896">
        <v>143845</v>
      </c>
      <c r="AJ18" s="896"/>
      <c r="AK18" s="896">
        <v>143845</v>
      </c>
      <c r="AL18" s="896"/>
      <c r="AM18" s="896">
        <v>143845</v>
      </c>
      <c r="AN18" s="896"/>
      <c r="AO18" s="896">
        <v>143845</v>
      </c>
      <c r="AP18" s="896"/>
      <c r="AQ18" s="896"/>
      <c r="AR18" s="896"/>
      <c r="AS18" s="896"/>
      <c r="AT18" s="897">
        <f>SUM(AH18:AS18)</f>
        <v>575380</v>
      </c>
      <c r="AU18" s="893"/>
      <c r="AV18" s="895">
        <f>T18+AG18+AT18</f>
        <v>695740</v>
      </c>
      <c r="AW18" s="992">
        <f>AV18/$AV$22</f>
        <v>0.9687921220020275</v>
      </c>
      <c r="AX18" s="813">
        <f t="shared" si="0"/>
        <v>0</v>
      </c>
    </row>
    <row r="19" spans="1:50" s="767" customFormat="1" ht="18" customHeight="1">
      <c r="A19" s="818" t="s">
        <v>516</v>
      </c>
      <c r="B19" s="885">
        <f>SUM('Datu ievade'!B60:F60,'Datu ievade'!B67:F67)</f>
        <v>6616</v>
      </c>
      <c r="C19" s="989">
        <f>B19/$B$22</f>
        <v>0.00921253439383306</v>
      </c>
      <c r="D19" s="895"/>
      <c r="E19" s="888"/>
      <c r="F19" s="895"/>
      <c r="G19" s="888"/>
      <c r="H19" s="896"/>
      <c r="I19" s="896"/>
      <c r="J19" s="896"/>
      <c r="K19" s="896"/>
      <c r="L19" s="896"/>
      <c r="M19" s="896"/>
      <c r="N19" s="896"/>
      <c r="O19" s="896"/>
      <c r="P19" s="896"/>
      <c r="Q19" s="896"/>
      <c r="R19" s="896"/>
      <c r="S19" s="896"/>
      <c r="T19" s="897">
        <f>SUM(H19:S19)</f>
        <v>0</v>
      </c>
      <c r="U19" s="896"/>
      <c r="V19" s="896"/>
      <c r="W19" s="896"/>
      <c r="X19" s="896"/>
      <c r="Y19" s="896"/>
      <c r="Z19" s="896"/>
      <c r="AA19" s="896"/>
      <c r="AB19" s="896"/>
      <c r="AC19" s="896"/>
      <c r="AD19" s="896"/>
      <c r="AE19" s="896">
        <v>2040</v>
      </c>
      <c r="AF19" s="896"/>
      <c r="AG19" s="897">
        <f>SUM(U19:AF19)</f>
        <v>2040</v>
      </c>
      <c r="AH19" s="896"/>
      <c r="AI19" s="896">
        <v>1144</v>
      </c>
      <c r="AJ19" s="896"/>
      <c r="AK19" s="896">
        <v>1144</v>
      </c>
      <c r="AL19" s="896"/>
      <c r="AM19" s="896">
        <v>1144</v>
      </c>
      <c r="AN19" s="896"/>
      <c r="AO19" s="896">
        <v>1144</v>
      </c>
      <c r="AP19" s="896"/>
      <c r="AQ19" s="896"/>
      <c r="AR19" s="896"/>
      <c r="AS19" s="896"/>
      <c r="AT19" s="897">
        <f>SUM(AH19:AS19)</f>
        <v>4576</v>
      </c>
      <c r="AU19" s="893"/>
      <c r="AV19" s="895">
        <f>T19+AG19+AT19</f>
        <v>6616</v>
      </c>
      <c r="AW19" s="992">
        <f>AV19/$AV$22</f>
        <v>0.00921253439383306</v>
      </c>
      <c r="AX19" s="813">
        <f t="shared" si="0"/>
        <v>0</v>
      </c>
    </row>
    <row r="20" spans="1:50" s="767" customFormat="1" ht="18" customHeight="1">
      <c r="A20" s="818" t="s">
        <v>552</v>
      </c>
      <c r="B20" s="885">
        <f>SUM('Datu ievade'!B61:F61,'Datu ievade'!B68:F68)</f>
        <v>6616</v>
      </c>
      <c r="C20" s="989">
        <f>B20/$B$22</f>
        <v>0.00921253439383306</v>
      </c>
      <c r="D20" s="895"/>
      <c r="E20" s="888"/>
      <c r="F20" s="895"/>
      <c r="G20" s="888"/>
      <c r="H20" s="896"/>
      <c r="I20" s="896"/>
      <c r="J20" s="896"/>
      <c r="K20" s="896"/>
      <c r="L20" s="896"/>
      <c r="M20" s="896"/>
      <c r="N20" s="896"/>
      <c r="O20" s="896"/>
      <c r="P20" s="896"/>
      <c r="Q20" s="896"/>
      <c r="R20" s="896"/>
      <c r="S20" s="896"/>
      <c r="T20" s="897">
        <f>SUM(H20:S20)</f>
        <v>0</v>
      </c>
      <c r="U20" s="896"/>
      <c r="V20" s="896"/>
      <c r="W20" s="896"/>
      <c r="X20" s="896"/>
      <c r="Y20" s="896"/>
      <c r="Z20" s="896"/>
      <c r="AA20" s="896"/>
      <c r="AB20" s="896"/>
      <c r="AC20" s="896"/>
      <c r="AD20" s="896"/>
      <c r="AE20" s="896">
        <v>2040</v>
      </c>
      <c r="AF20" s="896"/>
      <c r="AG20" s="897">
        <f>SUM(U20:AF20)</f>
        <v>2040</v>
      </c>
      <c r="AH20" s="896"/>
      <c r="AI20" s="896">
        <v>1144</v>
      </c>
      <c r="AJ20" s="896"/>
      <c r="AK20" s="896">
        <v>1144</v>
      </c>
      <c r="AL20" s="896"/>
      <c r="AM20" s="896">
        <v>1144</v>
      </c>
      <c r="AN20" s="896"/>
      <c r="AO20" s="896">
        <v>1144</v>
      </c>
      <c r="AP20" s="896"/>
      <c r="AQ20" s="896"/>
      <c r="AR20" s="896"/>
      <c r="AS20" s="896"/>
      <c r="AT20" s="897">
        <f>SUM(AH20:AS20)</f>
        <v>4576</v>
      </c>
      <c r="AU20" s="893"/>
      <c r="AV20" s="895">
        <f>T20+AG20+AT20</f>
        <v>6616</v>
      </c>
      <c r="AW20" s="992">
        <f>AV20/$AV$22</f>
        <v>0.00921253439383306</v>
      </c>
      <c r="AX20" s="813"/>
    </row>
    <row r="21" spans="1:50" s="767" customFormat="1" ht="18" customHeight="1" thickBot="1">
      <c r="A21" s="818" t="s">
        <v>553</v>
      </c>
      <c r="B21" s="885">
        <f>SUM('Datu ievade'!B62:F62,'Datu ievade'!B69:F69)</f>
        <v>9180</v>
      </c>
      <c r="C21" s="989">
        <f>B21/$B$22</f>
        <v>0.012782809210306454</v>
      </c>
      <c r="D21" s="895"/>
      <c r="E21" s="888"/>
      <c r="F21" s="895"/>
      <c r="G21" s="888"/>
      <c r="H21" s="896"/>
      <c r="I21" s="896"/>
      <c r="J21" s="896"/>
      <c r="K21" s="896"/>
      <c r="L21" s="896"/>
      <c r="M21" s="896"/>
      <c r="N21" s="896"/>
      <c r="O21" s="896"/>
      <c r="P21" s="896"/>
      <c r="Q21" s="896"/>
      <c r="R21" s="896"/>
      <c r="S21" s="896"/>
      <c r="T21" s="897">
        <f>SUM(H21:S21)</f>
        <v>0</v>
      </c>
      <c r="U21" s="896"/>
      <c r="V21" s="896"/>
      <c r="W21" s="896"/>
      <c r="X21" s="896"/>
      <c r="Y21" s="896"/>
      <c r="Z21" s="896">
        <v>3500</v>
      </c>
      <c r="AA21" s="896"/>
      <c r="AB21" s="896"/>
      <c r="AC21" s="896">
        <v>5680</v>
      </c>
      <c r="AD21" s="896"/>
      <c r="AE21" s="896"/>
      <c r="AF21" s="896"/>
      <c r="AG21" s="897">
        <f>SUM(U21:AF21)</f>
        <v>9180</v>
      </c>
      <c r="AH21" s="896"/>
      <c r="AI21" s="896"/>
      <c r="AJ21" s="896"/>
      <c r="AK21" s="896"/>
      <c r="AL21" s="896"/>
      <c r="AM21" s="896"/>
      <c r="AN21" s="896"/>
      <c r="AO21" s="896"/>
      <c r="AP21" s="896"/>
      <c r="AQ21" s="896"/>
      <c r="AR21" s="896"/>
      <c r="AS21" s="896"/>
      <c r="AT21" s="897">
        <f>SUM(AH21:AS21)</f>
        <v>0</v>
      </c>
      <c r="AU21" s="893"/>
      <c r="AV21" s="895">
        <f>T21+AG21+AT21</f>
        <v>9180</v>
      </c>
      <c r="AW21" s="992">
        <f>AV21/$AV$22</f>
        <v>0.012782809210306454</v>
      </c>
      <c r="AX21" s="813">
        <f t="shared" si="0"/>
        <v>0</v>
      </c>
    </row>
    <row r="22" spans="1:50" s="766" customFormat="1" ht="19.5" customHeight="1" thickBot="1">
      <c r="A22" s="817" t="s">
        <v>517</v>
      </c>
      <c r="B22" s="877">
        <f>SUM(B18:B21)</f>
        <v>718152</v>
      </c>
      <c r="C22" s="988">
        <f>SUM(C18:C21)</f>
        <v>1</v>
      </c>
      <c r="D22" s="898"/>
      <c r="E22" s="899"/>
      <c r="F22" s="898"/>
      <c r="G22" s="899"/>
      <c r="H22" s="880">
        <f>SUM(H18:H21)</f>
        <v>0</v>
      </c>
      <c r="I22" s="880">
        <f aca="true" t="shared" si="4" ref="I22:S22">SUM(I18:I21)</f>
        <v>0</v>
      </c>
      <c r="J22" s="880">
        <f>SUM(J18:J21)</f>
        <v>0</v>
      </c>
      <c r="K22" s="880">
        <f>SUM(K18:K21)</f>
        <v>0</v>
      </c>
      <c r="L22" s="880">
        <f>SUM(L18:L21)</f>
        <v>0</v>
      </c>
      <c r="M22" s="880">
        <f t="shared" si="4"/>
        <v>0</v>
      </c>
      <c r="N22" s="880">
        <f t="shared" si="4"/>
        <v>0</v>
      </c>
      <c r="O22" s="880">
        <f>SUM(O18:O21)</f>
        <v>0</v>
      </c>
      <c r="P22" s="880">
        <f t="shared" si="4"/>
        <v>0</v>
      </c>
      <c r="Q22" s="880">
        <f t="shared" si="4"/>
        <v>0</v>
      </c>
      <c r="R22" s="880">
        <f>SUM(R18:R21)</f>
        <v>0</v>
      </c>
      <c r="S22" s="880">
        <f t="shared" si="4"/>
        <v>0</v>
      </c>
      <c r="T22" s="880">
        <f>SUM(H22:S22)</f>
        <v>0</v>
      </c>
      <c r="U22" s="880">
        <f aca="true" t="shared" si="5" ref="U22:AF22">SUM(U18:U21)</f>
        <v>0</v>
      </c>
      <c r="V22" s="880">
        <f t="shared" si="5"/>
        <v>0</v>
      </c>
      <c r="W22" s="880">
        <f t="shared" si="5"/>
        <v>0</v>
      </c>
      <c r="X22" s="880">
        <f t="shared" si="5"/>
        <v>0</v>
      </c>
      <c r="Y22" s="880">
        <f t="shared" si="5"/>
        <v>0</v>
      </c>
      <c r="Z22" s="880">
        <f t="shared" si="5"/>
        <v>3500</v>
      </c>
      <c r="AA22" s="880">
        <f t="shared" si="5"/>
        <v>0</v>
      </c>
      <c r="AB22" s="880">
        <f t="shared" si="5"/>
        <v>0</v>
      </c>
      <c r="AC22" s="880">
        <f t="shared" si="5"/>
        <v>5680</v>
      </c>
      <c r="AD22" s="880">
        <f t="shared" si="5"/>
        <v>0</v>
      </c>
      <c r="AE22" s="880">
        <f t="shared" si="5"/>
        <v>124440</v>
      </c>
      <c r="AF22" s="880">
        <f t="shared" si="5"/>
        <v>0</v>
      </c>
      <c r="AG22" s="882">
        <f>SUM(U22:AF22)</f>
        <v>133620</v>
      </c>
      <c r="AH22" s="880">
        <f aca="true" t="shared" si="6" ref="AH22:AS22">SUM(AH18:AH21)</f>
        <v>0</v>
      </c>
      <c r="AI22" s="880">
        <f t="shared" si="6"/>
        <v>146133</v>
      </c>
      <c r="AJ22" s="880">
        <f t="shared" si="6"/>
        <v>0</v>
      </c>
      <c r="AK22" s="880">
        <f t="shared" si="6"/>
        <v>146133</v>
      </c>
      <c r="AL22" s="880">
        <f t="shared" si="6"/>
        <v>0</v>
      </c>
      <c r="AM22" s="880">
        <f t="shared" si="6"/>
        <v>146133</v>
      </c>
      <c r="AN22" s="880">
        <f t="shared" si="6"/>
        <v>0</v>
      </c>
      <c r="AO22" s="880">
        <f t="shared" si="6"/>
        <v>146133</v>
      </c>
      <c r="AP22" s="880">
        <f t="shared" si="6"/>
        <v>0</v>
      </c>
      <c r="AQ22" s="880">
        <f t="shared" si="6"/>
        <v>0</v>
      </c>
      <c r="AR22" s="880">
        <f t="shared" si="6"/>
        <v>0</v>
      </c>
      <c r="AS22" s="880">
        <f t="shared" si="6"/>
        <v>0</v>
      </c>
      <c r="AT22" s="882">
        <f>SUM(AH22:AS22)</f>
        <v>584532</v>
      </c>
      <c r="AU22" s="884"/>
      <c r="AV22" s="898">
        <f>SUM(AV18:AV21)</f>
        <v>718152</v>
      </c>
      <c r="AW22" s="993">
        <f>SUM(AW18:AW21)</f>
        <v>1</v>
      </c>
      <c r="AX22" s="813">
        <f t="shared" si="0"/>
        <v>0</v>
      </c>
    </row>
    <row r="23" spans="1:50" s="820" customFormat="1" ht="19.5" customHeight="1" thickBot="1">
      <c r="A23" s="819" t="s">
        <v>518</v>
      </c>
      <c r="B23" s="900">
        <f>B16-B22</f>
        <v>0</v>
      </c>
      <c r="C23" s="901"/>
      <c r="D23" s="902"/>
      <c r="E23" s="903"/>
      <c r="F23" s="902"/>
      <c r="G23" s="903"/>
      <c r="H23" s="904">
        <f>H16-H22+H28</f>
        <v>0</v>
      </c>
      <c r="I23" s="904">
        <f aca="true" t="shared" si="7" ref="I23:N23">H23+I28+I16-I22</f>
        <v>0</v>
      </c>
      <c r="J23" s="904">
        <f t="shared" si="7"/>
        <v>0</v>
      </c>
      <c r="K23" s="904">
        <f t="shared" si="7"/>
        <v>0</v>
      </c>
      <c r="L23" s="904">
        <f>K23+L28+L16-L22</f>
        <v>0</v>
      </c>
      <c r="M23" s="904">
        <f t="shared" si="7"/>
        <v>0</v>
      </c>
      <c r="N23" s="904">
        <f t="shared" si="7"/>
        <v>0</v>
      </c>
      <c r="O23" s="904">
        <f aca="true" t="shared" si="8" ref="O23:T23">N23+O28+O16-O22</f>
        <v>0</v>
      </c>
      <c r="P23" s="904">
        <f t="shared" si="8"/>
        <v>0</v>
      </c>
      <c r="Q23" s="904">
        <f t="shared" si="8"/>
        <v>0</v>
      </c>
      <c r="R23" s="904">
        <f t="shared" si="8"/>
        <v>0</v>
      </c>
      <c r="S23" s="904">
        <f t="shared" si="8"/>
        <v>0</v>
      </c>
      <c r="T23" s="904">
        <f t="shared" si="8"/>
        <v>0</v>
      </c>
      <c r="U23" s="904">
        <f>S23+U28+U16-U22</f>
        <v>0</v>
      </c>
      <c r="V23" s="904">
        <f>U23+V28+V16-V22</f>
        <v>0</v>
      </c>
      <c r="W23" s="904">
        <f>V23+W28+W16-W22</f>
        <v>0</v>
      </c>
      <c r="X23" s="904">
        <f>W23+X28+X16-X22</f>
        <v>0</v>
      </c>
      <c r="Y23" s="904">
        <f>X23+Y28+Y16-Y22</f>
        <v>0</v>
      </c>
      <c r="Z23" s="904">
        <f aca="true" t="shared" si="9" ref="Z23:AF23">Y23+Z28+Z16-Z22</f>
        <v>0</v>
      </c>
      <c r="AA23" s="904">
        <f t="shared" si="9"/>
        <v>0</v>
      </c>
      <c r="AB23" s="904">
        <f t="shared" si="9"/>
        <v>0</v>
      </c>
      <c r="AC23" s="904">
        <f t="shared" si="9"/>
        <v>68865.16</v>
      </c>
      <c r="AD23" s="904">
        <f t="shared" si="9"/>
        <v>68865.16</v>
      </c>
      <c r="AE23" s="904">
        <f t="shared" si="9"/>
        <v>4163.5</v>
      </c>
      <c r="AF23" s="904">
        <f t="shared" si="9"/>
        <v>4163.5</v>
      </c>
      <c r="AG23" s="904">
        <f>AF23</f>
        <v>4163.5</v>
      </c>
      <c r="AH23" s="904">
        <f aca="true" t="shared" si="10" ref="AH23:AS23">AG23+AH28+AH16-AH22</f>
        <v>4163.5</v>
      </c>
      <c r="AI23" s="904">
        <f t="shared" si="10"/>
        <v>255020.48342311935</v>
      </c>
      <c r="AJ23" s="904">
        <f t="shared" si="10"/>
        <v>255020.48342311935</v>
      </c>
      <c r="AK23" s="904">
        <f t="shared" si="10"/>
        <v>169666.69756733952</v>
      </c>
      <c r="AL23" s="904">
        <f t="shared" si="10"/>
        <v>169666.69756733952</v>
      </c>
      <c r="AM23" s="904">
        <f t="shared" si="10"/>
        <v>84312.91171155969</v>
      </c>
      <c r="AN23" s="904">
        <f t="shared" si="10"/>
        <v>84312.91171155969</v>
      </c>
      <c r="AO23" s="904">
        <f t="shared" si="10"/>
        <v>0.001711559685645625</v>
      </c>
      <c r="AP23" s="904">
        <f t="shared" si="10"/>
        <v>0.001711559685645625</v>
      </c>
      <c r="AQ23" s="904">
        <f t="shared" si="10"/>
        <v>2.1827872842550278E-11</v>
      </c>
      <c r="AR23" s="904">
        <f t="shared" si="10"/>
        <v>2.1827872842550278E-11</v>
      </c>
      <c r="AS23" s="904">
        <f t="shared" si="10"/>
        <v>2.1827872842550278E-11</v>
      </c>
      <c r="AT23" s="904">
        <f>AS23</f>
        <v>2.1827872842550278E-11</v>
      </c>
      <c r="AU23" s="905"/>
      <c r="AV23" s="902">
        <f>AT23</f>
        <v>2.1827872842550278E-11</v>
      </c>
      <c r="AW23" s="906"/>
      <c r="AX23" s="813">
        <f t="shared" si="0"/>
        <v>-2.1827872842550278E-11</v>
      </c>
    </row>
    <row r="24" spans="1:50" s="767" customFormat="1" ht="18" customHeight="1">
      <c r="A24" s="821" t="s">
        <v>519</v>
      </c>
      <c r="B24" s="885">
        <f>B22*'Datu ievade'!E433</f>
        <v>157993.44</v>
      </c>
      <c r="C24" s="886"/>
      <c r="D24" s="895"/>
      <c r="E24" s="888"/>
      <c r="F24" s="895"/>
      <c r="G24" s="888"/>
      <c r="H24" s="889"/>
      <c r="I24" s="889"/>
      <c r="J24" s="889"/>
      <c r="K24" s="889"/>
      <c r="L24" s="889"/>
      <c r="M24" s="889"/>
      <c r="N24" s="889"/>
      <c r="O24" s="889"/>
      <c r="P24" s="889"/>
      <c r="Q24" s="889"/>
      <c r="R24" s="889"/>
      <c r="S24" s="889"/>
      <c r="T24" s="889">
        <f>SUM(H24:S24)</f>
        <v>0</v>
      </c>
      <c r="U24" s="889"/>
      <c r="V24" s="889"/>
      <c r="W24" s="889"/>
      <c r="X24" s="889"/>
      <c r="Y24" s="889"/>
      <c r="Z24" s="889">
        <f>Z22*0.22</f>
        <v>770</v>
      </c>
      <c r="AA24" s="889"/>
      <c r="AB24" s="889"/>
      <c r="AC24" s="889">
        <f>AC22*0.22</f>
        <v>1249.6</v>
      </c>
      <c r="AD24" s="889"/>
      <c r="AE24" s="889">
        <f>AE22*0.22</f>
        <v>27376.8</v>
      </c>
      <c r="AF24" s="889"/>
      <c r="AG24" s="907">
        <f>SUM(U24:AF24)</f>
        <v>29396.399999999998</v>
      </c>
      <c r="AH24" s="889"/>
      <c r="AI24" s="889">
        <f>AI22*0.22</f>
        <v>32149.26</v>
      </c>
      <c r="AJ24" s="889"/>
      <c r="AK24" s="889">
        <f>AK22*0.22</f>
        <v>32149.26</v>
      </c>
      <c r="AL24" s="889"/>
      <c r="AM24" s="889">
        <f>AM22*0.22</f>
        <v>32149.26</v>
      </c>
      <c r="AN24" s="889"/>
      <c r="AO24" s="889">
        <f>AO22*0.22</f>
        <v>32149.26</v>
      </c>
      <c r="AP24" s="889"/>
      <c r="AQ24" s="889"/>
      <c r="AR24" s="889"/>
      <c r="AS24" s="908"/>
      <c r="AT24" s="907"/>
      <c r="AU24" s="893"/>
      <c r="AV24" s="909">
        <f>SUM(T24+AG24+AT24)</f>
        <v>29396.399999999998</v>
      </c>
      <c r="AW24" s="910"/>
      <c r="AX24" s="813">
        <f t="shared" si="0"/>
        <v>128597.04000000001</v>
      </c>
    </row>
    <row r="25" spans="1:50" s="767" customFormat="1" ht="18" customHeight="1" thickBot="1">
      <c r="A25" s="823" t="s">
        <v>520</v>
      </c>
      <c r="B25" s="885">
        <v>0</v>
      </c>
      <c r="C25" s="911"/>
      <c r="D25" s="912"/>
      <c r="E25" s="913"/>
      <c r="F25" s="912"/>
      <c r="G25" s="913"/>
      <c r="H25" s="889"/>
      <c r="I25" s="889"/>
      <c r="J25" s="889"/>
      <c r="K25" s="889"/>
      <c r="L25" s="889"/>
      <c r="M25" s="889"/>
      <c r="N25" s="889"/>
      <c r="O25" s="889"/>
      <c r="P25" s="889"/>
      <c r="Q25" s="889"/>
      <c r="R25" s="889"/>
      <c r="S25" s="889"/>
      <c r="T25" s="889">
        <f>SUM(H25:S25)</f>
        <v>0</v>
      </c>
      <c r="U25" s="889"/>
      <c r="V25" s="914"/>
      <c r="W25" s="889"/>
      <c r="X25" s="914"/>
      <c r="Y25" s="889"/>
      <c r="Z25" s="914"/>
      <c r="AA25" s="889"/>
      <c r="AB25" s="914"/>
      <c r="AC25" s="889"/>
      <c r="AD25" s="914"/>
      <c r="AE25" s="889"/>
      <c r="AF25" s="914"/>
      <c r="AG25" s="915">
        <f>SUM(U25:AF25)</f>
        <v>0</v>
      </c>
      <c r="AH25" s="916"/>
      <c r="AI25" s="914"/>
      <c r="AJ25" s="914"/>
      <c r="AK25" s="914"/>
      <c r="AL25" s="914"/>
      <c r="AM25" s="914"/>
      <c r="AN25" s="914"/>
      <c r="AO25" s="914"/>
      <c r="AP25" s="914"/>
      <c r="AQ25" s="914"/>
      <c r="AR25" s="914"/>
      <c r="AS25" s="917"/>
      <c r="AT25" s="915">
        <f>SUM(AH25:AS25)</f>
        <v>0</v>
      </c>
      <c r="AU25" s="893"/>
      <c r="AV25" s="918">
        <f>SUM(T25+AG25+AT25)</f>
        <v>0</v>
      </c>
      <c r="AW25" s="919"/>
      <c r="AX25" s="813">
        <f t="shared" si="0"/>
        <v>0</v>
      </c>
    </row>
    <row r="26" spans="1:50" s="820" customFormat="1" ht="19.5" customHeight="1" thickBot="1">
      <c r="A26" s="824" t="s">
        <v>521</v>
      </c>
      <c r="B26" s="900">
        <v>0</v>
      </c>
      <c r="C26" s="901"/>
      <c r="D26" s="902"/>
      <c r="E26" s="903"/>
      <c r="F26" s="902"/>
      <c r="G26" s="903"/>
      <c r="H26" s="904"/>
      <c r="I26" s="904">
        <f aca="true" t="shared" si="11" ref="I26:N26">H26+I16-I22+I30-I24-I25</f>
        <v>0</v>
      </c>
      <c r="J26" s="904">
        <f t="shared" si="11"/>
        <v>0</v>
      </c>
      <c r="K26" s="904">
        <f t="shared" si="11"/>
        <v>0</v>
      </c>
      <c r="L26" s="904">
        <f>K26+L16-L22+L30-L24-L25</f>
        <v>0</v>
      </c>
      <c r="M26" s="904">
        <f t="shared" si="11"/>
        <v>0</v>
      </c>
      <c r="N26" s="904">
        <f t="shared" si="11"/>
        <v>0</v>
      </c>
      <c r="O26" s="904">
        <f aca="true" t="shared" si="12" ref="O26:AF26">N26+O16-O22+O30-O24-O25</f>
        <v>0</v>
      </c>
      <c r="P26" s="904">
        <f t="shared" si="12"/>
        <v>0</v>
      </c>
      <c r="Q26" s="904">
        <f t="shared" si="12"/>
        <v>0</v>
      </c>
      <c r="R26" s="904">
        <f t="shared" si="12"/>
        <v>0</v>
      </c>
      <c r="S26" s="904">
        <f t="shared" si="12"/>
        <v>0</v>
      </c>
      <c r="T26" s="904">
        <f t="shared" si="12"/>
        <v>0</v>
      </c>
      <c r="U26" s="904">
        <f t="shared" si="12"/>
        <v>0</v>
      </c>
      <c r="V26" s="904">
        <f t="shared" si="12"/>
        <v>0</v>
      </c>
      <c r="W26" s="904">
        <f t="shared" si="12"/>
        <v>0</v>
      </c>
      <c r="X26" s="904">
        <f t="shared" si="12"/>
        <v>0</v>
      </c>
      <c r="Y26" s="904">
        <f t="shared" si="12"/>
        <v>0</v>
      </c>
      <c r="Z26" s="904">
        <f t="shared" si="12"/>
        <v>0</v>
      </c>
      <c r="AA26" s="904">
        <f t="shared" si="12"/>
        <v>0</v>
      </c>
      <c r="AB26" s="904">
        <f t="shared" si="12"/>
        <v>0</v>
      </c>
      <c r="AC26" s="904">
        <f t="shared" si="12"/>
        <v>68865.16</v>
      </c>
      <c r="AD26" s="904">
        <f t="shared" si="12"/>
        <v>68865.16</v>
      </c>
      <c r="AE26" s="904">
        <f t="shared" si="12"/>
        <v>4163.5</v>
      </c>
      <c r="AF26" s="904">
        <f t="shared" si="12"/>
        <v>4163.5</v>
      </c>
      <c r="AG26" s="904">
        <f>AF26</f>
        <v>4163.5</v>
      </c>
      <c r="AH26" s="904">
        <f aca="true" t="shared" si="13" ref="AH26:AS26">AG26+AH16-AH22+AH30-AH24-AH25</f>
        <v>4163.5</v>
      </c>
      <c r="AI26" s="904">
        <f t="shared" si="13"/>
        <v>255020.48342311935</v>
      </c>
      <c r="AJ26" s="904">
        <f t="shared" si="13"/>
        <v>255020.48342311935</v>
      </c>
      <c r="AK26" s="904">
        <f t="shared" si="13"/>
        <v>169666.69756733952</v>
      </c>
      <c r="AL26" s="904">
        <f t="shared" si="13"/>
        <v>169666.69756733952</v>
      </c>
      <c r="AM26" s="904">
        <f t="shared" si="13"/>
        <v>84312.91171155969</v>
      </c>
      <c r="AN26" s="904">
        <f t="shared" si="13"/>
        <v>84312.91171155969</v>
      </c>
      <c r="AO26" s="904">
        <f t="shared" si="13"/>
        <v>0.0017115596820076462</v>
      </c>
      <c r="AP26" s="904">
        <f t="shared" si="13"/>
        <v>0.0017115596820076462</v>
      </c>
      <c r="AQ26" s="904">
        <f t="shared" si="13"/>
        <v>1.4551915228366852E-11</v>
      </c>
      <c r="AR26" s="904">
        <f t="shared" si="13"/>
        <v>1.4551915228366852E-11</v>
      </c>
      <c r="AS26" s="904">
        <f t="shared" si="13"/>
        <v>1.4551915228366852E-11</v>
      </c>
      <c r="AT26" s="920">
        <f>AS26</f>
        <v>1.4551915228366852E-11</v>
      </c>
      <c r="AU26" s="905"/>
      <c r="AV26" s="902">
        <f>AT26</f>
        <v>1.4551915228366852E-11</v>
      </c>
      <c r="AW26" s="906"/>
      <c r="AX26" s="813">
        <f t="shared" si="0"/>
        <v>-1.4551915228366852E-11</v>
      </c>
    </row>
    <row r="27" spans="1:50" s="826" customFormat="1" ht="15" customHeight="1">
      <c r="A27" s="825" t="s">
        <v>522</v>
      </c>
      <c r="B27" s="921"/>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922"/>
      <c r="AM27" s="922"/>
      <c r="AN27" s="922"/>
      <c r="AO27" s="922"/>
      <c r="AP27" s="922"/>
      <c r="AQ27" s="922"/>
      <c r="AR27" s="922"/>
      <c r="AS27" s="922"/>
      <c r="AT27" s="922"/>
      <c r="AU27" s="923"/>
      <c r="AV27" s="924"/>
      <c r="AW27" s="924"/>
      <c r="AX27" s="813">
        <f t="shared" si="0"/>
        <v>0</v>
      </c>
    </row>
    <row r="28" spans="1:50" s="820" customFormat="1" ht="15" customHeight="1">
      <c r="A28" s="827" t="s">
        <v>523</v>
      </c>
      <c r="B28" s="925"/>
      <c r="C28" s="926"/>
      <c r="D28" s="927"/>
      <c r="E28" s="928"/>
      <c r="F28" s="927"/>
      <c r="G28" s="928"/>
      <c r="H28" s="929"/>
      <c r="I28" s="929"/>
      <c r="J28" s="929"/>
      <c r="K28" s="929"/>
      <c r="L28" s="929"/>
      <c r="M28" s="929"/>
      <c r="N28" s="929"/>
      <c r="O28" s="929"/>
      <c r="P28" s="929"/>
      <c r="Q28" s="929"/>
      <c r="R28" s="929"/>
      <c r="S28" s="929"/>
      <c r="T28" s="930">
        <f>SUM(H28:S28)</f>
        <v>0</v>
      </c>
      <c r="U28" s="931"/>
      <c r="V28" s="931"/>
      <c r="W28" s="931"/>
      <c r="X28" s="931"/>
      <c r="Y28" s="931"/>
      <c r="Z28" s="931">
        <v>3500</v>
      </c>
      <c r="AA28" s="931"/>
      <c r="AB28" s="931"/>
      <c r="AC28" s="931">
        <v>-3500</v>
      </c>
      <c r="AD28" s="931"/>
      <c r="AE28" s="931"/>
      <c r="AF28" s="931"/>
      <c r="AG28" s="930">
        <f>SUM(U28:AF28)</f>
        <v>0</v>
      </c>
      <c r="AH28" s="931"/>
      <c r="AI28" s="931"/>
      <c r="AJ28" s="931"/>
      <c r="AK28" s="931"/>
      <c r="AL28" s="931"/>
      <c r="AM28" s="931"/>
      <c r="AN28" s="931"/>
      <c r="AO28" s="931">
        <v>61820.09</v>
      </c>
      <c r="AP28" s="931"/>
      <c r="AQ28" s="931">
        <v>-61820.09</v>
      </c>
      <c r="AR28" s="931"/>
      <c r="AS28" s="931"/>
      <c r="AT28" s="930">
        <f>SUM(AH28:AS28)</f>
        <v>0</v>
      </c>
      <c r="AU28" s="905"/>
      <c r="AV28" s="895">
        <f>T28+AG28+AT28</f>
        <v>0</v>
      </c>
      <c r="AW28" s="932"/>
      <c r="AX28" s="813">
        <f t="shared" si="0"/>
        <v>0</v>
      </c>
    </row>
    <row r="29" spans="1:50" s="820" customFormat="1" ht="15" customHeight="1" thickBot="1">
      <c r="A29" s="827" t="s">
        <v>524</v>
      </c>
      <c r="B29" s="890">
        <f>B24</f>
        <v>157993.44</v>
      </c>
      <c r="C29" s="933"/>
      <c r="D29" s="918"/>
      <c r="E29" s="934"/>
      <c r="F29" s="918"/>
      <c r="G29" s="934"/>
      <c r="H29" s="929"/>
      <c r="I29" s="929"/>
      <c r="J29" s="929"/>
      <c r="K29" s="929"/>
      <c r="L29" s="929"/>
      <c r="M29" s="929"/>
      <c r="N29" s="929"/>
      <c r="O29" s="929"/>
      <c r="P29" s="929"/>
      <c r="Q29" s="929"/>
      <c r="R29" s="929"/>
      <c r="S29" s="929"/>
      <c r="T29" s="930">
        <f>SUM(H29:S29)</f>
        <v>0</v>
      </c>
      <c r="U29" s="931"/>
      <c r="V29" s="931"/>
      <c r="W29" s="931"/>
      <c r="X29" s="931"/>
      <c r="Y29" s="931"/>
      <c r="Z29" s="931">
        <v>770</v>
      </c>
      <c r="AA29" s="931"/>
      <c r="AB29" s="931"/>
      <c r="AC29" s="931">
        <v>1249.6</v>
      </c>
      <c r="AD29" s="931"/>
      <c r="AE29" s="931">
        <v>27376.8</v>
      </c>
      <c r="AF29" s="931"/>
      <c r="AG29" s="930">
        <f>SUM(U29:AF29)</f>
        <v>29396.399999999998</v>
      </c>
      <c r="AH29" s="931"/>
      <c r="AI29" s="931">
        <v>32149.26</v>
      </c>
      <c r="AJ29" s="931"/>
      <c r="AK29" s="931">
        <v>32149.26</v>
      </c>
      <c r="AL29" s="931"/>
      <c r="AM29" s="931">
        <v>32149.26</v>
      </c>
      <c r="AN29" s="931"/>
      <c r="AO29" s="931">
        <v>32149.26</v>
      </c>
      <c r="AP29" s="931"/>
      <c r="AQ29" s="931"/>
      <c r="AR29" s="931"/>
      <c r="AS29" s="931"/>
      <c r="AT29" s="930">
        <f>SUM(AH29:AS29)</f>
        <v>128597.04</v>
      </c>
      <c r="AU29" s="905"/>
      <c r="AV29" s="895">
        <f>T29+AG29+AT29</f>
        <v>157993.44</v>
      </c>
      <c r="AW29" s="935"/>
      <c r="AX29" s="813">
        <f t="shared" si="0"/>
        <v>0</v>
      </c>
    </row>
    <row r="30" spans="1:50" s="829" customFormat="1" ht="15.75" customHeight="1" thickBot="1">
      <c r="A30" s="828" t="s">
        <v>525</v>
      </c>
      <c r="B30" s="956">
        <f>SUM(B28:B29)</f>
        <v>157993.44</v>
      </c>
      <c r="C30" s="937"/>
      <c r="D30" s="938"/>
      <c r="E30" s="939"/>
      <c r="F30" s="938"/>
      <c r="G30" s="939"/>
      <c r="H30" s="940">
        <f>SUM(H28:H29)</f>
        <v>0</v>
      </c>
      <c r="I30" s="940">
        <f aca="true" t="shared" si="14" ref="I30:AW30">SUM(I28:I29)</f>
        <v>0</v>
      </c>
      <c r="J30" s="940">
        <f t="shared" si="14"/>
        <v>0</v>
      </c>
      <c r="K30" s="940">
        <f t="shared" si="14"/>
        <v>0</v>
      </c>
      <c r="L30" s="940">
        <f>SUM(L28:L29)</f>
        <v>0</v>
      </c>
      <c r="M30" s="940">
        <f t="shared" si="14"/>
        <v>0</v>
      </c>
      <c r="N30" s="940">
        <f t="shared" si="14"/>
        <v>0</v>
      </c>
      <c r="O30" s="940">
        <f>SUM(O28:O29)</f>
        <v>0</v>
      </c>
      <c r="P30" s="940">
        <f>SUM(P28:P29)</f>
        <v>0</v>
      </c>
      <c r="Q30" s="940">
        <f t="shared" si="14"/>
        <v>0</v>
      </c>
      <c r="R30" s="940">
        <f>SUM(R28:R29)</f>
        <v>0</v>
      </c>
      <c r="S30" s="940">
        <f t="shared" si="14"/>
        <v>0</v>
      </c>
      <c r="T30" s="940">
        <f t="shared" si="14"/>
        <v>0</v>
      </c>
      <c r="U30" s="940">
        <f t="shared" si="14"/>
        <v>0</v>
      </c>
      <c r="V30" s="940">
        <f t="shared" si="14"/>
        <v>0</v>
      </c>
      <c r="W30" s="940">
        <f t="shared" si="14"/>
        <v>0</v>
      </c>
      <c r="X30" s="940">
        <f t="shared" si="14"/>
        <v>0</v>
      </c>
      <c r="Y30" s="940">
        <f t="shared" si="14"/>
        <v>0</v>
      </c>
      <c r="Z30" s="940">
        <f t="shared" si="14"/>
        <v>4270</v>
      </c>
      <c r="AA30" s="940">
        <f t="shared" si="14"/>
        <v>0</v>
      </c>
      <c r="AB30" s="940">
        <f t="shared" si="14"/>
        <v>0</v>
      </c>
      <c r="AC30" s="940">
        <f t="shared" si="14"/>
        <v>-2250.4</v>
      </c>
      <c r="AD30" s="940">
        <f t="shared" si="14"/>
        <v>0</v>
      </c>
      <c r="AE30" s="940">
        <f t="shared" si="14"/>
        <v>27376.8</v>
      </c>
      <c r="AF30" s="940">
        <f t="shared" si="14"/>
        <v>0</v>
      </c>
      <c r="AG30" s="940">
        <f t="shared" si="14"/>
        <v>29396.399999999998</v>
      </c>
      <c r="AH30" s="940">
        <f t="shared" si="14"/>
        <v>0</v>
      </c>
      <c r="AI30" s="940">
        <f t="shared" si="14"/>
        <v>32149.26</v>
      </c>
      <c r="AJ30" s="940">
        <f t="shared" si="14"/>
        <v>0</v>
      </c>
      <c r="AK30" s="940">
        <f t="shared" si="14"/>
        <v>32149.26</v>
      </c>
      <c r="AL30" s="940">
        <f t="shared" si="14"/>
        <v>0</v>
      </c>
      <c r="AM30" s="940">
        <f t="shared" si="14"/>
        <v>32149.26</v>
      </c>
      <c r="AN30" s="940">
        <f t="shared" si="14"/>
        <v>0</v>
      </c>
      <c r="AO30" s="940">
        <f t="shared" si="14"/>
        <v>93969.34999999999</v>
      </c>
      <c r="AP30" s="940">
        <f t="shared" si="14"/>
        <v>0</v>
      </c>
      <c r="AQ30" s="940">
        <f t="shared" si="14"/>
        <v>-61820.09</v>
      </c>
      <c r="AR30" s="940">
        <f t="shared" si="14"/>
        <v>0</v>
      </c>
      <c r="AS30" s="940">
        <f t="shared" si="14"/>
        <v>0</v>
      </c>
      <c r="AT30" s="940">
        <f t="shared" si="14"/>
        <v>128597.04</v>
      </c>
      <c r="AU30" s="940">
        <f t="shared" si="14"/>
        <v>0</v>
      </c>
      <c r="AV30" s="940">
        <f t="shared" si="14"/>
        <v>157993.44</v>
      </c>
      <c r="AW30" s="940">
        <f t="shared" si="14"/>
        <v>0</v>
      </c>
      <c r="AX30" s="813">
        <f t="shared" si="0"/>
        <v>0</v>
      </c>
    </row>
    <row r="31" spans="1:50" s="829" customFormat="1" ht="17.25" customHeight="1" thickBot="1" thickTop="1">
      <c r="A31" s="830" t="s">
        <v>526</v>
      </c>
      <c r="B31" s="936"/>
      <c r="C31" s="941"/>
      <c r="D31" s="941"/>
      <c r="E31" s="941"/>
      <c r="F31" s="941"/>
      <c r="G31" s="941"/>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3"/>
      <c r="AV31" s="944"/>
      <c r="AW31" s="944"/>
      <c r="AX31" s="813">
        <f t="shared" si="0"/>
        <v>0</v>
      </c>
    </row>
    <row r="32" spans="1:50" s="829" customFormat="1" ht="14.25" customHeight="1" thickTop="1">
      <c r="A32" s="831" t="s">
        <v>3</v>
      </c>
      <c r="B32" s="936">
        <v>0</v>
      </c>
      <c r="C32" s="945"/>
      <c r="D32" s="946"/>
      <c r="E32" s="932"/>
      <c r="F32" s="946"/>
      <c r="G32" s="932"/>
      <c r="H32" s="947"/>
      <c r="I32" s="947"/>
      <c r="J32" s="947"/>
      <c r="K32" s="947"/>
      <c r="L32" s="947"/>
      <c r="M32" s="947"/>
      <c r="N32" s="947"/>
      <c r="O32" s="947">
        <v>0</v>
      </c>
      <c r="P32" s="947">
        <v>0</v>
      </c>
      <c r="Q32" s="947">
        <v>0</v>
      </c>
      <c r="R32" s="947">
        <v>0</v>
      </c>
      <c r="S32" s="947">
        <v>0</v>
      </c>
      <c r="T32" s="930">
        <f>SUM(H32:S32)</f>
        <v>0</v>
      </c>
      <c r="U32" s="948">
        <v>0</v>
      </c>
      <c r="V32" s="948"/>
      <c r="W32" s="948">
        <v>0</v>
      </c>
      <c r="X32" s="948"/>
      <c r="Y32" s="948"/>
      <c r="Z32" s="948">
        <v>0</v>
      </c>
      <c r="AA32" s="948">
        <v>0</v>
      </c>
      <c r="AB32" s="948">
        <v>0</v>
      </c>
      <c r="AC32" s="948">
        <v>0</v>
      </c>
      <c r="AD32" s="948">
        <v>0</v>
      </c>
      <c r="AE32" s="948">
        <v>0</v>
      </c>
      <c r="AF32" s="948">
        <v>0</v>
      </c>
      <c r="AG32" s="930">
        <f>SUM(U32:AF32)</f>
        <v>0</v>
      </c>
      <c r="AH32" s="948"/>
      <c r="AI32" s="948">
        <v>0</v>
      </c>
      <c r="AJ32" s="948">
        <v>0</v>
      </c>
      <c r="AK32" s="948">
        <v>0</v>
      </c>
      <c r="AL32" s="948">
        <v>0</v>
      </c>
      <c r="AM32" s="948">
        <v>0</v>
      </c>
      <c r="AN32" s="948">
        <v>0</v>
      </c>
      <c r="AO32" s="948">
        <v>0</v>
      </c>
      <c r="AP32" s="948">
        <v>0</v>
      </c>
      <c r="AQ32" s="948">
        <v>0</v>
      </c>
      <c r="AR32" s="948">
        <v>0</v>
      </c>
      <c r="AS32" s="948">
        <v>0</v>
      </c>
      <c r="AT32" s="930">
        <f>SUM(AH32:AS32)</f>
        <v>0</v>
      </c>
      <c r="AU32" s="943"/>
      <c r="AV32" s="895">
        <f>T32+AG32+AT32</f>
        <v>0</v>
      </c>
      <c r="AW32" s="949"/>
      <c r="AX32" s="813">
        <f t="shared" si="0"/>
        <v>0</v>
      </c>
    </row>
    <row r="33" spans="1:48" s="829" customFormat="1" ht="15" customHeight="1">
      <c r="A33" s="832"/>
      <c r="B33" s="833"/>
      <c r="D33" s="833"/>
      <c r="F33" s="833"/>
      <c r="H33" s="834"/>
      <c r="I33" s="834"/>
      <c r="J33" s="834"/>
      <c r="K33" s="834"/>
      <c r="L33" s="834"/>
      <c r="M33" s="834"/>
      <c r="N33" s="834"/>
      <c r="O33" s="834"/>
      <c r="P33" s="834"/>
      <c r="Q33" s="834"/>
      <c r="R33" s="834"/>
      <c r="S33" s="834"/>
      <c r="T33" s="822"/>
      <c r="U33" s="834"/>
      <c r="V33" s="834"/>
      <c r="W33" s="834"/>
      <c r="X33" s="834"/>
      <c r="Y33" s="834"/>
      <c r="Z33" s="834"/>
      <c r="AA33" s="834"/>
      <c r="AB33" s="834"/>
      <c r="AC33" s="834"/>
      <c r="AD33" s="834"/>
      <c r="AE33" s="834"/>
      <c r="AF33" s="834"/>
      <c r="AG33" s="822"/>
      <c r="AH33" s="834"/>
      <c r="AI33" s="834"/>
      <c r="AJ33" s="834"/>
      <c r="AK33" s="834"/>
      <c r="AL33" s="834"/>
      <c r="AM33" s="834"/>
      <c r="AN33" s="834"/>
      <c r="AO33" s="834"/>
      <c r="AP33" s="834"/>
      <c r="AQ33" s="834"/>
      <c r="AR33" s="834"/>
      <c r="AS33" s="834"/>
      <c r="AT33" s="822"/>
      <c r="AV33" s="822"/>
    </row>
    <row r="34" spans="1:35" s="761" customFormat="1" ht="16.5" customHeight="1">
      <c r="A34" s="835" t="s">
        <v>527</v>
      </c>
      <c r="K34" s="762"/>
      <c r="V34" s="762"/>
      <c r="AI34" s="762"/>
    </row>
    <row r="35" spans="1:49" s="760" customFormat="1" ht="15" customHeight="1">
      <c r="A35" s="836"/>
      <c r="B35" s="761"/>
      <c r="D35" s="756"/>
      <c r="E35" s="761"/>
      <c r="F35" s="756"/>
      <c r="G35" s="836"/>
      <c r="H35" s="837"/>
      <c r="I35" s="837"/>
      <c r="J35" s="837"/>
      <c r="K35" s="838"/>
      <c r="L35" s="837"/>
      <c r="M35" s="837"/>
      <c r="N35" s="837"/>
      <c r="O35" s="837"/>
      <c r="P35" s="837"/>
      <c r="Q35" s="837"/>
      <c r="R35" s="837"/>
      <c r="S35" s="837"/>
      <c r="T35" s="837"/>
      <c r="U35" s="837"/>
      <c r="V35" s="838"/>
      <c r="W35" s="837"/>
      <c r="X35" s="837"/>
      <c r="Y35" s="837"/>
      <c r="Z35" s="837"/>
      <c r="AA35" s="837"/>
      <c r="AB35" s="837"/>
      <c r="AC35" s="837"/>
      <c r="AD35" s="837"/>
      <c r="AE35" s="837"/>
      <c r="AF35" s="837"/>
      <c r="AG35" s="837"/>
      <c r="AH35" s="837"/>
      <c r="AI35" s="838"/>
      <c r="AJ35" s="837"/>
      <c r="AK35" s="837"/>
      <c r="AL35" s="837"/>
      <c r="AM35" s="837"/>
      <c r="AN35" s="837"/>
      <c r="AO35" s="837"/>
      <c r="AP35" s="837"/>
      <c r="AQ35" s="837"/>
      <c r="AR35" s="837"/>
      <c r="AS35" s="837"/>
      <c r="AT35" s="837"/>
      <c r="AU35" s="837"/>
      <c r="AV35" s="837"/>
      <c r="AW35" s="837"/>
    </row>
    <row r="36" spans="1:35" s="760" customFormat="1" ht="14.25" customHeight="1">
      <c r="A36" s="756" t="s">
        <v>528</v>
      </c>
      <c r="B36" s="757"/>
      <c r="D36" s="757"/>
      <c r="E36" s="757"/>
      <c r="F36" s="757"/>
      <c r="G36" s="757"/>
      <c r="K36" s="764"/>
      <c r="V36" s="764"/>
      <c r="X36" s="764"/>
      <c r="AI36" s="764"/>
    </row>
    <row r="37" spans="1:35" s="760" customFormat="1" ht="14.25" customHeight="1">
      <c r="A37" s="757" t="s">
        <v>549</v>
      </c>
      <c r="B37" s="757"/>
      <c r="D37" s="839"/>
      <c r="E37" s="757"/>
      <c r="F37" s="757"/>
      <c r="G37" s="757"/>
      <c r="K37" s="764"/>
      <c r="V37" s="764"/>
      <c r="X37" s="764"/>
      <c r="AI37" s="764"/>
    </row>
    <row r="38" spans="1:35" s="760" customFormat="1" ht="14.25" customHeight="1">
      <c r="A38" s="757" t="s">
        <v>529</v>
      </c>
      <c r="B38" s="757"/>
      <c r="C38" s="757"/>
      <c r="D38" s="757"/>
      <c r="E38" s="757"/>
      <c r="F38" s="757"/>
      <c r="G38" s="757"/>
      <c r="K38" s="764"/>
      <c r="V38" s="764"/>
      <c r="X38" s="764"/>
      <c r="AI38" s="764"/>
    </row>
    <row r="39" spans="1:35" s="760" customFormat="1" ht="14.25" customHeight="1">
      <c r="A39" s="757" t="s">
        <v>551</v>
      </c>
      <c r="B39" s="757"/>
      <c r="C39" s="757"/>
      <c r="D39" s="757"/>
      <c r="E39" s="757"/>
      <c r="F39" s="757"/>
      <c r="G39" s="757"/>
      <c r="K39" s="764"/>
      <c r="V39" s="764"/>
      <c r="X39" s="764"/>
      <c r="AI39" s="764"/>
    </row>
    <row r="40" spans="1:35" s="760" customFormat="1" ht="15" customHeight="1">
      <c r="A40" s="757" t="s">
        <v>530</v>
      </c>
      <c r="K40" s="764"/>
      <c r="V40" s="764"/>
      <c r="AI40" s="764"/>
    </row>
    <row r="41" spans="1:35" s="760" customFormat="1" ht="15" customHeight="1">
      <c r="A41" s="840" t="s">
        <v>531</v>
      </c>
      <c r="K41" s="764"/>
      <c r="V41" s="764"/>
      <c r="AI41" s="764"/>
    </row>
    <row r="42" spans="1:35" s="760" customFormat="1" ht="9" customHeight="1">
      <c r="A42" s="1017" t="s">
        <v>532</v>
      </c>
      <c r="B42" s="1018"/>
      <c r="C42" s="1018"/>
      <c r="K42" s="764"/>
      <c r="V42" s="764"/>
      <c r="AI42" s="764"/>
    </row>
    <row r="43" spans="1:35" s="760" customFormat="1" ht="14.25" customHeight="1">
      <c r="A43" s="1018"/>
      <c r="B43" s="1018"/>
      <c r="C43" s="1018"/>
      <c r="K43" s="764"/>
      <c r="V43" s="764"/>
      <c r="AI43" s="764"/>
    </row>
    <row r="44" spans="1:35" s="760" customFormat="1" ht="13.5" customHeight="1">
      <c r="A44" s="1018"/>
      <c r="B44" s="1018"/>
      <c r="C44" s="1018"/>
      <c r="K44" s="764"/>
      <c r="V44" s="764"/>
      <c r="AI44" s="764"/>
    </row>
    <row r="45" spans="1:35" s="841" customFormat="1" ht="15" customHeight="1">
      <c r="A45" s="836" t="s">
        <v>533</v>
      </c>
      <c r="K45" s="842"/>
      <c r="V45" s="842"/>
      <c r="AI45" s="842"/>
    </row>
    <row r="46" spans="1:35" s="841" customFormat="1" ht="13.5" customHeight="1">
      <c r="A46" s="1017" t="s">
        <v>550</v>
      </c>
      <c r="B46" s="1018"/>
      <c r="C46" s="1018"/>
      <c r="K46" s="842"/>
      <c r="V46" s="842"/>
      <c r="AI46" s="842"/>
    </row>
    <row r="47" spans="1:35" s="841" customFormat="1" ht="18" customHeight="1">
      <c r="A47" s="1018"/>
      <c r="B47" s="1018"/>
      <c r="C47" s="1018"/>
      <c r="K47" s="842"/>
      <c r="V47" s="842"/>
      <c r="AI47" s="842"/>
    </row>
    <row r="48" spans="1:35" s="841" customFormat="1" ht="13.5" customHeight="1">
      <c r="A48" s="611"/>
      <c r="K48" s="842"/>
      <c r="V48" s="842"/>
      <c r="AI48" s="842"/>
    </row>
    <row r="49" spans="1:35" s="841" customFormat="1" ht="13.5" customHeight="1">
      <c r="A49" s="611"/>
      <c r="K49" s="842"/>
      <c r="V49" s="842"/>
      <c r="AI49" s="842"/>
    </row>
    <row r="50" spans="1:35" s="841" customFormat="1" ht="18.75" customHeight="1">
      <c r="A50" s="611"/>
      <c r="K50" s="842"/>
      <c r="V50" s="842"/>
      <c r="AI50" s="842"/>
    </row>
    <row r="51" spans="1:35" s="841" customFormat="1" ht="18.75" customHeight="1">
      <c r="A51" s="611"/>
      <c r="K51" s="842"/>
      <c r="V51" s="842"/>
      <c r="AI51" s="842"/>
    </row>
    <row r="52" spans="1:35" s="841" customFormat="1" ht="13.5" customHeight="1">
      <c r="A52" s="611"/>
      <c r="K52" s="842"/>
      <c r="V52" s="842"/>
      <c r="AI52" s="842"/>
    </row>
    <row r="53" spans="1:35" s="841" customFormat="1" ht="13.5" customHeight="1">
      <c r="A53" s="611"/>
      <c r="K53" s="842"/>
      <c r="V53" s="842"/>
      <c r="AI53" s="842"/>
    </row>
    <row r="54" spans="1:35" s="841" customFormat="1" ht="15.75">
      <c r="A54" s="611"/>
      <c r="B54" s="843"/>
      <c r="C54" s="844"/>
      <c r="D54" s="843"/>
      <c r="E54" s="844"/>
      <c r="F54" s="843"/>
      <c r="G54" s="844"/>
      <c r="K54" s="842"/>
      <c r="V54" s="842"/>
      <c r="AI54" s="842"/>
    </row>
    <row r="55" spans="1:35" s="841" customFormat="1" ht="15.75">
      <c r="A55" s="611"/>
      <c r="B55" s="757"/>
      <c r="C55" s="845"/>
      <c r="D55" s="757"/>
      <c r="E55" s="845"/>
      <c r="F55" s="757"/>
      <c r="G55" s="845"/>
      <c r="K55" s="842"/>
      <c r="V55" s="842"/>
      <c r="AI55" s="842"/>
    </row>
    <row r="56" spans="1:35" s="841" customFormat="1" ht="15.75">
      <c r="A56" s="756"/>
      <c r="B56" s="846"/>
      <c r="C56" s="757"/>
      <c r="D56" s="846"/>
      <c r="E56" s="757"/>
      <c r="F56" s="846"/>
      <c r="G56" s="757"/>
      <c r="H56" s="760"/>
      <c r="I56" s="760"/>
      <c r="J56" s="760"/>
      <c r="K56" s="764"/>
      <c r="L56" s="760"/>
      <c r="M56" s="760"/>
      <c r="N56" s="760"/>
      <c r="O56" s="760"/>
      <c r="P56" s="760"/>
      <c r="Q56" s="760"/>
      <c r="R56" s="760"/>
      <c r="S56" s="760"/>
      <c r="T56" s="760"/>
      <c r="V56" s="842"/>
      <c r="AI56" s="842"/>
    </row>
    <row r="57" spans="1:35" s="841" customFormat="1" ht="13.5" customHeight="1">
      <c r="A57" s="847"/>
      <c r="B57" s="757"/>
      <c r="C57" s="844"/>
      <c r="D57" s="757"/>
      <c r="E57" s="844"/>
      <c r="F57" s="757"/>
      <c r="G57" s="844"/>
      <c r="H57" s="760"/>
      <c r="I57" s="760"/>
      <c r="J57" s="760"/>
      <c r="K57" s="764"/>
      <c r="L57" s="760"/>
      <c r="M57" s="760"/>
      <c r="N57" s="760"/>
      <c r="O57" s="760"/>
      <c r="P57" s="760"/>
      <c r="Q57" s="760"/>
      <c r="R57" s="760"/>
      <c r="S57" s="760"/>
      <c r="T57" s="760"/>
      <c r="V57" s="842"/>
      <c r="AI57" s="842"/>
    </row>
    <row r="58" spans="1:35" s="841" customFormat="1" ht="15.75">
      <c r="A58" s="847"/>
      <c r="B58" s="843"/>
      <c r="C58" s="844"/>
      <c r="D58" s="843"/>
      <c r="E58" s="844"/>
      <c r="F58" s="843"/>
      <c r="G58" s="844"/>
      <c r="H58" s="760"/>
      <c r="I58" s="760"/>
      <c r="J58" s="760"/>
      <c r="K58" s="764"/>
      <c r="L58" s="760"/>
      <c r="M58" s="760"/>
      <c r="N58" s="760"/>
      <c r="O58" s="760"/>
      <c r="P58" s="760"/>
      <c r="Q58" s="760"/>
      <c r="R58" s="760"/>
      <c r="S58" s="760"/>
      <c r="T58" s="760"/>
      <c r="V58" s="842"/>
      <c r="AI58" s="842"/>
    </row>
    <row r="59" spans="1:35" s="841" customFormat="1" ht="15.75">
      <c r="A59" s="847"/>
      <c r="B59" s="843"/>
      <c r="C59" s="844"/>
      <c r="D59" s="843"/>
      <c r="E59" s="844"/>
      <c r="F59" s="843"/>
      <c r="G59" s="844"/>
      <c r="H59" s="760"/>
      <c r="I59" s="760"/>
      <c r="J59" s="760"/>
      <c r="K59" s="764"/>
      <c r="L59" s="760"/>
      <c r="M59" s="760"/>
      <c r="N59" s="760"/>
      <c r="O59" s="760"/>
      <c r="P59" s="760"/>
      <c r="Q59" s="760"/>
      <c r="R59" s="760"/>
      <c r="S59" s="760"/>
      <c r="T59" s="760"/>
      <c r="V59" s="842"/>
      <c r="AI59" s="842"/>
    </row>
    <row r="60" spans="1:35" s="841" customFormat="1" ht="15.75">
      <c r="A60" s="847"/>
      <c r="B60" s="843"/>
      <c r="C60" s="844"/>
      <c r="D60" s="843"/>
      <c r="E60" s="844"/>
      <c r="F60" s="843"/>
      <c r="G60" s="844"/>
      <c r="H60" s="760"/>
      <c r="I60" s="760"/>
      <c r="J60" s="760"/>
      <c r="K60" s="764"/>
      <c r="L60" s="760"/>
      <c r="M60" s="760"/>
      <c r="N60" s="760"/>
      <c r="O60" s="760"/>
      <c r="P60" s="760"/>
      <c r="Q60" s="760"/>
      <c r="R60" s="760"/>
      <c r="S60" s="760"/>
      <c r="T60" s="760"/>
      <c r="V60" s="842"/>
      <c r="AI60" s="842"/>
    </row>
    <row r="61" spans="1:20" ht="15.75">
      <c r="A61" s="756"/>
      <c r="B61" s="843"/>
      <c r="C61" s="844"/>
      <c r="D61" s="843"/>
      <c r="E61" s="844"/>
      <c r="F61" s="843"/>
      <c r="G61" s="844"/>
      <c r="H61" s="841"/>
      <c r="I61" s="841"/>
      <c r="J61" s="841"/>
      <c r="K61" s="842"/>
      <c r="L61" s="841"/>
      <c r="M61" s="841"/>
      <c r="N61" s="841"/>
      <c r="O61" s="841"/>
      <c r="P61" s="841"/>
      <c r="Q61" s="841"/>
      <c r="R61" s="841"/>
      <c r="S61" s="841"/>
      <c r="T61" s="841"/>
    </row>
    <row r="62" spans="1:20" ht="15.75">
      <c r="A62" s="757"/>
      <c r="B62" s="757"/>
      <c r="C62" s="760"/>
      <c r="D62" s="757"/>
      <c r="E62" s="760"/>
      <c r="F62" s="757"/>
      <c r="G62" s="760"/>
      <c r="H62" s="841"/>
      <c r="I62" s="841"/>
      <c r="J62" s="841"/>
      <c r="K62" s="842"/>
      <c r="L62" s="841"/>
      <c r="M62" s="841"/>
      <c r="N62" s="841"/>
      <c r="O62" s="841"/>
      <c r="P62" s="841"/>
      <c r="Q62" s="841"/>
      <c r="R62" s="841"/>
      <c r="S62" s="841"/>
      <c r="T62" s="841"/>
    </row>
    <row r="63" spans="1:20" ht="15.75">
      <c r="A63" s="757"/>
      <c r="B63" s="843"/>
      <c r="C63" s="844"/>
      <c r="D63" s="843"/>
      <c r="E63" s="844"/>
      <c r="F63" s="843"/>
      <c r="G63" s="844"/>
      <c r="H63" s="841"/>
      <c r="I63" s="841"/>
      <c r="J63" s="841"/>
      <c r="K63" s="842"/>
      <c r="L63" s="841"/>
      <c r="M63" s="841"/>
      <c r="N63" s="841"/>
      <c r="O63" s="841"/>
      <c r="P63" s="841"/>
      <c r="Q63" s="841"/>
      <c r="R63" s="841"/>
      <c r="S63" s="841"/>
      <c r="T63" s="841"/>
    </row>
    <row r="64" spans="1:20" ht="15.75">
      <c r="A64" s="757"/>
      <c r="B64" s="846"/>
      <c r="C64" s="849"/>
      <c r="D64" s="846"/>
      <c r="E64" s="849"/>
      <c r="F64" s="846"/>
      <c r="G64" s="849"/>
      <c r="H64" s="841"/>
      <c r="I64" s="841"/>
      <c r="J64" s="841"/>
      <c r="K64" s="842"/>
      <c r="L64" s="841"/>
      <c r="M64" s="841"/>
      <c r="N64" s="841"/>
      <c r="O64" s="841"/>
      <c r="P64" s="841"/>
      <c r="Q64" s="841"/>
      <c r="R64" s="841"/>
      <c r="S64" s="841"/>
      <c r="T64" s="841"/>
    </row>
    <row r="65" spans="1:20" ht="15.75">
      <c r="A65" s="757"/>
      <c r="B65" s="757"/>
      <c r="C65" s="757"/>
      <c r="D65" s="757"/>
      <c r="E65" s="757"/>
      <c r="F65" s="757"/>
      <c r="G65" s="757"/>
      <c r="H65" s="841"/>
      <c r="I65" s="841"/>
      <c r="J65" s="841"/>
      <c r="K65" s="842"/>
      <c r="L65" s="841"/>
      <c r="M65" s="841"/>
      <c r="N65" s="841"/>
      <c r="O65" s="841"/>
      <c r="P65" s="841"/>
      <c r="Q65" s="841"/>
      <c r="R65" s="841"/>
      <c r="S65" s="841"/>
      <c r="T65" s="841"/>
    </row>
    <row r="66" spans="1:20" ht="15.75">
      <c r="A66" s="757"/>
      <c r="B66" s="843"/>
      <c r="C66" s="850"/>
      <c r="D66" s="843"/>
      <c r="E66" s="850"/>
      <c r="F66" s="843"/>
      <c r="G66" s="850"/>
      <c r="H66" s="841"/>
      <c r="I66" s="841"/>
      <c r="J66" s="841"/>
      <c r="K66" s="842"/>
      <c r="L66" s="841"/>
      <c r="M66" s="841"/>
      <c r="N66" s="841"/>
      <c r="O66" s="841"/>
      <c r="P66" s="841"/>
      <c r="Q66" s="841"/>
      <c r="R66" s="841"/>
      <c r="S66" s="841"/>
      <c r="T66" s="841"/>
    </row>
    <row r="67" spans="1:20" ht="15.75">
      <c r="A67" s="757"/>
      <c r="B67" s="851"/>
      <c r="C67" s="852"/>
      <c r="D67" s="851"/>
      <c r="E67" s="852"/>
      <c r="F67" s="851"/>
      <c r="G67" s="852"/>
      <c r="H67" s="841"/>
      <c r="I67" s="841"/>
      <c r="J67" s="841"/>
      <c r="K67" s="842"/>
      <c r="L67" s="841"/>
      <c r="M67" s="841"/>
      <c r="N67" s="841"/>
      <c r="O67" s="841"/>
      <c r="P67" s="841"/>
      <c r="Q67" s="841"/>
      <c r="R67" s="841"/>
      <c r="S67" s="841"/>
      <c r="T67" s="841"/>
    </row>
    <row r="68" spans="1:20" ht="15.75">
      <c r="A68" s="757"/>
      <c r="B68" s="757"/>
      <c r="D68" s="757"/>
      <c r="F68" s="757"/>
      <c r="H68" s="841"/>
      <c r="I68" s="841"/>
      <c r="J68" s="841"/>
      <c r="K68" s="842"/>
      <c r="L68" s="841"/>
      <c r="M68" s="841"/>
      <c r="N68" s="841"/>
      <c r="O68" s="841"/>
      <c r="P68" s="841"/>
      <c r="Q68" s="841"/>
      <c r="R68" s="841"/>
      <c r="S68" s="841"/>
      <c r="T68" s="841"/>
    </row>
    <row r="69" spans="1:20" ht="15.75">
      <c r="A69" s="757"/>
      <c r="B69" s="757"/>
      <c r="C69" s="844"/>
      <c r="D69" s="757"/>
      <c r="E69" s="844"/>
      <c r="F69" s="757"/>
      <c r="G69" s="844"/>
      <c r="H69" s="841"/>
      <c r="I69" s="841"/>
      <c r="J69" s="841"/>
      <c r="K69" s="842"/>
      <c r="L69" s="841"/>
      <c r="M69" s="841"/>
      <c r="N69" s="841"/>
      <c r="O69" s="841"/>
      <c r="P69" s="841"/>
      <c r="Q69" s="841"/>
      <c r="R69" s="841"/>
      <c r="S69" s="841"/>
      <c r="T69" s="841"/>
    </row>
    <row r="70" spans="1:20" ht="15.75">
      <c r="A70" s="756"/>
      <c r="B70" s="757"/>
      <c r="C70" s="757"/>
      <c r="D70" s="757"/>
      <c r="E70" s="757"/>
      <c r="F70" s="757"/>
      <c r="G70" s="757"/>
      <c r="H70" s="841"/>
      <c r="I70" s="841"/>
      <c r="J70" s="841"/>
      <c r="K70" s="842"/>
      <c r="L70" s="841"/>
      <c r="M70" s="841"/>
      <c r="N70" s="841"/>
      <c r="O70" s="841"/>
      <c r="P70" s="841"/>
      <c r="Q70" s="841"/>
      <c r="R70" s="841"/>
      <c r="S70" s="841"/>
      <c r="T70" s="841"/>
    </row>
    <row r="71" spans="1:20" ht="15.75">
      <c r="A71" s="757"/>
      <c r="B71" s="843"/>
      <c r="C71" s="844"/>
      <c r="D71" s="843"/>
      <c r="E71" s="844"/>
      <c r="F71" s="843"/>
      <c r="G71" s="844"/>
      <c r="H71" s="841"/>
      <c r="I71" s="841"/>
      <c r="J71" s="841"/>
      <c r="K71" s="842"/>
      <c r="L71" s="841"/>
      <c r="M71" s="841"/>
      <c r="N71" s="841"/>
      <c r="O71" s="841"/>
      <c r="P71" s="841"/>
      <c r="Q71" s="841"/>
      <c r="R71" s="841"/>
      <c r="S71" s="841"/>
      <c r="T71" s="841"/>
    </row>
    <row r="72" spans="1:20" ht="15.75">
      <c r="A72" s="757"/>
      <c r="B72" s="843"/>
      <c r="C72" s="844"/>
      <c r="D72" s="843"/>
      <c r="E72" s="844"/>
      <c r="F72" s="843"/>
      <c r="G72" s="844"/>
      <c r="H72" s="841"/>
      <c r="I72" s="841"/>
      <c r="J72" s="841"/>
      <c r="K72" s="842"/>
      <c r="L72" s="841"/>
      <c r="M72" s="841"/>
      <c r="N72" s="841"/>
      <c r="O72" s="841"/>
      <c r="P72" s="841"/>
      <c r="Q72" s="841"/>
      <c r="R72" s="841"/>
      <c r="S72" s="841"/>
      <c r="T72" s="841"/>
    </row>
  </sheetData>
  <sheetProtection/>
  <mergeCells count="18">
    <mergeCell ref="U8:AF8"/>
    <mergeCell ref="AG8:AG9"/>
    <mergeCell ref="A6:B6"/>
    <mergeCell ref="A8:A9"/>
    <mergeCell ref="B8:B9"/>
    <mergeCell ref="C8:C9"/>
    <mergeCell ref="D8:D9"/>
    <mergeCell ref="E8:E9"/>
    <mergeCell ref="H8:S8"/>
    <mergeCell ref="T8:T9"/>
    <mergeCell ref="AH8:AS8"/>
    <mergeCell ref="AT8:AT9"/>
    <mergeCell ref="AV8:AV9"/>
    <mergeCell ref="AW8:AW9"/>
    <mergeCell ref="A42:C44"/>
    <mergeCell ref="A46:C47"/>
    <mergeCell ref="F8:F9"/>
    <mergeCell ref="G8:G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I24" sqref="I24"/>
    </sheetView>
  </sheetViews>
  <sheetFormatPr defaultColWidth="9.140625" defaultRowHeight="11.25"/>
  <cols>
    <col min="1" max="1" width="5.140625" style="653" customWidth="1"/>
    <col min="2" max="2" width="42.421875" style="653" customWidth="1"/>
    <col min="3" max="3" width="17.421875" style="653" customWidth="1"/>
    <col min="4" max="4" width="17.8515625" style="653" customWidth="1"/>
    <col min="5" max="5" width="11.28125" style="653" customWidth="1"/>
    <col min="6" max="6" width="12.8515625" style="653" customWidth="1"/>
    <col min="7" max="7" width="12.00390625" style="653" customWidth="1"/>
    <col min="8" max="16384" width="9.140625" style="653" customWidth="1"/>
  </cols>
  <sheetData>
    <row r="1" spans="2:5" ht="18" customHeight="1">
      <c r="B1" s="735" t="str">
        <f>'Datu ievade'!B4</f>
        <v>A novada pašvaldība</v>
      </c>
      <c r="C1" s="1014" t="str">
        <f>'Datu ievade'!B6</f>
        <v>Ūdenssaimniecības attīstība A ciemā</v>
      </c>
      <c r="D1" s="1014"/>
      <c r="E1" s="1014"/>
    </row>
    <row r="2" ht="11.25"/>
    <row r="3" spans="1:4" ht="12.75">
      <c r="A3" s="736"/>
      <c r="B3" s="737"/>
      <c r="C3" s="736"/>
      <c r="D3" s="736"/>
    </row>
    <row r="4" spans="1:4" ht="12.75">
      <c r="A4" s="738" t="s">
        <v>462</v>
      </c>
      <c r="B4" s="736"/>
      <c r="C4" s="736"/>
      <c r="D4" s="736"/>
    </row>
    <row r="5" spans="1:4" ht="12.75">
      <c r="A5" s="738"/>
      <c r="B5" s="736"/>
      <c r="C5" s="736"/>
      <c r="D5" s="736"/>
    </row>
    <row r="6" spans="1:4" ht="30">
      <c r="A6" s="658"/>
      <c r="B6" s="658" t="s">
        <v>463</v>
      </c>
      <c r="C6" s="659" t="s">
        <v>464</v>
      </c>
      <c r="D6" s="659" t="s">
        <v>465</v>
      </c>
    </row>
    <row r="7" spans="1:4" ht="27.75" customHeight="1">
      <c r="A7" s="660">
        <v>1</v>
      </c>
      <c r="B7" s="661" t="str">
        <f>"Pārskata periods: "&amp;'[1]Pienemumi'!B28&amp;" gadi"</f>
        <v>Pārskata periods: 30 gadi</v>
      </c>
      <c r="C7" s="660"/>
      <c r="D7" s="660"/>
    </row>
    <row r="8" spans="1:4" ht="21.75" customHeight="1">
      <c r="A8" s="660">
        <v>2</v>
      </c>
      <c r="B8" s="661" t="s">
        <v>535</v>
      </c>
      <c r="C8" s="660"/>
      <c r="D8" s="660"/>
    </row>
    <row r="9" spans="1:4" ht="43.5" customHeight="1">
      <c r="A9" s="660">
        <v>3</v>
      </c>
      <c r="B9" s="661" t="s">
        <v>466</v>
      </c>
      <c r="C9" s="662">
        <f>Aprekini!B95</f>
        <v>718152</v>
      </c>
      <c r="D9" s="660"/>
    </row>
    <row r="10" spans="1:4" ht="38.25" customHeight="1">
      <c r="A10" s="660">
        <v>4</v>
      </c>
      <c r="B10" s="661" t="s">
        <v>467</v>
      </c>
      <c r="C10" s="660"/>
      <c r="D10" s="662">
        <f>Aprekini!B96</f>
        <v>635431.391387894</v>
      </c>
    </row>
    <row r="11" spans="1:4" ht="32.25" customHeight="1">
      <c r="A11" s="660">
        <v>5</v>
      </c>
      <c r="B11" s="661" t="s">
        <v>468</v>
      </c>
      <c r="C11" s="662">
        <f>Aprekini!B97</f>
        <v>718152</v>
      </c>
      <c r="D11" s="660"/>
    </row>
    <row r="12" spans="1:4" ht="37.5" customHeight="1">
      <c r="A12" s="660">
        <v>6</v>
      </c>
      <c r="B12" s="661" t="s">
        <v>469</v>
      </c>
      <c r="C12" s="660"/>
      <c r="D12" s="662">
        <f>Aprekini!B98</f>
        <v>593861.1134466301</v>
      </c>
    </row>
    <row r="13" spans="1:4" ht="21" customHeight="1">
      <c r="A13" s="660">
        <v>7</v>
      </c>
      <c r="B13" s="661" t="s">
        <v>470</v>
      </c>
      <c r="C13" s="662">
        <f>Aprekini!B105</f>
        <v>239518</v>
      </c>
      <c r="D13" s="660"/>
    </row>
    <row r="14" spans="1:4" ht="19.5" customHeight="1">
      <c r="A14" s="660">
        <v>8</v>
      </c>
      <c r="B14" s="661" t="s">
        <v>471</v>
      </c>
      <c r="C14" s="660"/>
      <c r="D14" s="662">
        <f>Aprekini!B106</f>
        <v>29406.345015544834</v>
      </c>
    </row>
    <row r="15" spans="1:4" ht="19.5" customHeight="1">
      <c r="A15" s="660">
        <v>9</v>
      </c>
      <c r="B15" s="661" t="s">
        <v>472</v>
      </c>
      <c r="C15" s="660"/>
      <c r="D15" s="662">
        <f>Aprekini!B100</f>
        <v>146097.89462234857</v>
      </c>
    </row>
    <row r="16" spans="1:4" ht="22.5" customHeight="1">
      <c r="A16" s="660">
        <v>10</v>
      </c>
      <c r="B16" s="661" t="s">
        <v>473</v>
      </c>
      <c r="C16" s="660"/>
      <c r="D16" s="662">
        <f>Aprekini!B101</f>
        <v>-136742.80778319723</v>
      </c>
    </row>
    <row r="17" spans="1:4" ht="106.5" customHeight="1">
      <c r="A17" s="660">
        <v>11</v>
      </c>
      <c r="B17" s="661" t="s">
        <v>474</v>
      </c>
      <c r="C17" s="660"/>
      <c r="D17" s="662">
        <f>(D15-D16+D14)*(D12/D10)</f>
        <v>291819.67048700067</v>
      </c>
    </row>
    <row r="18" spans="1:4" ht="59.25" customHeight="1">
      <c r="A18" s="660">
        <v>12</v>
      </c>
      <c r="B18" s="661" t="s">
        <v>475</v>
      </c>
      <c r="C18" s="660"/>
      <c r="D18" s="662">
        <f>D12-D17</f>
        <v>302041.4429596294</v>
      </c>
    </row>
    <row r="19" spans="1:4" ht="29.25" customHeight="1">
      <c r="A19" s="660">
        <v>13</v>
      </c>
      <c r="B19" s="661" t="s">
        <v>476</v>
      </c>
      <c r="C19" s="660"/>
      <c r="D19" s="663">
        <f>ROUND(D18/D12,6)</f>
        <v>0.508606</v>
      </c>
    </row>
    <row r="20" ht="11.25"/>
    <row r="21" ht="11.25"/>
    <row r="22" spans="1:6" ht="12.75">
      <c r="A22" s="667" t="s">
        <v>452</v>
      </c>
      <c r="B22" s="668"/>
      <c r="C22" s="668"/>
      <c r="D22" s="668"/>
      <c r="E22" s="668"/>
      <c r="F22" s="668"/>
    </row>
    <row r="23" spans="1:6" ht="12.75">
      <c r="A23" s="668"/>
      <c r="B23" s="668"/>
      <c r="C23" s="668"/>
      <c r="D23" s="668"/>
      <c r="E23" s="668"/>
      <c r="F23" s="668"/>
    </row>
    <row r="24" spans="2:7" ht="60">
      <c r="B24" s="664"/>
      <c r="C24" s="665" t="s">
        <v>453</v>
      </c>
      <c r="D24" s="665" t="s">
        <v>454</v>
      </c>
      <c r="E24" s="668"/>
      <c r="F24" s="668"/>
      <c r="G24" s="668"/>
    </row>
    <row r="25" spans="2:7" ht="15">
      <c r="B25" s="664" t="s">
        <v>455</v>
      </c>
      <c r="C25" s="666">
        <f>Aprekini!M188</f>
        <v>0.017243314699086777</v>
      </c>
      <c r="D25" s="666">
        <f>Aprekini!M241</f>
        <v>0.06460445756423316</v>
      </c>
      <c r="E25" s="668"/>
      <c r="F25" s="668"/>
      <c r="G25" s="668"/>
    </row>
    <row r="26" spans="2:7" ht="15">
      <c r="B26" s="664" t="s">
        <v>456</v>
      </c>
      <c r="C26" s="669">
        <f>Aprekini!M189</f>
        <v>-341687.94132043724</v>
      </c>
      <c r="D26" s="669">
        <f>Aprekini!M242</f>
        <v>-6144.0781683053465</v>
      </c>
      <c r="E26" s="668"/>
      <c r="F26" s="668"/>
      <c r="G26" s="668"/>
    </row>
    <row r="27" spans="2:7" ht="12.75">
      <c r="B27" s="668"/>
      <c r="C27" s="668"/>
      <c r="D27" s="668"/>
      <c r="E27" s="668"/>
      <c r="F27" s="668"/>
      <c r="G27" s="668"/>
    </row>
    <row r="28" spans="2:7" ht="12.75">
      <c r="B28" s="668"/>
      <c r="C28" s="668"/>
      <c r="D28" s="668"/>
      <c r="E28" s="668"/>
      <c r="F28" s="668"/>
      <c r="G28" s="668"/>
    </row>
    <row r="29" spans="1:7" ht="12.75">
      <c r="A29" s="667" t="s">
        <v>481</v>
      </c>
      <c r="C29" s="668"/>
      <c r="D29" s="668"/>
      <c r="E29" s="668"/>
      <c r="F29" s="668"/>
      <c r="G29" s="668"/>
    </row>
    <row r="30" spans="2:7" ht="12.75">
      <c r="B30" s="668"/>
      <c r="C30" s="668"/>
      <c r="D30" s="668"/>
      <c r="E30" s="668"/>
      <c r="F30" s="668"/>
      <c r="G30" s="668"/>
    </row>
    <row r="31" ht="33.75">
      <c r="B31" s="739" t="s">
        <v>479</v>
      </c>
    </row>
    <row r="32" spans="2:7" ht="76.5">
      <c r="B32" s="670" t="s">
        <v>378</v>
      </c>
      <c r="C32" s="670" t="s">
        <v>457</v>
      </c>
      <c r="D32" s="670" t="s">
        <v>458</v>
      </c>
      <c r="E32" s="670" t="s">
        <v>379</v>
      </c>
      <c r="F32" s="670" t="s">
        <v>482</v>
      </c>
      <c r="G32" s="670" t="s">
        <v>480</v>
      </c>
    </row>
    <row r="33" spans="2:7" ht="12.75">
      <c r="B33" s="671">
        <v>1</v>
      </c>
      <c r="C33" s="671">
        <v>2</v>
      </c>
      <c r="D33" s="671">
        <v>3</v>
      </c>
      <c r="E33" s="671" t="s">
        <v>459</v>
      </c>
      <c r="F33" s="671" t="s">
        <v>460</v>
      </c>
      <c r="G33" s="671" t="s">
        <v>461</v>
      </c>
    </row>
    <row r="34" spans="2:7" ht="12.75">
      <c r="B34" s="672">
        <f>C9</f>
        <v>718152</v>
      </c>
      <c r="C34" s="673">
        <f>D19</f>
        <v>0.508606</v>
      </c>
      <c r="D34" s="674">
        <v>0.85</v>
      </c>
      <c r="E34" s="747">
        <f>IF(B34*C34&gt;351402,351402,B34*C34)</f>
        <v>351402</v>
      </c>
      <c r="F34" s="676">
        <f>G34/B34</f>
        <v>0.41591710390001</v>
      </c>
      <c r="G34" s="675">
        <f>E34*D34</f>
        <v>298691.7</v>
      </c>
    </row>
    <row r="46" ht="11.25"/>
    <row r="47" ht="11.25"/>
    <row r="48" ht="11.25"/>
    <row r="49" ht="11.25"/>
  </sheetData>
  <sheetProtection/>
  <mergeCells count="1">
    <mergeCell ref="C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31"/>
  <sheetViews>
    <sheetView showGridLines="0" zoomScale="120" zoomScaleNormal="120" zoomScaleSheetLayoutView="90" zoomScalePageLayoutView="0" workbookViewId="0" topLeftCell="A1">
      <selection activeCell="C33" sqref="C33"/>
    </sheetView>
  </sheetViews>
  <sheetFormatPr defaultColWidth="9.140625" defaultRowHeight="11.25"/>
  <cols>
    <col min="1" max="1" width="43.57421875" style="385" customWidth="1"/>
    <col min="2" max="2" width="8.7109375" style="385" customWidth="1"/>
    <col min="3" max="3" width="11.140625" style="385" customWidth="1"/>
    <col min="4" max="4" width="10.57421875" style="385" customWidth="1"/>
    <col min="5" max="16" width="8.7109375" style="385" customWidth="1"/>
    <col min="17" max="33" width="9.8515625" style="385" customWidth="1"/>
    <col min="34" max="16384" width="9.140625" style="385" customWidth="1"/>
  </cols>
  <sheetData>
    <row r="1" spans="1:2" ht="16.5">
      <c r="A1" s="383" t="str">
        <f>'Datu ievade'!B4</f>
        <v>A novada pašvaldība</v>
      </c>
      <c r="B1" s="384" t="str">
        <f>'Datu ievade'!B6</f>
        <v>Ūdenssaimniecības attīstība A ciemā</v>
      </c>
    </row>
    <row r="3" spans="1:33" ht="37.5">
      <c r="A3" s="386" t="s">
        <v>430</v>
      </c>
      <c r="B3" s="387"/>
      <c r="C3" s="387"/>
      <c r="D3" s="387"/>
      <c r="E3" s="387"/>
      <c r="F3" s="387"/>
      <c r="G3" s="387"/>
      <c r="H3" s="387"/>
      <c r="I3" s="387"/>
      <c r="J3" s="387"/>
      <c r="K3" s="387"/>
      <c r="L3" s="387"/>
      <c r="M3" s="387"/>
      <c r="N3" s="387"/>
      <c r="O3" s="387"/>
      <c r="P3" s="388"/>
      <c r="Q3" s="388"/>
      <c r="R3" s="388"/>
      <c r="S3" s="388"/>
      <c r="T3" s="388"/>
      <c r="U3" s="388"/>
      <c r="V3" s="388"/>
      <c r="W3" s="388"/>
      <c r="X3" s="388"/>
      <c r="Y3" s="388"/>
      <c r="Z3" s="388"/>
      <c r="AA3" s="388"/>
      <c r="AB3" s="388"/>
      <c r="AC3" s="388"/>
      <c r="AD3" s="388"/>
      <c r="AE3" s="388"/>
      <c r="AF3" s="388"/>
      <c r="AG3" s="388"/>
    </row>
    <row r="4" spans="1:33" s="392" customFormat="1" ht="12.75">
      <c r="A4" s="389"/>
      <c r="B4" s="390"/>
      <c r="C4" s="390"/>
      <c r="D4" s="390"/>
      <c r="E4" s="390"/>
      <c r="F4" s="390"/>
      <c r="G4" s="390"/>
      <c r="H4" s="390"/>
      <c r="I4" s="390"/>
      <c r="J4" s="390"/>
      <c r="K4" s="390"/>
      <c r="L4" s="390"/>
      <c r="M4" s="390"/>
      <c r="N4" s="390"/>
      <c r="O4" s="390"/>
      <c r="P4" s="390"/>
      <c r="Q4" s="391" t="s">
        <v>25</v>
      </c>
      <c r="R4" s="390"/>
      <c r="S4" s="390"/>
      <c r="T4" s="390"/>
      <c r="U4" s="390"/>
      <c r="V4" s="390"/>
      <c r="W4" s="390"/>
      <c r="X4" s="390"/>
      <c r="Y4" s="390"/>
      <c r="Z4" s="390"/>
      <c r="AA4" s="390"/>
      <c r="AB4" s="390"/>
      <c r="AC4" s="390"/>
      <c r="AD4" s="390"/>
      <c r="AE4" s="390"/>
      <c r="AF4" s="390"/>
      <c r="AG4" s="390"/>
    </row>
    <row r="5" spans="1:33" s="392" customFormat="1" ht="12.75">
      <c r="A5" s="389"/>
      <c r="B5" s="393">
        <f>Aprekini!B5</f>
        <v>2011</v>
      </c>
      <c r="C5" s="393">
        <f aca="true" t="shared" si="0" ref="C5:AG5">B5+1</f>
        <v>2012</v>
      </c>
      <c r="D5" s="393">
        <f t="shared" si="0"/>
        <v>2013</v>
      </c>
      <c r="E5" s="393">
        <f t="shared" si="0"/>
        <v>2014</v>
      </c>
      <c r="F5" s="393">
        <f t="shared" si="0"/>
        <v>2015</v>
      </c>
      <c r="G5" s="393">
        <f t="shared" si="0"/>
        <v>2016</v>
      </c>
      <c r="H5" s="393">
        <f t="shared" si="0"/>
        <v>2017</v>
      </c>
      <c r="I5" s="393">
        <f t="shared" si="0"/>
        <v>2018</v>
      </c>
      <c r="J5" s="393">
        <f t="shared" si="0"/>
        <v>2019</v>
      </c>
      <c r="K5" s="393">
        <f t="shared" si="0"/>
        <v>2020</v>
      </c>
      <c r="L5" s="393">
        <f t="shared" si="0"/>
        <v>2021</v>
      </c>
      <c r="M5" s="393">
        <f t="shared" si="0"/>
        <v>2022</v>
      </c>
      <c r="N5" s="393">
        <f t="shared" si="0"/>
        <v>2023</v>
      </c>
      <c r="O5" s="393">
        <f t="shared" si="0"/>
        <v>2024</v>
      </c>
      <c r="P5" s="393">
        <f t="shared" si="0"/>
        <v>2025</v>
      </c>
      <c r="Q5" s="393">
        <f t="shared" si="0"/>
        <v>2026</v>
      </c>
      <c r="R5" s="393">
        <f t="shared" si="0"/>
        <v>2027</v>
      </c>
      <c r="S5" s="393">
        <f t="shared" si="0"/>
        <v>2028</v>
      </c>
      <c r="T5" s="393">
        <f t="shared" si="0"/>
        <v>2029</v>
      </c>
      <c r="U5" s="393">
        <f t="shared" si="0"/>
        <v>2030</v>
      </c>
      <c r="V5" s="393">
        <f t="shared" si="0"/>
        <v>2031</v>
      </c>
      <c r="W5" s="393">
        <f t="shared" si="0"/>
        <v>2032</v>
      </c>
      <c r="X5" s="393">
        <f t="shared" si="0"/>
        <v>2033</v>
      </c>
      <c r="Y5" s="393">
        <f t="shared" si="0"/>
        <v>2034</v>
      </c>
      <c r="Z5" s="393">
        <f t="shared" si="0"/>
        <v>2035</v>
      </c>
      <c r="AA5" s="393">
        <f t="shared" si="0"/>
        <v>2036</v>
      </c>
      <c r="AB5" s="393">
        <f t="shared" si="0"/>
        <v>2037</v>
      </c>
      <c r="AC5" s="393">
        <f t="shared" si="0"/>
        <v>2038</v>
      </c>
      <c r="AD5" s="393">
        <f t="shared" si="0"/>
        <v>2039</v>
      </c>
      <c r="AE5" s="393">
        <f t="shared" si="0"/>
        <v>2040</v>
      </c>
      <c r="AF5" s="393">
        <f t="shared" si="0"/>
        <v>2041</v>
      </c>
      <c r="AG5" s="393">
        <f t="shared" si="0"/>
        <v>2042</v>
      </c>
    </row>
    <row r="6" spans="1:33" s="392" customFormat="1" ht="12.75">
      <c r="A6" s="394" t="s">
        <v>113</v>
      </c>
      <c r="B6" s="395"/>
      <c r="C6" s="395"/>
      <c r="D6" s="395"/>
      <c r="E6" s="395"/>
      <c r="F6" s="395"/>
      <c r="G6" s="395"/>
      <c r="H6" s="395"/>
      <c r="I6" s="395"/>
      <c r="J6" s="395"/>
      <c r="K6" s="395"/>
      <c r="L6" s="395"/>
      <c r="M6" s="395"/>
      <c r="N6" s="395"/>
      <c r="O6" s="395"/>
      <c r="P6" s="395"/>
      <c r="Q6" s="395"/>
      <c r="R6" s="395"/>
      <c r="S6" s="395"/>
      <c r="T6" s="395"/>
      <c r="U6" s="393"/>
      <c r="V6" s="393"/>
      <c r="W6" s="393"/>
      <c r="X6" s="393"/>
      <c r="Y6" s="393"/>
      <c r="Z6" s="393"/>
      <c r="AA6" s="393"/>
      <c r="AB6" s="393"/>
      <c r="AC6" s="393"/>
      <c r="AD6" s="393"/>
      <c r="AE6" s="393"/>
      <c r="AF6" s="393"/>
      <c r="AG6" s="393"/>
    </row>
    <row r="7" spans="1:33" s="392" customFormat="1" ht="12.75">
      <c r="A7" s="396" t="s">
        <v>114</v>
      </c>
      <c r="B7" s="397">
        <f>Aprekini!B293</f>
        <v>-1709.8400000000038</v>
      </c>
      <c r="C7" s="397">
        <f>Aprekini!C293</f>
        <v>-2325.711200000005</v>
      </c>
      <c r="D7" s="397">
        <f>Aprekini!D293</f>
        <v>55.923531701205775</v>
      </c>
      <c r="E7" s="397">
        <f>Aprekini!E293</f>
        <v>-8483.773335477668</v>
      </c>
      <c r="F7" s="397">
        <f>Aprekini!F293</f>
        <v>-7842.828435477666</v>
      </c>
      <c r="G7" s="397">
        <f>Aprekini!G293</f>
        <v>-7149.292250437673</v>
      </c>
      <c r="H7" s="397">
        <f>Aprekini!H293</f>
        <v>-6267.863565397656</v>
      </c>
      <c r="I7" s="397">
        <f>Aprekini!I293</f>
        <v>-5144.8973803576555</v>
      </c>
      <c r="J7" s="397">
        <f>Aprekini!J293</f>
        <v>-3994.0711953176688</v>
      </c>
      <c r="K7" s="397">
        <f>Aprekini!K293</f>
        <v>-2862.6425102776666</v>
      </c>
      <c r="L7" s="397">
        <f>Aprekini!L293</f>
        <v>-212.89882523766573</v>
      </c>
      <c r="M7" s="397">
        <f>Aprekini!M293</f>
        <v>829.5548598023452</v>
      </c>
      <c r="N7" s="397">
        <f>Aprekini!N293</f>
        <v>1952.5210448423313</v>
      </c>
      <c r="O7" s="397">
        <f>Aprekini!O293</f>
        <v>3865.8563166216336</v>
      </c>
      <c r="P7" s="397">
        <f>Aprekini!P293</f>
        <v>4714.893001661643</v>
      </c>
      <c r="Q7" s="397">
        <f>Aprekini!Q293</f>
        <v>5724.95468670164</v>
      </c>
      <c r="R7" s="397">
        <f>Aprekini!R293</f>
        <v>7288.706371741631</v>
      </c>
      <c r="S7" s="397">
        <f>Aprekini!S293</f>
        <v>9781.843056781647</v>
      </c>
      <c r="T7" s="397">
        <f>Aprekini!T293</f>
        <v>15891.934084801955</v>
      </c>
      <c r="U7" s="397">
        <f>Aprekini!U293</f>
        <v>16445.69826984196</v>
      </c>
      <c r="V7" s="397">
        <f>Aprekini!V293</f>
        <v>17332.624554881957</v>
      </c>
      <c r="W7" s="397">
        <f>Aprekini!W293</f>
        <v>17870.58833992196</v>
      </c>
      <c r="X7" s="397">
        <f>Aprekini!X293</f>
        <v>18408.552124961963</v>
      </c>
      <c r="Y7" s="397">
        <f>Aprekini!Y293</f>
        <v>19027.028410001963</v>
      </c>
      <c r="Z7" s="397">
        <f>Aprekini!Z293</f>
        <v>19564.992195041967</v>
      </c>
      <c r="AA7" s="397">
        <f>Aprekini!AA293</f>
        <v>20129.778480081965</v>
      </c>
      <c r="AB7" s="397">
        <f>Aprekini!AB293</f>
        <v>20989.792265121963</v>
      </c>
      <c r="AC7" s="397">
        <f>Aprekini!AC293</f>
        <v>21608.26855016197</v>
      </c>
      <c r="AD7" s="397">
        <f>Aprekini!AD293</f>
        <v>21824.18233520198</v>
      </c>
      <c r="AE7" s="397">
        <f>Aprekini!AE293</f>
        <v>22764.70862024196</v>
      </c>
      <c r="AF7" s="397">
        <f>Aprekini!AF293</f>
        <v>23132.45102024197</v>
      </c>
      <c r="AG7" s="397">
        <f>Aprekini!AG293</f>
        <v>23100.751420241948</v>
      </c>
    </row>
    <row r="8" spans="1:33" s="554" customFormat="1" ht="12.75">
      <c r="A8" s="139" t="s">
        <v>115</v>
      </c>
      <c r="B8" s="553">
        <f>-'Saimnieciskas pamatdarbibas NP'!B74*'Datu ievade'!E295</f>
        <v>-876.2759999999998</v>
      </c>
      <c r="C8" s="553">
        <f>-'Saimnieciskas pamatdarbibas NP'!C74*'Datu ievade'!F295</f>
        <v>-876.2759999999998</v>
      </c>
      <c r="D8" s="553">
        <f>-'Saimnieciskas pamatdarbibas NP'!D74*'Datu ievade'!G295</f>
        <v>-1325.9621000000002</v>
      </c>
      <c r="E8" s="553">
        <f>-'Saimnieciskas pamatdarbibas NP'!E74*'Datu ievade'!H295</f>
        <v>-1906.7915999999998</v>
      </c>
      <c r="F8" s="553">
        <f>-'Saimnieciskas pamatdarbibas NP'!F74*'Datu ievade'!I295</f>
        <v>-1927.1893</v>
      </c>
      <c r="G8" s="553">
        <f>-'Saimnieciskas pamatdarbibas NP'!G74*'Datu ievade'!J295</f>
        <v>-1941.1477999999997</v>
      </c>
      <c r="H8" s="553">
        <f>-'Saimnieciskas pamatdarbibas NP'!H74*'Datu ievade'!K295</f>
        <v>-1962.622</v>
      </c>
      <c r="I8" s="553">
        <f>-'Saimnieciskas pamatdarbibas NP'!I74*'Datu ievade'!L295</f>
        <v>-1993.7577000000003</v>
      </c>
      <c r="J8" s="553">
        <f>-'Saimnieciskas pamatdarbibas NP'!J74*'Datu ievade'!M295</f>
        <v>-2012.0077999999996</v>
      </c>
      <c r="K8" s="553">
        <f>-'Saimnieciskas pamatdarbibas NP'!K74*'Datu ievade'!N295</f>
        <v>-2033.482</v>
      </c>
      <c r="L8" s="553">
        <f>-'Saimnieciskas pamatdarbibas NP'!L74*'Datu ievade'!O295</f>
        <v>-1549.2665999999997</v>
      </c>
      <c r="M8" s="553">
        <f>-'Saimnieciskas pamatdarbibas NP'!M74*'Datu ievade'!P295</f>
        <v>-1570.2030000000002</v>
      </c>
      <c r="N8" s="553">
        <f>-'Saimnieciskas pamatdarbibas NP'!N74*'Datu ievade'!Q295</f>
        <v>-1593.5547749999998</v>
      </c>
      <c r="O8" s="553">
        <f>-'Saimnieciskas pamatdarbibas NP'!O74*'Datu ievade'!R295</f>
        <v>-1599.9962249999996</v>
      </c>
      <c r="P8" s="553">
        <f>-'Saimnieciskas pamatdarbibas NP'!P74*'Datu ievade'!S295</f>
        <v>-1618.5172499999999</v>
      </c>
      <c r="Q8" s="553">
        <f>-'Saimnieciskas pamatdarbibas NP'!Q74*'Datu ievade'!T295</f>
        <v>-1641.8690249999997</v>
      </c>
      <c r="R8" s="553">
        <f>-'Saimnieciskas pamatdarbibas NP'!R74*'Datu ievade'!U295</f>
        <v>-1666.8314999999996</v>
      </c>
      <c r="S8" s="553">
        <f>-'Saimnieciskas pamatdarbibas NP'!S74*'Datu ievade'!V295</f>
        <v>-1704.6755249999999</v>
      </c>
      <c r="T8" s="553">
        <f>-'Saimnieciskas pamatdarbibas NP'!T74*'Datu ievade'!W295</f>
        <v>-1734.4700999999998</v>
      </c>
      <c r="U8" s="553">
        <f>-'Saimnieciskas pamatdarbibas NP'!U74*'Datu ievade'!X295</f>
        <v>-1744.13295</v>
      </c>
      <c r="V8" s="553">
        <f>-'Saimnieciskas pamatdarbibas NP'!V74*'Datu ievade'!Y295</f>
        <v>-1765.8753749999998</v>
      </c>
      <c r="W8" s="553">
        <f>-'Saimnieciskas pamatdarbibas NP'!W74*'Datu ievade'!Z295</f>
        <v>-1777.148925</v>
      </c>
      <c r="X8" s="553">
        <f>-'Saimnieciskas pamatdarbibas NP'!X74*'Datu ievade'!AA295</f>
        <v>-1788.422475</v>
      </c>
      <c r="Y8" s="553">
        <f>-'Saimnieciskas pamatdarbibas NP'!Y74*'Datu ievade'!AB295</f>
        <v>-1802.1114</v>
      </c>
      <c r="Z8" s="553">
        <f>-'Saimnieciskas pamatdarbibas NP'!Z74*'Datu ievade'!AC295</f>
        <v>-1813.3849500000001</v>
      </c>
      <c r="AA8" s="553">
        <f>-'Saimnieciskas pamatdarbibas NP'!AA74*'Datu ievade'!AD295</f>
        <v>-1825.4631749999996</v>
      </c>
      <c r="AB8" s="553">
        <f>-'Saimnieciskas pamatdarbibas NP'!AB74*'Datu ievade'!AE295</f>
        <v>-1846.398225</v>
      </c>
      <c r="AC8" s="553">
        <f>-'Saimnieciskas pamatdarbibas NP'!AC74*'Datu ievade'!AF295</f>
        <v>-1860.08715</v>
      </c>
      <c r="AD8" s="553">
        <f>-'Saimnieciskas pamatdarbibas NP'!AD74*'Datu ievade'!AG295</f>
        <v>-1861.6992</v>
      </c>
      <c r="AE8" s="553">
        <f>-'Saimnieciskas pamatdarbibas NP'!AE74*'Datu ievade'!AH295</f>
        <v>-1885.0496249999997</v>
      </c>
      <c r="AF8" s="553">
        <f>-'Saimnieciskas pamatdarbibas NP'!AF74*'Datu ievade'!AI295</f>
        <v>-1913.23215</v>
      </c>
      <c r="AG8" s="553">
        <f>-'Saimnieciskas pamatdarbibas NP'!AG74*'Datu ievade'!AJ295</f>
        <v>-1934.1685499999996</v>
      </c>
    </row>
    <row r="9" spans="1:33" s="554" customFormat="1" ht="12.75">
      <c r="A9" s="139" t="s">
        <v>116</v>
      </c>
      <c r="B9" s="553">
        <f>Aprekini!B292</f>
        <v>3600</v>
      </c>
      <c r="C9" s="553">
        <f>Aprekini!C292</f>
        <v>3600</v>
      </c>
      <c r="D9" s="553">
        <f>Aprekini!D292</f>
        <v>3600</v>
      </c>
      <c r="E9" s="553">
        <f>Aprekini!E292</f>
        <v>25610.8</v>
      </c>
      <c r="F9" s="553">
        <f>Aprekini!F292</f>
        <v>25610.8</v>
      </c>
      <c r="G9" s="553">
        <f>Aprekini!G292</f>
        <v>25610.8</v>
      </c>
      <c r="H9" s="553">
        <f>Aprekini!H292</f>
        <v>25610.8</v>
      </c>
      <c r="I9" s="553">
        <f>Aprekini!I292</f>
        <v>25610.8</v>
      </c>
      <c r="J9" s="553">
        <f>Aprekini!J292</f>
        <v>25260.8</v>
      </c>
      <c r="K9" s="553">
        <f>Aprekini!K292</f>
        <v>25010.8</v>
      </c>
      <c r="L9" s="553">
        <f>Aprekini!L292</f>
        <v>23510.8</v>
      </c>
      <c r="M9" s="553">
        <f>Aprekini!M292</f>
        <v>23510.8</v>
      </c>
      <c r="N9" s="553">
        <f>Aprekini!N292</f>
        <v>23510.8</v>
      </c>
      <c r="O9" s="553">
        <f>Aprekini!O292</f>
        <v>21269.6</v>
      </c>
      <c r="P9" s="553">
        <f>Aprekini!P292</f>
        <v>21269.6</v>
      </c>
      <c r="Q9" s="553">
        <f>Aprekini!Q292</f>
        <v>21269.6</v>
      </c>
      <c r="R9" s="553">
        <f>Aprekini!R292</f>
        <v>20769.6</v>
      </c>
      <c r="S9" s="553">
        <f>Aprekini!S292</f>
        <v>19769.6</v>
      </c>
      <c r="T9" s="553">
        <f>Aprekini!T292</f>
        <v>11405.6</v>
      </c>
      <c r="U9" s="553">
        <f>Aprekini!U292</f>
        <v>11405.6</v>
      </c>
      <c r="V9" s="553">
        <f>Aprekini!V292</f>
        <v>11405.6</v>
      </c>
      <c r="W9" s="553">
        <f>Aprekini!W292</f>
        <v>11405.6</v>
      </c>
      <c r="X9" s="553">
        <f>Aprekini!X292</f>
        <v>11405.6</v>
      </c>
      <c r="Y9" s="553">
        <f>Aprekini!Y292</f>
        <v>11405.6</v>
      </c>
      <c r="Z9" s="553">
        <f>Aprekini!Z292</f>
        <v>11405.6</v>
      </c>
      <c r="AA9" s="553">
        <f>Aprekini!AA292</f>
        <v>11405.6</v>
      </c>
      <c r="AB9" s="553">
        <f>Aprekini!AB292</f>
        <v>11405.6</v>
      </c>
      <c r="AC9" s="553">
        <f>Aprekini!AC292</f>
        <v>11405.6</v>
      </c>
      <c r="AD9" s="553">
        <f>Aprekini!AD292</f>
        <v>11405.6</v>
      </c>
      <c r="AE9" s="553">
        <f>Aprekini!AE292</f>
        <v>11405.6</v>
      </c>
      <c r="AF9" s="553">
        <f>Aprekini!AF292</f>
        <v>11405.6</v>
      </c>
      <c r="AG9" s="553">
        <f>Aprekini!AG292</f>
        <v>11405.6</v>
      </c>
    </row>
    <row r="10" spans="1:33" s="554" customFormat="1" ht="12.75">
      <c r="A10" s="139" t="s">
        <v>117</v>
      </c>
      <c r="B10" s="553">
        <f>-(Aprekini!B273+Aprekini!B278)</f>
        <v>0</v>
      </c>
      <c r="C10" s="553">
        <f>-(Aprekini!C273+Aprekini!C278)</f>
        <v>0</v>
      </c>
      <c r="D10" s="553">
        <f>-(Aprekini!D273+Aprekini!D278)</f>
        <v>0</v>
      </c>
      <c r="E10" s="553">
        <f>-(Aprekini!E273+Aprekini!E278)</f>
        <v>-9154.668190522338</v>
      </c>
      <c r="F10" s="553">
        <f>-(Aprekini!F273+Aprekini!F278)</f>
        <v>-9154.668190522338</v>
      </c>
      <c r="G10" s="553">
        <f>-(Aprekini!G273+Aprekini!G278)</f>
        <v>-9154.668190522338</v>
      </c>
      <c r="H10" s="553">
        <f>-(Aprekini!H273+Aprekini!H278)</f>
        <v>-9154.668190522338</v>
      </c>
      <c r="I10" s="553">
        <f>-(Aprekini!I273+Aprekini!I278)</f>
        <v>-9154.668190522338</v>
      </c>
      <c r="J10" s="553">
        <f>-(Aprekini!J273+Aprekini!J278)</f>
        <v>-9154.668190522338</v>
      </c>
      <c r="K10" s="553">
        <f>-(Aprekini!K273+Aprekini!K278)</f>
        <v>-9154.668190522338</v>
      </c>
      <c r="L10" s="553">
        <f>-(Aprekini!L273+Aprekini!L278)</f>
        <v>-9154.668190522338</v>
      </c>
      <c r="M10" s="553">
        <f>-(Aprekini!M273+Aprekini!M278)</f>
        <v>-9154.668190522338</v>
      </c>
      <c r="N10" s="553">
        <f>-(Aprekini!N273+Aprekini!N278)</f>
        <v>-9154.668190522338</v>
      </c>
      <c r="O10" s="553">
        <f>-(Aprekini!O273+Aprekini!O278)</f>
        <v>-8222.514777261636</v>
      </c>
      <c r="P10" s="553">
        <f>-(Aprekini!P273+Aprekini!P278)</f>
        <v>-8222.514777261636</v>
      </c>
      <c r="Q10" s="553">
        <f>-(Aprekini!Q273+Aprekini!Q278)</f>
        <v>-8222.514777261636</v>
      </c>
      <c r="R10" s="553">
        <f>-(Aprekini!R273+Aprekini!R278)</f>
        <v>-8222.514777261636</v>
      </c>
      <c r="S10" s="553">
        <f>-(Aprekini!S273+Aprekini!S278)</f>
        <v>-8222.514777261636</v>
      </c>
      <c r="T10" s="553">
        <f>-(Aprekini!T273+Aprekini!T278)</f>
        <v>-4743.784120241954</v>
      </c>
      <c r="U10" s="553">
        <f>-(Aprekini!U273+Aprekini!U278)</f>
        <v>-4743.784120241954</v>
      </c>
      <c r="V10" s="553">
        <f>-(Aprekini!V273+Aprekini!V278)</f>
        <v>-4743.784120241954</v>
      </c>
      <c r="W10" s="553">
        <f>-(Aprekini!W273+Aprekini!W278)</f>
        <v>-4743.784120241954</v>
      </c>
      <c r="X10" s="553">
        <f>-(Aprekini!X273+Aprekini!X278)</f>
        <v>-4743.784120241954</v>
      </c>
      <c r="Y10" s="553">
        <f>-(Aprekini!Y273+Aprekini!Y278)</f>
        <v>-4743.784120241954</v>
      </c>
      <c r="Z10" s="553">
        <f>-(Aprekini!Z273+Aprekini!Z278)</f>
        <v>-4743.784120241954</v>
      </c>
      <c r="AA10" s="553">
        <f>-(Aprekini!AA273+Aprekini!AA278)</f>
        <v>-4743.784120241954</v>
      </c>
      <c r="AB10" s="553">
        <f>-(Aprekini!AB273+Aprekini!AB278)</f>
        <v>-4743.784120241954</v>
      </c>
      <c r="AC10" s="553">
        <f>-(Aprekini!AC273+Aprekini!AC278)</f>
        <v>-4743.784120241954</v>
      </c>
      <c r="AD10" s="553">
        <f>-(Aprekini!AD273+Aprekini!AD278)</f>
        <v>-4743.784120241954</v>
      </c>
      <c r="AE10" s="553">
        <f>-(Aprekini!AE273+Aprekini!AE278)</f>
        <v>-4743.784120241954</v>
      </c>
      <c r="AF10" s="553">
        <f>-(Aprekini!AF273+Aprekini!AF278)</f>
        <v>-4743.784120241954</v>
      </c>
      <c r="AG10" s="553">
        <f>-(Aprekini!AG273+Aprekini!AG278)</f>
        <v>-4743.784120241954</v>
      </c>
    </row>
    <row r="11" spans="1:33" s="392" customFormat="1" ht="12.75">
      <c r="A11" s="399" t="s">
        <v>118</v>
      </c>
      <c r="B11" s="400">
        <f aca="true" t="shared" si="1" ref="B11:AG11">SUM(B7:B10)</f>
        <v>1013.8839999999964</v>
      </c>
      <c r="C11" s="400">
        <f t="shared" si="1"/>
        <v>398.01279999999497</v>
      </c>
      <c r="D11" s="400">
        <f t="shared" si="1"/>
        <v>2329.9614317012056</v>
      </c>
      <c r="E11" s="400">
        <f t="shared" si="1"/>
        <v>6065.566873999993</v>
      </c>
      <c r="F11" s="400">
        <f t="shared" si="1"/>
        <v>6686.1140739999955</v>
      </c>
      <c r="G11" s="400">
        <f t="shared" si="1"/>
        <v>7365.69175903999</v>
      </c>
      <c r="H11" s="400">
        <f t="shared" si="1"/>
        <v>8225.646244080006</v>
      </c>
      <c r="I11" s="400">
        <f t="shared" si="1"/>
        <v>9317.476729120004</v>
      </c>
      <c r="J11" s="400">
        <f t="shared" si="1"/>
        <v>10100.052814159993</v>
      </c>
      <c r="K11" s="400">
        <f t="shared" si="1"/>
        <v>10960.007299199995</v>
      </c>
      <c r="L11" s="400">
        <f t="shared" si="1"/>
        <v>12593.966384239997</v>
      </c>
      <c r="M11" s="400">
        <f t="shared" si="1"/>
        <v>13615.483669280005</v>
      </c>
      <c r="N11" s="400">
        <f t="shared" si="1"/>
        <v>14715.098079319992</v>
      </c>
      <c r="O11" s="400">
        <f t="shared" si="1"/>
        <v>15312.945314359997</v>
      </c>
      <c r="P11" s="400">
        <f t="shared" si="1"/>
        <v>16143.460974400004</v>
      </c>
      <c r="Q11" s="400">
        <f t="shared" si="1"/>
        <v>17130.170884440002</v>
      </c>
      <c r="R11" s="400">
        <f t="shared" si="1"/>
        <v>18168.960094479993</v>
      </c>
      <c r="S11" s="400">
        <f t="shared" si="1"/>
        <v>19624.25275452001</v>
      </c>
      <c r="T11" s="400">
        <f t="shared" si="1"/>
        <v>20819.27986456</v>
      </c>
      <c r="U11" s="400">
        <f t="shared" si="1"/>
        <v>21363.381199600004</v>
      </c>
      <c r="V11" s="400">
        <f t="shared" si="1"/>
        <v>22228.565059640005</v>
      </c>
      <c r="W11" s="400">
        <f t="shared" si="1"/>
        <v>22755.255294680006</v>
      </c>
      <c r="X11" s="400">
        <f t="shared" si="1"/>
        <v>23281.945529720007</v>
      </c>
      <c r="Y11" s="400">
        <f t="shared" si="1"/>
        <v>23886.732889760005</v>
      </c>
      <c r="Z11" s="400">
        <f t="shared" si="1"/>
        <v>24413.42312480001</v>
      </c>
      <c r="AA11" s="400">
        <f t="shared" si="1"/>
        <v>24966.13118484001</v>
      </c>
      <c r="AB11" s="400">
        <f t="shared" si="1"/>
        <v>25805.20991988001</v>
      </c>
      <c r="AC11" s="400">
        <f t="shared" si="1"/>
        <v>26409.997279920015</v>
      </c>
      <c r="AD11" s="400">
        <f t="shared" si="1"/>
        <v>26624.299014960026</v>
      </c>
      <c r="AE11" s="400">
        <f t="shared" si="1"/>
        <v>27541.474875000004</v>
      </c>
      <c r="AF11" s="400">
        <f t="shared" si="1"/>
        <v>27881.034750000017</v>
      </c>
      <c r="AG11" s="400">
        <f t="shared" si="1"/>
        <v>27828.398749999997</v>
      </c>
    </row>
    <row r="12" spans="1:33" s="392" customFormat="1" ht="12.75">
      <c r="A12" s="399" t="s">
        <v>119</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row>
    <row r="13" spans="1:33" s="392" customFormat="1" ht="12.75">
      <c r="A13" s="396" t="s">
        <v>120</v>
      </c>
      <c r="B13" s="397">
        <f>-Aprekini!B140</f>
        <v>0</v>
      </c>
      <c r="C13" s="397">
        <f>-Aprekini!C140</f>
        <v>-133620</v>
      </c>
      <c r="D13" s="397">
        <f>-Aprekini!D140</f>
        <v>-584532</v>
      </c>
      <c r="E13" s="397">
        <f>-Aprekini!E140</f>
        <v>0</v>
      </c>
      <c r="F13" s="397">
        <f>-Aprekini!F140</f>
        <v>0</v>
      </c>
      <c r="G13" s="397">
        <f>-Aprekini!G140</f>
        <v>0</v>
      </c>
      <c r="H13" s="397">
        <f>-Aprekini!H140</f>
        <v>0</v>
      </c>
      <c r="I13" s="397">
        <f>-Aprekini!I140</f>
        <v>0</v>
      </c>
      <c r="J13" s="397">
        <f>-Aprekini!J140</f>
        <v>0</v>
      </c>
      <c r="K13" s="397">
        <f>-Aprekini!K140</f>
        <v>0</v>
      </c>
      <c r="L13" s="397">
        <f>-Aprekini!L140</f>
        <v>0</v>
      </c>
      <c r="M13" s="397">
        <f>-Aprekini!M140</f>
        <v>0</v>
      </c>
      <c r="N13" s="397">
        <f>-Aprekini!N140</f>
        <v>0</v>
      </c>
      <c r="O13" s="397">
        <f>-Aprekini!O140</f>
        <v>0</v>
      </c>
      <c r="P13" s="397">
        <f>-Aprekini!P140</f>
        <v>0</v>
      </c>
      <c r="Q13" s="397">
        <f>-Aprekini!Q140</f>
        <v>0</v>
      </c>
      <c r="R13" s="397">
        <f>-Aprekini!R140</f>
        <v>0</v>
      </c>
      <c r="S13" s="397">
        <f>-Aprekini!S140</f>
        <v>0</v>
      </c>
      <c r="T13" s="397">
        <f>-Aprekini!T140</f>
        <v>0</v>
      </c>
      <c r="U13" s="397">
        <f>-Aprekini!U140</f>
        <v>0</v>
      </c>
      <c r="V13" s="397">
        <f>-Aprekini!V140</f>
        <v>0</v>
      </c>
      <c r="W13" s="397">
        <f>-Aprekini!W140</f>
        <v>0</v>
      </c>
      <c r="X13" s="397">
        <f>-Aprekini!X140</f>
        <v>0</v>
      </c>
      <c r="Y13" s="397">
        <f>-Aprekini!Y140</f>
        <v>0</v>
      </c>
      <c r="Z13" s="397">
        <f>-Aprekini!Z140</f>
        <v>0</v>
      </c>
      <c r="AA13" s="397">
        <f>-Aprekini!AA140</f>
        <v>0</v>
      </c>
      <c r="AB13" s="397">
        <f>-Aprekini!AB140</f>
        <v>0</v>
      </c>
      <c r="AC13" s="397">
        <f>-Aprekini!AC140</f>
        <v>0</v>
      </c>
      <c r="AD13" s="397">
        <f>-Aprekini!AD140</f>
        <v>0</v>
      </c>
      <c r="AE13" s="397">
        <f>-Aprekini!AE140</f>
        <v>0</v>
      </c>
      <c r="AF13" s="397">
        <f>-Aprekini!AF140</f>
        <v>0</v>
      </c>
      <c r="AG13" s="397">
        <f>-Aprekini!AG140</f>
        <v>0</v>
      </c>
    </row>
    <row r="14" spans="1:33" s="392" customFormat="1" ht="12.75">
      <c r="A14" s="399" t="s">
        <v>121</v>
      </c>
      <c r="B14" s="400">
        <f aca="true" t="shared" si="2" ref="B14:AG14">SUM(B13:B13)</f>
        <v>0</v>
      </c>
      <c r="C14" s="400">
        <f t="shared" si="2"/>
        <v>-133620</v>
      </c>
      <c r="D14" s="400">
        <f t="shared" si="2"/>
        <v>-584532</v>
      </c>
      <c r="E14" s="400">
        <f t="shared" si="2"/>
        <v>0</v>
      </c>
      <c r="F14" s="400">
        <f t="shared" si="2"/>
        <v>0</v>
      </c>
      <c r="G14" s="400">
        <f t="shared" si="2"/>
        <v>0</v>
      </c>
      <c r="H14" s="400">
        <f t="shared" si="2"/>
        <v>0</v>
      </c>
      <c r="I14" s="400">
        <f t="shared" si="2"/>
        <v>0</v>
      </c>
      <c r="J14" s="400">
        <f t="shared" si="2"/>
        <v>0</v>
      </c>
      <c r="K14" s="400">
        <f t="shared" si="2"/>
        <v>0</v>
      </c>
      <c r="L14" s="400">
        <f t="shared" si="2"/>
        <v>0</v>
      </c>
      <c r="M14" s="400">
        <f t="shared" si="2"/>
        <v>0</v>
      </c>
      <c r="N14" s="400">
        <f t="shared" si="2"/>
        <v>0</v>
      </c>
      <c r="O14" s="400">
        <f t="shared" si="2"/>
        <v>0</v>
      </c>
      <c r="P14" s="400">
        <f t="shared" si="2"/>
        <v>0</v>
      </c>
      <c r="Q14" s="400">
        <f t="shared" si="2"/>
        <v>0</v>
      </c>
      <c r="R14" s="400">
        <f t="shared" si="2"/>
        <v>0</v>
      </c>
      <c r="S14" s="400">
        <f t="shared" si="2"/>
        <v>0</v>
      </c>
      <c r="T14" s="400">
        <f t="shared" si="2"/>
        <v>0</v>
      </c>
      <c r="U14" s="400">
        <f t="shared" si="2"/>
        <v>0</v>
      </c>
      <c r="V14" s="400">
        <f t="shared" si="2"/>
        <v>0</v>
      </c>
      <c r="W14" s="400">
        <f t="shared" si="2"/>
        <v>0</v>
      </c>
      <c r="X14" s="400">
        <f t="shared" si="2"/>
        <v>0</v>
      </c>
      <c r="Y14" s="400">
        <f t="shared" si="2"/>
        <v>0</v>
      </c>
      <c r="Z14" s="400">
        <f t="shared" si="2"/>
        <v>0</v>
      </c>
      <c r="AA14" s="400">
        <f t="shared" si="2"/>
        <v>0</v>
      </c>
      <c r="AB14" s="400">
        <f t="shared" si="2"/>
        <v>0</v>
      </c>
      <c r="AC14" s="400">
        <f t="shared" si="2"/>
        <v>0</v>
      </c>
      <c r="AD14" s="400">
        <f t="shared" si="2"/>
        <v>0</v>
      </c>
      <c r="AE14" s="400">
        <f t="shared" si="2"/>
        <v>0</v>
      </c>
      <c r="AF14" s="400">
        <f t="shared" si="2"/>
        <v>0</v>
      </c>
      <c r="AG14" s="400">
        <f t="shared" si="2"/>
        <v>0</v>
      </c>
    </row>
    <row r="15" spans="1:33" s="392" customFormat="1" ht="12.75">
      <c r="A15" s="399" t="s">
        <v>122</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row>
    <row r="16" spans="1:33" s="392" customFormat="1" ht="12.75">
      <c r="A16" s="396" t="s">
        <v>123</v>
      </c>
      <c r="B16" s="397">
        <f aca="true" t="shared" si="3" ref="B16:AG16">SUM(B17:B23)</f>
        <v>0</v>
      </c>
      <c r="C16" s="397">
        <f t="shared" si="3"/>
        <v>133620</v>
      </c>
      <c r="D16" s="397">
        <f t="shared" si="3"/>
        <v>584532</v>
      </c>
      <c r="E16" s="397">
        <f t="shared" si="3"/>
        <v>0</v>
      </c>
      <c r="F16" s="397">
        <f t="shared" si="3"/>
        <v>0</v>
      </c>
      <c r="G16" s="397">
        <f t="shared" si="3"/>
        <v>0</v>
      </c>
      <c r="H16" s="397">
        <f t="shared" si="3"/>
        <v>0</v>
      </c>
      <c r="I16" s="397">
        <f t="shared" si="3"/>
        <v>0</v>
      </c>
      <c r="J16" s="397">
        <f t="shared" si="3"/>
        <v>0</v>
      </c>
      <c r="K16" s="397">
        <f t="shared" si="3"/>
        <v>0</v>
      </c>
      <c r="L16" s="397">
        <f t="shared" si="3"/>
        <v>0</v>
      </c>
      <c r="M16" s="397">
        <f t="shared" si="3"/>
        <v>0</v>
      </c>
      <c r="N16" s="397">
        <f t="shared" si="3"/>
        <v>0</v>
      </c>
      <c r="O16" s="397">
        <f t="shared" si="3"/>
        <v>0</v>
      </c>
      <c r="P16" s="397">
        <f t="shared" si="3"/>
        <v>0</v>
      </c>
      <c r="Q16" s="397">
        <f t="shared" si="3"/>
        <v>0</v>
      </c>
      <c r="R16" s="397">
        <f t="shared" si="3"/>
        <v>0</v>
      </c>
      <c r="S16" s="397">
        <f t="shared" si="3"/>
        <v>0</v>
      </c>
      <c r="T16" s="397">
        <f t="shared" si="3"/>
        <v>0</v>
      </c>
      <c r="U16" s="397">
        <f t="shared" si="3"/>
        <v>0</v>
      </c>
      <c r="V16" s="397">
        <f t="shared" si="3"/>
        <v>0</v>
      </c>
      <c r="W16" s="397">
        <f t="shared" si="3"/>
        <v>0</v>
      </c>
      <c r="X16" s="397">
        <f t="shared" si="3"/>
        <v>0</v>
      </c>
      <c r="Y16" s="397">
        <f t="shared" si="3"/>
        <v>0</v>
      </c>
      <c r="Z16" s="397">
        <f t="shared" si="3"/>
        <v>0</v>
      </c>
      <c r="AA16" s="397">
        <f t="shared" si="3"/>
        <v>0</v>
      </c>
      <c r="AB16" s="397">
        <f t="shared" si="3"/>
        <v>0</v>
      </c>
      <c r="AC16" s="397">
        <f t="shared" si="3"/>
        <v>0</v>
      </c>
      <c r="AD16" s="397">
        <f t="shared" si="3"/>
        <v>0</v>
      </c>
      <c r="AE16" s="397">
        <f t="shared" si="3"/>
        <v>0</v>
      </c>
      <c r="AF16" s="397">
        <f t="shared" si="3"/>
        <v>0</v>
      </c>
      <c r="AG16" s="397">
        <f t="shared" si="3"/>
        <v>0</v>
      </c>
    </row>
    <row r="17" spans="1:33" s="392" customFormat="1" ht="12.75">
      <c r="A17" s="572" t="str">
        <f>Aprekini!A144</f>
        <v>3.1. Pašvaldības pašu līdzekļi</v>
      </c>
      <c r="B17" s="397">
        <f>'Datu ievade'!B$119</f>
        <v>0</v>
      </c>
      <c r="C17" s="397">
        <f>'Datu ievade'!C$119</f>
        <v>0</v>
      </c>
      <c r="D17" s="397">
        <f>'Datu ievade'!D$119</f>
        <v>0</v>
      </c>
      <c r="E17" s="397">
        <f>'Datu ievade'!E$119</f>
        <v>0</v>
      </c>
      <c r="F17" s="397">
        <f>'Datu ievade'!F$119</f>
        <v>0</v>
      </c>
      <c r="G17" s="397">
        <f>'Datu ievade'!F$120</f>
        <v>0</v>
      </c>
      <c r="H17" s="397">
        <f>'Datu ievade'!H$120</f>
        <v>0</v>
      </c>
      <c r="I17" s="397">
        <f>'Datu ievade'!I$120</f>
        <v>0</v>
      </c>
      <c r="J17" s="397">
        <f>'Datu ievade'!J$120</f>
        <v>0</v>
      </c>
      <c r="K17" s="397">
        <f>'Datu ievade'!K$120</f>
        <v>0</v>
      </c>
      <c r="L17" s="397">
        <f>'Datu ievade'!L99+'Datu ievade'!L100</f>
        <v>0</v>
      </c>
      <c r="M17" s="397">
        <f>'Datu ievade'!M99+'Datu ievade'!M100</f>
        <v>0</v>
      </c>
      <c r="N17" s="397">
        <f>'Datu ievade'!N99+'Datu ievade'!N100</f>
        <v>0</v>
      </c>
      <c r="O17" s="397">
        <f>'Datu ievade'!O99+'Datu ievade'!O100</f>
        <v>0</v>
      </c>
      <c r="P17" s="397">
        <f>'Datu ievade'!P99+'Datu ievade'!P100</f>
        <v>0</v>
      </c>
      <c r="Q17" s="397">
        <f>'Datu ievade'!Q99+'Datu ievade'!Q100</f>
        <v>0</v>
      </c>
      <c r="R17" s="397">
        <f>'Datu ievade'!R99+'Datu ievade'!R100</f>
        <v>0</v>
      </c>
      <c r="S17" s="397">
        <f>'Datu ievade'!S99+'Datu ievade'!S100</f>
        <v>0</v>
      </c>
      <c r="T17" s="397">
        <f>'Datu ievade'!T99+'Datu ievade'!T100</f>
        <v>0</v>
      </c>
      <c r="U17" s="397">
        <f>'Datu ievade'!U99+'Datu ievade'!U100</f>
        <v>0</v>
      </c>
      <c r="V17" s="397">
        <f>'Datu ievade'!V99+'Datu ievade'!V100</f>
        <v>0</v>
      </c>
      <c r="W17" s="397">
        <f>'Datu ievade'!W99+'Datu ievade'!W100</f>
        <v>0</v>
      </c>
      <c r="X17" s="397">
        <f>'Datu ievade'!X99+'Datu ievade'!X100</f>
        <v>0</v>
      </c>
      <c r="Y17" s="397">
        <f>'Datu ievade'!Y99+'Datu ievade'!Y100</f>
        <v>0</v>
      </c>
      <c r="Z17" s="397">
        <f>'Datu ievade'!Z99+'Datu ievade'!Z100</f>
        <v>0</v>
      </c>
      <c r="AA17" s="397">
        <f>'Datu ievade'!AA99+'Datu ievade'!AA100</f>
        <v>0</v>
      </c>
      <c r="AB17" s="397">
        <f>'Datu ievade'!AB99+'Datu ievade'!AB100</f>
        <v>0</v>
      </c>
      <c r="AC17" s="397">
        <f>'Datu ievade'!AC99+'Datu ievade'!AC100</f>
        <v>0</v>
      </c>
      <c r="AD17" s="397">
        <f>'Datu ievade'!AD99+'Datu ievade'!AD100</f>
        <v>0</v>
      </c>
      <c r="AE17" s="397">
        <f>'Datu ievade'!AE99+'Datu ievade'!AE100</f>
        <v>0</v>
      </c>
      <c r="AF17" s="397">
        <f>'Datu ievade'!AF99+'Datu ievade'!AF100</f>
        <v>0</v>
      </c>
      <c r="AG17" s="397">
        <f>'Datu ievade'!AG99+'Datu ievade'!AG100</f>
        <v>0</v>
      </c>
    </row>
    <row r="18" spans="1:34" s="392" customFormat="1" ht="12.75">
      <c r="A18" s="572" t="str">
        <f>Aprekini!A146</f>
        <v>3.2. Pašvaldības komercsabiedrības pašu līdzekļi</v>
      </c>
      <c r="B18" s="397">
        <f>'Datu ievade'!B121</f>
        <v>0</v>
      </c>
      <c r="C18" s="397">
        <f>'Datu ievade'!C121</f>
        <v>0</v>
      </c>
      <c r="D18" s="397">
        <f>'Datu ievade'!D121</f>
        <v>0</v>
      </c>
      <c r="E18" s="397">
        <f>'Datu ievade'!E121</f>
        <v>0</v>
      </c>
      <c r="F18" s="397">
        <f>'Datu ievade'!F121</f>
        <v>0</v>
      </c>
      <c r="G18" s="397">
        <f>'Datu ievade'!G121</f>
        <v>0</v>
      </c>
      <c r="H18" s="397">
        <f>'Datu ievade'!H121</f>
        <v>0</v>
      </c>
      <c r="I18" s="397">
        <f>'Datu ievade'!I121</f>
        <v>0</v>
      </c>
      <c r="J18" s="397">
        <f>'Datu ievade'!J121</f>
        <v>0</v>
      </c>
      <c r="K18" s="397">
        <f>'Datu ievade'!K121</f>
        <v>0</v>
      </c>
      <c r="L18" s="397">
        <f>'Datu ievade'!L121</f>
        <v>0</v>
      </c>
      <c r="M18" s="397">
        <f>'Datu ievade'!M121</f>
        <v>0</v>
      </c>
      <c r="N18" s="397">
        <f>'Datu ievade'!N121</f>
        <v>0</v>
      </c>
      <c r="O18" s="397">
        <f>'Datu ievade'!O121</f>
        <v>0</v>
      </c>
      <c r="P18" s="397">
        <f>'Datu ievade'!P121</f>
        <v>0</v>
      </c>
      <c r="Q18" s="397">
        <f>'Datu ievade'!Q121</f>
        <v>0</v>
      </c>
      <c r="R18" s="397">
        <f>'Datu ievade'!R121</f>
        <v>0</v>
      </c>
      <c r="S18" s="397">
        <f>'Datu ievade'!S121</f>
        <v>0</v>
      </c>
      <c r="T18" s="397">
        <f>'Datu ievade'!T121</f>
        <v>0</v>
      </c>
      <c r="U18" s="397">
        <f>'Datu ievade'!U121</f>
        <v>0</v>
      </c>
      <c r="V18" s="397">
        <f>'Datu ievade'!V121</f>
        <v>0</v>
      </c>
      <c r="W18" s="397">
        <f>'Datu ievade'!W121</f>
        <v>0</v>
      </c>
      <c r="X18" s="397">
        <f>'Datu ievade'!X121</f>
        <v>0</v>
      </c>
      <c r="Y18" s="397">
        <f>'Datu ievade'!Y121</f>
        <v>0</v>
      </c>
      <c r="Z18" s="397">
        <f>'Datu ievade'!Z121</f>
        <v>0</v>
      </c>
      <c r="AA18" s="397">
        <f>'Datu ievade'!AA121</f>
        <v>0</v>
      </c>
      <c r="AB18" s="397">
        <f>'Datu ievade'!AB121</f>
        <v>0</v>
      </c>
      <c r="AC18" s="397">
        <f>'Datu ievade'!AC121</f>
        <v>0</v>
      </c>
      <c r="AD18" s="397">
        <f>'Datu ievade'!AD121</f>
        <v>0</v>
      </c>
      <c r="AE18" s="397">
        <f>'Datu ievade'!AE121</f>
        <v>0</v>
      </c>
      <c r="AF18" s="397">
        <f>'Datu ievade'!AF121</f>
        <v>0</v>
      </c>
      <c r="AG18" s="608">
        <f>'Datu ievade'!AG121</f>
        <v>0</v>
      </c>
      <c r="AH18" s="609"/>
    </row>
    <row r="19" spans="1:33" s="392" customFormat="1" ht="12.75">
      <c r="A19" s="572" t="str">
        <f>Aprekini!A148</f>
        <v>3.4. Valsts budžeta dotācija</v>
      </c>
      <c r="B19" s="397">
        <f>'Datu ievade'!B$123</f>
        <v>0</v>
      </c>
      <c r="C19" s="397">
        <f>'Datu ievade'!C$123</f>
        <v>0</v>
      </c>
      <c r="D19" s="397">
        <f>'Datu ievade'!D$123</f>
        <v>0</v>
      </c>
      <c r="E19" s="397">
        <f>'Datu ievade'!E$123</f>
        <v>0</v>
      </c>
      <c r="F19" s="397">
        <f>'Datu ievade'!F$123</f>
        <v>0</v>
      </c>
      <c r="G19" s="397">
        <f>'Datu ievade'!G107</f>
        <v>0</v>
      </c>
      <c r="H19" s="397">
        <f>'Datu ievade'!H107</f>
        <v>0</v>
      </c>
      <c r="I19" s="397">
        <f>'Datu ievade'!I107</f>
        <v>0</v>
      </c>
      <c r="J19" s="397">
        <f>'Datu ievade'!J107</f>
        <v>0</v>
      </c>
      <c r="K19" s="397">
        <f>'Datu ievade'!K107</f>
        <v>0</v>
      </c>
      <c r="L19" s="397">
        <f>'Datu ievade'!L107</f>
        <v>0</v>
      </c>
      <c r="M19" s="397">
        <f>'Datu ievade'!M107</f>
        <v>0</v>
      </c>
      <c r="N19" s="397">
        <f>'Datu ievade'!N107</f>
        <v>0</v>
      </c>
      <c r="O19" s="397">
        <f>'Datu ievade'!O107</f>
        <v>0</v>
      </c>
      <c r="P19" s="397">
        <f>'Datu ievade'!P107</f>
        <v>0</v>
      </c>
      <c r="Q19" s="397">
        <f>'Datu ievade'!Q107</f>
        <v>0</v>
      </c>
      <c r="R19" s="397">
        <f>'Datu ievade'!R107</f>
        <v>0</v>
      </c>
      <c r="S19" s="397">
        <f>'Datu ievade'!S107</f>
        <v>0</v>
      </c>
      <c r="T19" s="397">
        <f>'Datu ievade'!T107</f>
        <v>0</v>
      </c>
      <c r="U19" s="397">
        <f>'Datu ievade'!U107</f>
        <v>0</v>
      </c>
      <c r="V19" s="397">
        <f>'Datu ievade'!V107</f>
        <v>0</v>
      </c>
      <c r="W19" s="397">
        <f>'Datu ievade'!W107</f>
        <v>0</v>
      </c>
      <c r="X19" s="397">
        <f>'Datu ievade'!X107</f>
        <v>0</v>
      </c>
      <c r="Y19" s="397">
        <f>'Datu ievade'!Y107</f>
        <v>0</v>
      </c>
      <c r="Z19" s="397">
        <f>'Datu ievade'!Z107</f>
        <v>0</v>
      </c>
      <c r="AA19" s="397">
        <f>'Datu ievade'!AA107</f>
        <v>0</v>
      </c>
      <c r="AB19" s="397">
        <f>'Datu ievade'!AB107</f>
        <v>0</v>
      </c>
      <c r="AC19" s="397">
        <f>'Datu ievade'!AC107</f>
        <v>0</v>
      </c>
      <c r="AD19" s="397">
        <f>'Datu ievade'!AD107</f>
        <v>0</v>
      </c>
      <c r="AE19" s="397">
        <f>'Datu ievade'!AE107</f>
        <v>0</v>
      </c>
      <c r="AF19" s="397">
        <f>'Datu ievade'!AF107</f>
        <v>0</v>
      </c>
      <c r="AG19" s="397">
        <f>'Datu ievade'!AG107</f>
        <v>0</v>
      </c>
    </row>
    <row r="20" spans="1:33" s="392" customFormat="1" ht="12.75">
      <c r="A20" s="572" t="str">
        <f>Aprekini!A152</f>
        <v>3.7. ERAF līdzfinansējums</v>
      </c>
      <c r="B20" s="397">
        <f>'Datu ievade'!B$124</f>
        <v>0</v>
      </c>
      <c r="C20" s="397">
        <f>'Datu ievade'!C$124</f>
        <v>55574.84342311934</v>
      </c>
      <c r="D20" s="397">
        <f>'Datu ievade'!D$124</f>
        <v>243116.85657688064</v>
      </c>
      <c r="E20" s="397">
        <f>'Datu ievade'!E$124</f>
        <v>0</v>
      </c>
      <c r="F20" s="397">
        <f>'Datu ievade'!F$124</f>
        <v>0</v>
      </c>
      <c r="G20" s="397">
        <f>'Datu ievade'!G110</f>
        <v>0</v>
      </c>
      <c r="H20" s="397">
        <f>'Datu ievade'!H110</f>
        <v>0</v>
      </c>
      <c r="I20" s="397">
        <f>'Datu ievade'!I110</f>
        <v>0</v>
      </c>
      <c r="J20" s="397">
        <f>'Datu ievade'!J110</f>
        <v>0</v>
      </c>
      <c r="K20" s="397">
        <f>'Datu ievade'!K110</f>
        <v>0</v>
      </c>
      <c r="L20" s="397">
        <f>'Datu ievade'!L110</f>
        <v>0</v>
      </c>
      <c r="M20" s="397">
        <f>'Datu ievade'!M110</f>
        <v>0</v>
      </c>
      <c r="N20" s="397">
        <f>'Datu ievade'!N110</f>
        <v>0</v>
      </c>
      <c r="O20" s="397">
        <f>'Datu ievade'!O110</f>
        <v>0</v>
      </c>
      <c r="P20" s="397">
        <f>'Datu ievade'!P110</f>
        <v>0</v>
      </c>
      <c r="Q20" s="397">
        <f>'Datu ievade'!Q110</f>
        <v>0</v>
      </c>
      <c r="R20" s="397">
        <f>'Datu ievade'!R110</f>
        <v>0</v>
      </c>
      <c r="S20" s="397">
        <f>'Datu ievade'!S110</f>
        <v>0</v>
      </c>
      <c r="T20" s="397">
        <f>'Datu ievade'!T110</f>
        <v>0</v>
      </c>
      <c r="U20" s="397">
        <f>'Datu ievade'!U110</f>
        <v>0</v>
      </c>
      <c r="V20" s="397">
        <f>'Datu ievade'!V110</f>
        <v>0</v>
      </c>
      <c r="W20" s="397">
        <f>'Datu ievade'!W110</f>
        <v>0</v>
      </c>
      <c r="X20" s="397">
        <f>'Datu ievade'!X110</f>
        <v>0</v>
      </c>
      <c r="Y20" s="397">
        <f>'Datu ievade'!Y110</f>
        <v>0</v>
      </c>
      <c r="Z20" s="397">
        <f>'Datu ievade'!Z110</f>
        <v>0</v>
      </c>
      <c r="AA20" s="397">
        <f>'Datu ievade'!AA110</f>
        <v>0</v>
      </c>
      <c r="AB20" s="397">
        <f>'Datu ievade'!AB110</f>
        <v>0</v>
      </c>
      <c r="AC20" s="397">
        <f>'Datu ievade'!AC110</f>
        <v>0</v>
      </c>
      <c r="AD20" s="397">
        <f>'Datu ievade'!AD110</f>
        <v>0</v>
      </c>
      <c r="AE20" s="397">
        <f>'Datu ievade'!AE110</f>
        <v>0</v>
      </c>
      <c r="AF20" s="397">
        <f>'Datu ievade'!AF110</f>
        <v>0</v>
      </c>
      <c r="AG20" s="397">
        <f>'Datu ievade'!AG110</f>
        <v>0</v>
      </c>
    </row>
    <row r="21" spans="1:33" s="392" customFormat="1" ht="12.75">
      <c r="A21" s="572" t="str">
        <f>Aprekini!A149</f>
        <v>3.5. Citi finanšu avoti</v>
      </c>
      <c r="B21" s="397">
        <f>'Datu ievade'!B108+'Datu ievade'!B109</f>
        <v>0</v>
      </c>
      <c r="C21" s="397">
        <f>'Datu ievade'!C108+'Datu ievade'!C109</f>
        <v>0</v>
      </c>
      <c r="D21" s="397">
        <f>'Datu ievade'!D108+'Datu ievade'!D109</f>
        <v>0</v>
      </c>
      <c r="E21" s="397">
        <f>'Datu ievade'!E108+'Datu ievade'!E109</f>
        <v>0</v>
      </c>
      <c r="F21" s="397">
        <f>'Datu ievade'!F108+'Datu ievade'!F109</f>
        <v>0</v>
      </c>
      <c r="G21" s="397">
        <f>'Datu ievade'!G108+'Datu ievade'!G109</f>
        <v>0</v>
      </c>
      <c r="H21" s="397">
        <f>'Datu ievade'!H108+'Datu ievade'!H109</f>
        <v>0</v>
      </c>
      <c r="I21" s="397">
        <f>'Datu ievade'!I108+'Datu ievade'!I109</f>
        <v>0</v>
      </c>
      <c r="J21" s="397">
        <f>'Datu ievade'!J108+'Datu ievade'!J109</f>
        <v>0</v>
      </c>
      <c r="K21" s="397">
        <f>'Datu ievade'!K108+'Datu ievade'!K109</f>
        <v>0</v>
      </c>
      <c r="L21" s="397">
        <f>'Datu ievade'!L108+'Datu ievade'!L109</f>
        <v>0</v>
      </c>
      <c r="M21" s="397">
        <f>'Datu ievade'!M108+'Datu ievade'!M109</f>
        <v>0</v>
      </c>
      <c r="N21" s="397">
        <f>'Datu ievade'!N108+'Datu ievade'!N109</f>
        <v>0</v>
      </c>
      <c r="O21" s="397">
        <f>'Datu ievade'!O108+'Datu ievade'!O109</f>
        <v>0</v>
      </c>
      <c r="P21" s="397">
        <f>'Datu ievade'!P108+'Datu ievade'!P109</f>
        <v>0</v>
      </c>
      <c r="Q21" s="397">
        <f>'Datu ievade'!Q108+'Datu ievade'!Q109</f>
        <v>0</v>
      </c>
      <c r="R21" s="397">
        <f>'Datu ievade'!R108+'Datu ievade'!R109</f>
        <v>0</v>
      </c>
      <c r="S21" s="397">
        <f>'Datu ievade'!S108+'Datu ievade'!S109</f>
        <v>0</v>
      </c>
      <c r="T21" s="397">
        <f>'Datu ievade'!T108+'Datu ievade'!T109</f>
        <v>0</v>
      </c>
      <c r="U21" s="397">
        <f>'Datu ievade'!U108+'Datu ievade'!U109</f>
        <v>0</v>
      </c>
      <c r="V21" s="397">
        <f>'Datu ievade'!V108+'Datu ievade'!V109</f>
        <v>0</v>
      </c>
      <c r="W21" s="397">
        <f>'Datu ievade'!W108+'Datu ievade'!W109</f>
        <v>0</v>
      </c>
      <c r="X21" s="397">
        <f>'Datu ievade'!X108+'Datu ievade'!X109</f>
        <v>0</v>
      </c>
      <c r="Y21" s="397">
        <f>'Datu ievade'!Y108+'Datu ievade'!Y109</f>
        <v>0</v>
      </c>
      <c r="Z21" s="397">
        <f>'Datu ievade'!Z108+'Datu ievade'!Z109</f>
        <v>0</v>
      </c>
      <c r="AA21" s="397">
        <f>'Datu ievade'!AA108+'Datu ievade'!AA109</f>
        <v>0</v>
      </c>
      <c r="AB21" s="397">
        <f>'Datu ievade'!AB108+'Datu ievade'!AB109</f>
        <v>0</v>
      </c>
      <c r="AC21" s="397">
        <f>'Datu ievade'!AC108+'Datu ievade'!AC109</f>
        <v>0</v>
      </c>
      <c r="AD21" s="397">
        <f>'Datu ievade'!AD108+'Datu ievade'!AD109</f>
        <v>0</v>
      </c>
      <c r="AE21" s="397">
        <f>'Datu ievade'!AE108+'Datu ievade'!AE109</f>
        <v>0</v>
      </c>
      <c r="AF21" s="397">
        <f>'Datu ievade'!AF108+'Datu ievade'!AF109</f>
        <v>0</v>
      </c>
      <c r="AG21" s="397">
        <f>'Datu ievade'!AG108+'Datu ievade'!AG109</f>
        <v>0</v>
      </c>
    </row>
    <row r="22" spans="1:33" s="392" customFormat="1" ht="12.75">
      <c r="A22" s="572" t="str">
        <f>Aprekini!A145</f>
        <v>6.3. Pašvaldības aizņēmumi</v>
      </c>
      <c r="B22" s="397">
        <f>IF('Datu ievade'!$B$88="Jā",'Datu ievade'!B$99+'Datu ievade'!B$101,0)</f>
        <v>0</v>
      </c>
      <c r="C22" s="397">
        <f>IF('Datu ievade'!$B$88="Jā",'Datu ievade'!C$99+'Datu ievade'!C$101,0)</f>
        <v>78045.15657688066</v>
      </c>
      <c r="D22" s="397">
        <f>IF('Datu ievade'!$B$88="Jā",'Datu ievade'!D$99+'Datu ievade'!D$101,0)</f>
        <v>341415.1434231193</v>
      </c>
      <c r="E22" s="397">
        <f>IF('Datu ievade'!$B$88="Jā",'Datu ievade'!E$99+'Datu ievade'!E$101,0)</f>
        <v>0</v>
      </c>
      <c r="F22" s="397">
        <f>IF('Datu ievade'!$B$88="Jā",'Datu ievade'!F$99+'Datu ievade'!F$101,0)</f>
        <v>0</v>
      </c>
      <c r="G22" s="397">
        <f>IF('Datu ievade'!$B$88="Jā",'Datu ievade'!G$99+'Datu ievade'!G$101,0)</f>
        <v>0</v>
      </c>
      <c r="H22" s="397">
        <f>IF('Datu ievade'!$B$88="Jā",'Datu ievade'!H$99+'Datu ievade'!H$101,0)</f>
        <v>0</v>
      </c>
      <c r="I22" s="397">
        <f>IF('Datu ievade'!$B$88="Jā",'Datu ievade'!I$99+'Datu ievade'!I$101,0)</f>
        <v>0</v>
      </c>
      <c r="J22" s="397">
        <f>IF('Datu ievade'!$B$88="Jā",'Datu ievade'!J$99+'Datu ievade'!J$101,0)</f>
        <v>0</v>
      </c>
      <c r="K22" s="397">
        <f>IF('Datu ievade'!$B$88="Jā",'Datu ievade'!K$99+'Datu ievade'!K$101,0)</f>
        <v>0</v>
      </c>
      <c r="L22" s="397">
        <f>IF('Datu ievade'!$B$88="Jā",'Datu ievade'!L$99+'Datu ievade'!L$101,0)</f>
        <v>0</v>
      </c>
      <c r="M22" s="397">
        <f>IF('Datu ievade'!$B$88="Jā",'Datu ievade'!M$99+'Datu ievade'!M$101,0)</f>
        <v>0</v>
      </c>
      <c r="N22" s="397">
        <f>IF('Datu ievade'!$B$88="Jā",'Datu ievade'!N$99+'Datu ievade'!N$101,0)</f>
        <v>0</v>
      </c>
      <c r="O22" s="397">
        <f>IF('Datu ievade'!$B$88="Jā",'Datu ievade'!O$99+'Datu ievade'!O$101,0)</f>
        <v>0</v>
      </c>
      <c r="P22" s="397">
        <f>IF('Datu ievade'!$B$88="Jā",'Datu ievade'!P$99+'Datu ievade'!P$101,0)</f>
        <v>0</v>
      </c>
      <c r="Q22" s="397">
        <f>IF('Datu ievade'!$B$88="Jā",'Datu ievade'!Q$99+'Datu ievade'!Q$101,0)</f>
        <v>0</v>
      </c>
      <c r="R22" s="397">
        <f>IF('Datu ievade'!$B$88="Jā",'Datu ievade'!R$99+'Datu ievade'!R$101,0)</f>
        <v>0</v>
      </c>
      <c r="S22" s="397">
        <f>IF('Datu ievade'!$B$88="Jā",'Datu ievade'!S$99+'Datu ievade'!S$101,0)</f>
        <v>0</v>
      </c>
      <c r="T22" s="397">
        <f>IF('Datu ievade'!$B$88="Jā",'Datu ievade'!T$99+'Datu ievade'!T$101,0)</f>
        <v>0</v>
      </c>
      <c r="U22" s="397">
        <f>IF('Datu ievade'!$B$88="Jā",'Datu ievade'!U$99+'Datu ievade'!U$101,0)</f>
        <v>0</v>
      </c>
      <c r="V22" s="397">
        <f>IF('Datu ievade'!$B$88="Jā",'Datu ievade'!V$99+'Datu ievade'!V$101,0)</f>
        <v>0</v>
      </c>
      <c r="W22" s="397">
        <f>IF('Datu ievade'!$B$88="Jā",'Datu ievade'!W$99+'Datu ievade'!W$101,0)</f>
        <v>0</v>
      </c>
      <c r="X22" s="397">
        <f>IF('Datu ievade'!$B$88="Jā",'Datu ievade'!X$99+'Datu ievade'!X$101,0)</f>
        <v>0</v>
      </c>
      <c r="Y22" s="397">
        <f>IF('Datu ievade'!$B$88="Jā",'Datu ievade'!Y$99+'Datu ievade'!Y$101,0)</f>
        <v>0</v>
      </c>
      <c r="Z22" s="397">
        <f>IF('Datu ievade'!$B$88="Jā",'Datu ievade'!Z$99+'Datu ievade'!Z$101,0)</f>
        <v>0</v>
      </c>
      <c r="AA22" s="397">
        <f>IF('Datu ievade'!$B$88="Jā",'Datu ievade'!AA$99+'Datu ievade'!AA$101,0)</f>
        <v>0</v>
      </c>
      <c r="AB22" s="397">
        <f>IF('Datu ievade'!$B$88="Jā",'Datu ievade'!AB$99+'Datu ievade'!AB$101,0)</f>
        <v>0</v>
      </c>
      <c r="AC22" s="397">
        <f>IF('Datu ievade'!$B$88="Jā",'Datu ievade'!AC$99+'Datu ievade'!AC$101,0)</f>
        <v>0</v>
      </c>
      <c r="AD22" s="397">
        <f>IF('Datu ievade'!$B$88="Jā",'Datu ievade'!AD$99+'Datu ievade'!AD$101,0)</f>
        <v>0</v>
      </c>
      <c r="AE22" s="397">
        <f>IF('Datu ievade'!$B$88="Jā",'Datu ievade'!AE$99+'Datu ievade'!AE$101,0)</f>
        <v>0</v>
      </c>
      <c r="AF22" s="397">
        <f>IF('Datu ievade'!$B$88="Jā",'Datu ievade'!AF$99+'Datu ievade'!AF$101,0)</f>
        <v>0</v>
      </c>
      <c r="AG22" s="397">
        <f>IF('Datu ievade'!$B$88="Jā",'Datu ievade'!AG$99+'Datu ievade'!AG$101,0)</f>
        <v>0</v>
      </c>
    </row>
    <row r="23" spans="1:33" s="392" customFormat="1" ht="12.75">
      <c r="A23" s="403" t="str">
        <f>Aprekini!A147</f>
        <v>3. 3. Pašvaldības komercsabiedrības aizņēmumi</v>
      </c>
      <c r="B23" s="397">
        <f>'Datu ievade'!B105+'Datu ievade'!B106</f>
        <v>0</v>
      </c>
      <c r="C23" s="397">
        <f>'Datu ievade'!C105+'Datu ievade'!C106</f>
        <v>0</v>
      </c>
      <c r="D23" s="397">
        <f>'Datu ievade'!D105+'Datu ievade'!D106</f>
        <v>0</v>
      </c>
      <c r="E23" s="397">
        <f>'Datu ievade'!E105+'Datu ievade'!E106</f>
        <v>0</v>
      </c>
      <c r="F23" s="397">
        <f>'Datu ievade'!F105+'Datu ievade'!F106</f>
        <v>0</v>
      </c>
      <c r="G23" s="397">
        <f>'Datu ievade'!G105+'Datu ievade'!G106</f>
        <v>0</v>
      </c>
      <c r="H23" s="397">
        <f>'Datu ievade'!H105+'Datu ievade'!H106</f>
        <v>0</v>
      </c>
      <c r="I23" s="397">
        <f>'Datu ievade'!I105+'Datu ievade'!I106</f>
        <v>0</v>
      </c>
      <c r="J23" s="397">
        <f>'Datu ievade'!J105+'Datu ievade'!J106</f>
        <v>0</v>
      </c>
      <c r="K23" s="397">
        <f>'Datu ievade'!K105+'Datu ievade'!K106</f>
        <v>0</v>
      </c>
      <c r="L23" s="397">
        <f>'Datu ievade'!L105+'Datu ievade'!L106</f>
        <v>0</v>
      </c>
      <c r="M23" s="397">
        <f>'Datu ievade'!M105+'Datu ievade'!M106</f>
        <v>0</v>
      </c>
      <c r="N23" s="397">
        <f>'Datu ievade'!N105+'Datu ievade'!N106</f>
        <v>0</v>
      </c>
      <c r="O23" s="397">
        <f>'Datu ievade'!O105+'Datu ievade'!O106</f>
        <v>0</v>
      </c>
      <c r="P23" s="397">
        <f>'Datu ievade'!P105+'Datu ievade'!P106</f>
        <v>0</v>
      </c>
      <c r="Q23" s="397">
        <f>'Datu ievade'!Q105+'Datu ievade'!Q106</f>
        <v>0</v>
      </c>
      <c r="R23" s="397">
        <f>'Datu ievade'!R105+'Datu ievade'!R106</f>
        <v>0</v>
      </c>
      <c r="S23" s="397">
        <f>'Datu ievade'!S105+'Datu ievade'!S106</f>
        <v>0</v>
      </c>
      <c r="T23" s="397">
        <f>'Datu ievade'!T105+'Datu ievade'!T106</f>
        <v>0</v>
      </c>
      <c r="U23" s="397">
        <f>'Datu ievade'!U105+'Datu ievade'!U106</f>
        <v>0</v>
      </c>
      <c r="V23" s="397">
        <f>'Datu ievade'!V105+'Datu ievade'!V106</f>
        <v>0</v>
      </c>
      <c r="W23" s="397">
        <f>'Datu ievade'!W105+'Datu ievade'!W106</f>
        <v>0</v>
      </c>
      <c r="X23" s="397">
        <f>'Datu ievade'!X105+'Datu ievade'!X106</f>
        <v>0</v>
      </c>
      <c r="Y23" s="397">
        <f>'Datu ievade'!Y105+'Datu ievade'!Y106</f>
        <v>0</v>
      </c>
      <c r="Z23" s="397">
        <f>'Datu ievade'!Z105+'Datu ievade'!Z106</f>
        <v>0</v>
      </c>
      <c r="AA23" s="397">
        <f>'Datu ievade'!AA105+'Datu ievade'!AA106</f>
        <v>0</v>
      </c>
      <c r="AB23" s="397">
        <f>'Datu ievade'!AB105+'Datu ievade'!AB106</f>
        <v>0</v>
      </c>
      <c r="AC23" s="397">
        <f>'Datu ievade'!AC105+'Datu ievade'!AC106</f>
        <v>0</v>
      </c>
      <c r="AD23" s="397">
        <f>'Datu ievade'!AD105+'Datu ievade'!AD106</f>
        <v>0</v>
      </c>
      <c r="AE23" s="397">
        <f>'Datu ievade'!AE105+'Datu ievade'!AE106</f>
        <v>0</v>
      </c>
      <c r="AF23" s="397">
        <f>'Datu ievade'!AF105+'Datu ievade'!AF106</f>
        <v>0</v>
      </c>
      <c r="AG23" s="397">
        <f>'Datu ievade'!AG105+'Datu ievade'!AG106</f>
        <v>0</v>
      </c>
    </row>
    <row r="24" spans="1:33" s="579" customFormat="1" ht="12.75">
      <c r="A24" s="139" t="s">
        <v>124</v>
      </c>
      <c r="B24" s="578">
        <f>-Aprekini!B253</f>
        <v>0</v>
      </c>
      <c r="C24" s="578">
        <f>-Aprekini!C253</f>
        <v>0</v>
      </c>
      <c r="D24" s="578">
        <f>-Aprekini!D253</f>
        <v>0</v>
      </c>
      <c r="E24" s="578">
        <f>-Aprekini!E253</f>
        <v>0</v>
      </c>
      <c r="F24" s="578">
        <f>-Aprekini!F253</f>
        <v>-16778.412</v>
      </c>
      <c r="G24" s="578">
        <f>-Aprekini!G253</f>
        <v>-16778.412</v>
      </c>
      <c r="H24" s="578">
        <f>-Aprekini!H253</f>
        <v>-16778.412</v>
      </c>
      <c r="I24" s="578">
        <f>-Aprekini!I253</f>
        <v>-16778.412</v>
      </c>
      <c r="J24" s="578">
        <f>-Aprekini!J253</f>
        <v>-16778.412</v>
      </c>
      <c r="K24" s="578">
        <f>-Aprekini!K253</f>
        <v>-16778.412</v>
      </c>
      <c r="L24" s="578">
        <f>-Aprekini!L253</f>
        <v>-16778.412</v>
      </c>
      <c r="M24" s="578">
        <f>-Aprekini!M253</f>
        <v>-16778.412</v>
      </c>
      <c r="N24" s="578">
        <f>-Aprekini!N253</f>
        <v>-16778.412</v>
      </c>
      <c r="O24" s="578">
        <f>-Aprekini!O253</f>
        <v>-16778.412</v>
      </c>
      <c r="P24" s="578">
        <f>-Aprekini!P253</f>
        <v>-16778.412</v>
      </c>
      <c r="Q24" s="578">
        <f>-Aprekini!Q253</f>
        <v>-16778.412</v>
      </c>
      <c r="R24" s="578">
        <f>-Aprekini!R253</f>
        <v>-16778.412</v>
      </c>
      <c r="S24" s="578">
        <f>-Aprekini!S253</f>
        <v>-16778.412</v>
      </c>
      <c r="T24" s="578">
        <f>-Aprekini!T253</f>
        <v>-16778.412</v>
      </c>
      <c r="U24" s="578">
        <f>-Aprekini!U253</f>
        <v>-16778.412</v>
      </c>
      <c r="V24" s="578">
        <f>-Aprekini!V253</f>
        <v>-16778.412</v>
      </c>
      <c r="W24" s="578">
        <f>-Aprekini!W253</f>
        <v>-16778.412</v>
      </c>
      <c r="X24" s="578">
        <f>-Aprekini!X253</f>
        <v>-16778.412</v>
      </c>
      <c r="Y24" s="578">
        <f>-Aprekini!Y253</f>
        <v>-16778.412</v>
      </c>
      <c r="Z24" s="578">
        <f>-Aprekini!Z253</f>
        <v>-16778.412</v>
      </c>
      <c r="AA24" s="578">
        <f>-Aprekini!AA253</f>
        <v>-16778.412</v>
      </c>
      <c r="AB24" s="578">
        <f>-Aprekini!AB253</f>
        <v>-16778.412</v>
      </c>
      <c r="AC24" s="578">
        <f>-Aprekini!AC253</f>
        <v>-16778.412</v>
      </c>
      <c r="AD24" s="578">
        <f>-Aprekini!AD253</f>
        <v>-16778.412</v>
      </c>
      <c r="AE24" s="578">
        <f>-Aprekini!AE253</f>
        <v>0</v>
      </c>
      <c r="AF24" s="578">
        <f>-Aprekini!AF253</f>
        <v>0</v>
      </c>
      <c r="AG24" s="578">
        <f>-Aprekini!AG253</f>
        <v>0</v>
      </c>
    </row>
    <row r="25" spans="1:33" s="392" customFormat="1" ht="25.5">
      <c r="A25" s="398" t="s">
        <v>125</v>
      </c>
      <c r="B25" s="397">
        <f>-Aprekini!B261</f>
        <v>0</v>
      </c>
      <c r="C25" s="397">
        <f>-Aprekini!C261</f>
        <v>0</v>
      </c>
      <c r="D25" s="397">
        <f>-Aprekini!D261</f>
        <v>0</v>
      </c>
      <c r="E25" s="397">
        <f>-Aprekini!E261</f>
        <v>0</v>
      </c>
      <c r="F25" s="397">
        <f>-Aprekini!F261</f>
        <v>0</v>
      </c>
      <c r="G25" s="397">
        <f>-Aprekini!G261</f>
        <v>0</v>
      </c>
      <c r="H25" s="397">
        <f>-Aprekini!H261</f>
        <v>0</v>
      </c>
      <c r="I25" s="397">
        <f>-Aprekini!I261</f>
        <v>0</v>
      </c>
      <c r="J25" s="397">
        <f>-Aprekini!J261</f>
        <v>0</v>
      </c>
      <c r="K25" s="397">
        <f>-Aprekini!K261</f>
        <v>0</v>
      </c>
      <c r="L25" s="397">
        <f>-Aprekini!L261</f>
        <v>0</v>
      </c>
      <c r="M25" s="397">
        <f>-Aprekini!M261</f>
        <v>0</v>
      </c>
      <c r="N25" s="397">
        <f>-Aprekini!N261</f>
        <v>0</v>
      </c>
      <c r="O25" s="397">
        <f>-Aprekini!O261</f>
        <v>0</v>
      </c>
      <c r="P25" s="397">
        <f>-Aprekini!P261</f>
        <v>0</v>
      </c>
      <c r="Q25" s="397">
        <f>-Aprekini!Q261</f>
        <v>0</v>
      </c>
      <c r="R25" s="397">
        <f>-Aprekini!R261</f>
        <v>0</v>
      </c>
      <c r="S25" s="397">
        <f>-Aprekini!S261</f>
        <v>0</v>
      </c>
      <c r="T25" s="397">
        <f>-Aprekini!T261</f>
        <v>0</v>
      </c>
      <c r="U25" s="397">
        <f>-Aprekini!U261</f>
        <v>0</v>
      </c>
      <c r="V25" s="397">
        <f>-Aprekini!V261</f>
        <v>0</v>
      </c>
      <c r="W25" s="397">
        <f>-Aprekini!W261</f>
        <v>0</v>
      </c>
      <c r="X25" s="397">
        <f>-Aprekini!X261</f>
        <v>0</v>
      </c>
      <c r="Y25" s="397">
        <f>-Aprekini!Y261</f>
        <v>0</v>
      </c>
      <c r="Z25" s="397">
        <f>-Aprekini!Z261</f>
        <v>0</v>
      </c>
      <c r="AA25" s="397">
        <f>-Aprekini!AA261</f>
        <v>0</v>
      </c>
      <c r="AB25" s="397">
        <f>-Aprekini!AB261</f>
        <v>0</v>
      </c>
      <c r="AC25" s="397">
        <f>-Aprekini!AC261</f>
        <v>0</v>
      </c>
      <c r="AD25" s="397">
        <f>-Aprekini!AD261</f>
        <v>0</v>
      </c>
      <c r="AE25" s="397">
        <f>-Aprekini!AE261</f>
        <v>0</v>
      </c>
      <c r="AF25" s="397">
        <f>-Aprekini!AF261</f>
        <v>0</v>
      </c>
      <c r="AG25" s="397">
        <f>-Aprekini!AG261</f>
        <v>0</v>
      </c>
    </row>
    <row r="26" spans="1:33" s="392" customFormat="1" ht="12.75">
      <c r="A26" s="398" t="s">
        <v>126</v>
      </c>
      <c r="B26" s="400">
        <f aca="true" t="shared" si="4" ref="B26:AG26">B16+B24+B25</f>
        <v>0</v>
      </c>
      <c r="C26" s="400">
        <f t="shared" si="4"/>
        <v>133620</v>
      </c>
      <c r="D26" s="400">
        <f t="shared" si="4"/>
        <v>584532</v>
      </c>
      <c r="E26" s="400">
        <f t="shared" si="4"/>
        <v>0</v>
      </c>
      <c r="F26" s="400">
        <f t="shared" si="4"/>
        <v>-16778.412</v>
      </c>
      <c r="G26" s="400">
        <f t="shared" si="4"/>
        <v>-16778.412</v>
      </c>
      <c r="H26" s="400">
        <f t="shared" si="4"/>
        <v>-16778.412</v>
      </c>
      <c r="I26" s="400">
        <f t="shared" si="4"/>
        <v>-16778.412</v>
      </c>
      <c r="J26" s="400">
        <f t="shared" si="4"/>
        <v>-16778.412</v>
      </c>
      <c r="K26" s="400">
        <f t="shared" si="4"/>
        <v>-16778.412</v>
      </c>
      <c r="L26" s="400">
        <f t="shared" si="4"/>
        <v>-16778.412</v>
      </c>
      <c r="M26" s="400">
        <f t="shared" si="4"/>
        <v>-16778.412</v>
      </c>
      <c r="N26" s="400">
        <f t="shared" si="4"/>
        <v>-16778.412</v>
      </c>
      <c r="O26" s="400">
        <f t="shared" si="4"/>
        <v>-16778.412</v>
      </c>
      <c r="P26" s="400">
        <f t="shared" si="4"/>
        <v>-16778.412</v>
      </c>
      <c r="Q26" s="400">
        <f t="shared" si="4"/>
        <v>-16778.412</v>
      </c>
      <c r="R26" s="400">
        <f t="shared" si="4"/>
        <v>-16778.412</v>
      </c>
      <c r="S26" s="400">
        <f t="shared" si="4"/>
        <v>-16778.412</v>
      </c>
      <c r="T26" s="400">
        <f t="shared" si="4"/>
        <v>-16778.412</v>
      </c>
      <c r="U26" s="400">
        <f t="shared" si="4"/>
        <v>-16778.412</v>
      </c>
      <c r="V26" s="400">
        <f t="shared" si="4"/>
        <v>-16778.412</v>
      </c>
      <c r="W26" s="400">
        <f t="shared" si="4"/>
        <v>-16778.412</v>
      </c>
      <c r="X26" s="400">
        <f t="shared" si="4"/>
        <v>-16778.412</v>
      </c>
      <c r="Y26" s="400">
        <f t="shared" si="4"/>
        <v>-16778.412</v>
      </c>
      <c r="Z26" s="400">
        <f t="shared" si="4"/>
        <v>-16778.412</v>
      </c>
      <c r="AA26" s="400">
        <f t="shared" si="4"/>
        <v>-16778.412</v>
      </c>
      <c r="AB26" s="400">
        <f t="shared" si="4"/>
        <v>-16778.412</v>
      </c>
      <c r="AC26" s="400">
        <f t="shared" si="4"/>
        <v>-16778.412</v>
      </c>
      <c r="AD26" s="400">
        <f t="shared" si="4"/>
        <v>-16778.412</v>
      </c>
      <c r="AE26" s="400">
        <f t="shared" si="4"/>
        <v>0</v>
      </c>
      <c r="AF26" s="400">
        <f t="shared" si="4"/>
        <v>0</v>
      </c>
      <c r="AG26" s="400">
        <f t="shared" si="4"/>
        <v>0</v>
      </c>
    </row>
    <row r="27" spans="1:33" s="392" customFormat="1" ht="12.75">
      <c r="A27" s="398" t="s">
        <v>536</v>
      </c>
      <c r="B27" s="400">
        <f>'Datu ievade'!E297</f>
        <v>20000</v>
      </c>
      <c r="C27" s="400">
        <f>'Datu ievade'!F297</f>
        <v>20000</v>
      </c>
      <c r="D27" s="400">
        <f>'Datu ievade'!G297</f>
        <v>15000</v>
      </c>
      <c r="E27" s="400">
        <f>'Datu ievade'!H297</f>
        <v>0</v>
      </c>
      <c r="F27" s="400">
        <f>'Datu ievade'!I297</f>
        <v>0</v>
      </c>
      <c r="G27" s="400">
        <f>'Datu ievade'!J297</f>
        <v>0</v>
      </c>
      <c r="H27" s="400">
        <f>'Datu ievade'!K297</f>
        <v>0</v>
      </c>
      <c r="I27" s="400">
        <f>'Datu ievade'!L297</f>
        <v>0</v>
      </c>
      <c r="J27" s="400">
        <f>'Datu ievade'!M297</f>
        <v>0</v>
      </c>
      <c r="K27" s="400">
        <f>'Datu ievade'!N297</f>
        <v>0</v>
      </c>
      <c r="L27" s="400">
        <f>'Datu ievade'!O297</f>
        <v>0</v>
      </c>
      <c r="M27" s="400">
        <f>'Datu ievade'!P297</f>
        <v>0</v>
      </c>
      <c r="N27" s="400">
        <f>'Datu ievade'!Q297</f>
        <v>0</v>
      </c>
      <c r="O27" s="400">
        <f>'Datu ievade'!R297</f>
        <v>0</v>
      </c>
      <c r="P27" s="400">
        <f>'Datu ievade'!S297</f>
        <v>0</v>
      </c>
      <c r="Q27" s="400">
        <f>'Datu ievade'!T297</f>
        <v>0</v>
      </c>
      <c r="R27" s="400">
        <f>'Datu ievade'!U297</f>
        <v>0</v>
      </c>
      <c r="S27" s="400">
        <f>'Datu ievade'!V297</f>
        <v>0</v>
      </c>
      <c r="T27" s="400">
        <f>'Datu ievade'!W297</f>
        <v>0</v>
      </c>
      <c r="U27" s="400">
        <f>'Datu ievade'!X297</f>
        <v>0</v>
      </c>
      <c r="V27" s="400">
        <f>'Datu ievade'!Y297</f>
        <v>0</v>
      </c>
      <c r="W27" s="400">
        <f>'Datu ievade'!Z297</f>
        <v>0</v>
      </c>
      <c r="X27" s="400">
        <f>'Datu ievade'!AA297</f>
        <v>0</v>
      </c>
      <c r="Y27" s="400">
        <f>'Datu ievade'!AB297</f>
        <v>0</v>
      </c>
      <c r="Z27" s="400">
        <f>'Datu ievade'!AC297</f>
        <v>0</v>
      </c>
      <c r="AA27" s="400">
        <f>'Datu ievade'!AD297</f>
        <v>0</v>
      </c>
      <c r="AB27" s="400">
        <f>'Datu ievade'!AE297</f>
        <v>0</v>
      </c>
      <c r="AC27" s="400">
        <f>'Datu ievade'!AF297</f>
        <v>0</v>
      </c>
      <c r="AD27" s="400">
        <f>'Datu ievade'!AG297</f>
        <v>0</v>
      </c>
      <c r="AE27" s="400">
        <f>'Datu ievade'!AH297</f>
        <v>0</v>
      </c>
      <c r="AF27" s="400">
        <f>'Datu ievade'!AI297</f>
        <v>0</v>
      </c>
      <c r="AG27" s="400">
        <f>'Datu ievade'!AJ297</f>
        <v>0</v>
      </c>
    </row>
    <row r="28" spans="1:33" s="392" customFormat="1" ht="25.5">
      <c r="A28" s="404" t="s">
        <v>127</v>
      </c>
      <c r="B28" s="400">
        <f>SUM(B11,B14,B26)</f>
        <v>1013.8839999999964</v>
      </c>
      <c r="C28" s="400">
        <f>SUM(C11,C14,C26,C27)</f>
        <v>20398.012799999997</v>
      </c>
      <c r="D28" s="400">
        <f aca="true" t="shared" si="5" ref="D28:AG28">SUM(D11,D14,D26,D27)</f>
        <v>17329.961431701202</v>
      </c>
      <c r="E28" s="400">
        <f t="shared" si="5"/>
        <v>6065.566873999993</v>
      </c>
      <c r="F28" s="400">
        <f t="shared" si="5"/>
        <v>-10092.297926000005</v>
      </c>
      <c r="G28" s="400">
        <f t="shared" si="5"/>
        <v>-9412.72024096001</v>
      </c>
      <c r="H28" s="400">
        <f t="shared" si="5"/>
        <v>-8552.765755919994</v>
      </c>
      <c r="I28" s="400">
        <f t="shared" si="5"/>
        <v>-7460.935270879996</v>
      </c>
      <c r="J28" s="400">
        <f t="shared" si="5"/>
        <v>-6678.359185840007</v>
      </c>
      <c r="K28" s="400">
        <f t="shared" si="5"/>
        <v>-5818.404700800005</v>
      </c>
      <c r="L28" s="400">
        <f t="shared" si="5"/>
        <v>-4184.445615760003</v>
      </c>
      <c r="M28" s="400">
        <f t="shared" si="5"/>
        <v>-3162.928330719995</v>
      </c>
      <c r="N28" s="400">
        <f t="shared" si="5"/>
        <v>-2063.313920680008</v>
      </c>
      <c r="O28" s="400">
        <f t="shared" si="5"/>
        <v>-1465.4666856400036</v>
      </c>
      <c r="P28" s="400">
        <f t="shared" si="5"/>
        <v>-634.9510255999958</v>
      </c>
      <c r="Q28" s="400">
        <f t="shared" si="5"/>
        <v>351.75888444000157</v>
      </c>
      <c r="R28" s="400">
        <f t="shared" si="5"/>
        <v>1390.5480944799929</v>
      </c>
      <c r="S28" s="400">
        <f t="shared" si="5"/>
        <v>2845.84075452001</v>
      </c>
      <c r="T28" s="400">
        <f t="shared" si="5"/>
        <v>4040.867864560001</v>
      </c>
      <c r="U28" s="400">
        <f t="shared" si="5"/>
        <v>4584.969199600004</v>
      </c>
      <c r="V28" s="400">
        <f t="shared" si="5"/>
        <v>5450.153059640004</v>
      </c>
      <c r="W28" s="400">
        <f t="shared" si="5"/>
        <v>5976.843294680006</v>
      </c>
      <c r="X28" s="400">
        <f t="shared" si="5"/>
        <v>6503.533529720007</v>
      </c>
      <c r="Y28" s="400">
        <f t="shared" si="5"/>
        <v>7108.320889760005</v>
      </c>
      <c r="Z28" s="400">
        <f t="shared" si="5"/>
        <v>7635.01112480001</v>
      </c>
      <c r="AA28" s="400">
        <f t="shared" si="5"/>
        <v>8187.719184840011</v>
      </c>
      <c r="AB28" s="400">
        <f t="shared" si="5"/>
        <v>9026.79791988001</v>
      </c>
      <c r="AC28" s="400">
        <f t="shared" si="5"/>
        <v>9631.585279920015</v>
      </c>
      <c r="AD28" s="400">
        <f t="shared" si="5"/>
        <v>9845.887014960026</v>
      </c>
      <c r="AE28" s="400">
        <f t="shared" si="5"/>
        <v>27541.474875000004</v>
      </c>
      <c r="AF28" s="400">
        <f t="shared" si="5"/>
        <v>27881.034750000017</v>
      </c>
      <c r="AG28" s="400">
        <f t="shared" si="5"/>
        <v>27828.398749999997</v>
      </c>
    </row>
    <row r="29" spans="1:36" s="392" customFormat="1" ht="25.5">
      <c r="A29" s="404" t="s">
        <v>128</v>
      </c>
      <c r="B29" s="400">
        <f>B28+'Datu ievade'!E$297</f>
        <v>21013.884</v>
      </c>
      <c r="C29" s="400">
        <f aca="true" t="shared" si="6" ref="C29:AG29">C28+B29</f>
        <v>41411.896799999995</v>
      </c>
      <c r="D29" s="400">
        <f t="shared" si="6"/>
        <v>58741.8582317012</v>
      </c>
      <c r="E29" s="400">
        <f t="shared" si="6"/>
        <v>64807.425105701186</v>
      </c>
      <c r="F29" s="400">
        <f t="shared" si="6"/>
        <v>54715.12717970118</v>
      </c>
      <c r="G29" s="400">
        <f t="shared" si="6"/>
        <v>45302.40693874117</v>
      </c>
      <c r="H29" s="400">
        <f t="shared" si="6"/>
        <v>36749.64118282118</v>
      </c>
      <c r="I29" s="400">
        <f t="shared" si="6"/>
        <v>29288.705911941182</v>
      </c>
      <c r="J29" s="400">
        <f t="shared" si="6"/>
        <v>22610.346726101176</v>
      </c>
      <c r="K29" s="400">
        <f t="shared" si="6"/>
        <v>16791.94202530117</v>
      </c>
      <c r="L29" s="400">
        <f t="shared" si="6"/>
        <v>12607.496409541167</v>
      </c>
      <c r="M29" s="400">
        <f t="shared" si="6"/>
        <v>9444.568078821172</v>
      </c>
      <c r="N29" s="400">
        <f t="shared" si="6"/>
        <v>7381.254158141164</v>
      </c>
      <c r="O29" s="400">
        <f t="shared" si="6"/>
        <v>5915.787472501161</v>
      </c>
      <c r="P29" s="400">
        <f t="shared" si="6"/>
        <v>5280.836446901165</v>
      </c>
      <c r="Q29" s="400">
        <f t="shared" si="6"/>
        <v>5632.5953313411665</v>
      </c>
      <c r="R29" s="400">
        <f t="shared" si="6"/>
        <v>7023.143425821159</v>
      </c>
      <c r="S29" s="400">
        <f t="shared" si="6"/>
        <v>9868.98418034117</v>
      </c>
      <c r="T29" s="400">
        <f t="shared" si="6"/>
        <v>13909.85204490117</v>
      </c>
      <c r="U29" s="400">
        <f t="shared" si="6"/>
        <v>18494.821244501174</v>
      </c>
      <c r="V29" s="860">
        <f t="shared" si="6"/>
        <v>23944.97430414118</v>
      </c>
      <c r="W29" s="860">
        <f t="shared" si="6"/>
        <v>29921.817598821184</v>
      </c>
      <c r="X29" s="860">
        <f t="shared" si="6"/>
        <v>36425.351128541195</v>
      </c>
      <c r="Y29" s="400">
        <f t="shared" si="6"/>
        <v>43533.6720183012</v>
      </c>
      <c r="Z29" s="400">
        <f t="shared" si="6"/>
        <v>51168.68314310121</v>
      </c>
      <c r="AA29" s="400">
        <f t="shared" si="6"/>
        <v>59356.40232794122</v>
      </c>
      <c r="AB29" s="400">
        <f t="shared" si="6"/>
        <v>68383.20024782122</v>
      </c>
      <c r="AC29" s="400">
        <f t="shared" si="6"/>
        <v>78014.78552774125</v>
      </c>
      <c r="AD29" s="400">
        <f t="shared" si="6"/>
        <v>87860.67254270127</v>
      </c>
      <c r="AE29" s="400">
        <f t="shared" si="6"/>
        <v>115402.14741770127</v>
      </c>
      <c r="AF29" s="400">
        <f t="shared" si="6"/>
        <v>143283.18216770128</v>
      </c>
      <c r="AG29" s="400">
        <f t="shared" si="6"/>
        <v>171111.58091770127</v>
      </c>
      <c r="AJ29" s="405"/>
    </row>
    <row r="30" ht="12">
      <c r="A30" s="406"/>
    </row>
    <row r="31" spans="2:21" ht="12">
      <c r="B31" s="407"/>
      <c r="C31" s="407"/>
      <c r="D31" s="407"/>
      <c r="E31" s="407"/>
      <c r="F31" s="407"/>
      <c r="G31" s="407"/>
      <c r="H31" s="407"/>
      <c r="I31" s="407"/>
      <c r="J31" s="407"/>
      <c r="K31" s="407"/>
      <c r="L31" s="407"/>
      <c r="M31" s="407"/>
      <c r="N31" s="407"/>
      <c r="O31" s="407"/>
      <c r="P31" s="407"/>
      <c r="Q31" s="407"/>
      <c r="R31" s="407"/>
      <c r="S31" s="407"/>
      <c r="T31" s="407"/>
      <c r="U31" s="407"/>
    </row>
  </sheetData>
  <sheetProtection/>
  <printOptions horizontalCentered="1"/>
  <pageMargins left="0.5902777777777778" right="0.5902777777777778" top="1" bottom="1.1388888888888888" header="0.5118055555555555" footer="1"/>
  <pageSetup horizontalDpi="300" verticalDpi="300" orientation="landscape" paperSize="9" scale="66"/>
  <headerFooter alignWithMargins="0">
    <oddFooter>&amp;L&amp;A&amp;R&amp;P</oddFooter>
  </headerFooter>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E28" sqref="E28"/>
    </sheetView>
  </sheetViews>
  <sheetFormatPr defaultColWidth="9.140625" defaultRowHeight="11.25"/>
  <cols>
    <col min="1" max="1" width="9.00390625" style="653" customWidth="1"/>
    <col min="2" max="2" width="13.421875" style="653" customWidth="1"/>
    <col min="3" max="3" width="13.28125" style="653" customWidth="1"/>
    <col min="4" max="4" width="11.28125" style="653" customWidth="1"/>
    <col min="5" max="5" width="11.421875" style="653" customWidth="1"/>
    <col min="6" max="6" width="9.140625" style="653" customWidth="1"/>
    <col min="7" max="7" width="11.28125" style="653" customWidth="1"/>
    <col min="8" max="12" width="9.140625" style="653" customWidth="1"/>
    <col min="13" max="13" width="11.7109375" style="653" customWidth="1"/>
    <col min="14" max="14" width="9.140625" style="653" customWidth="1"/>
    <col min="15" max="15" width="11.57421875" style="653" customWidth="1"/>
    <col min="16" max="16384" width="9.140625" style="653" customWidth="1"/>
  </cols>
  <sheetData>
    <row r="1" spans="1:5" ht="17.25" customHeight="1">
      <c r="A1" s="1016" t="str">
        <f>'Datu ievade'!B4</f>
        <v>A novada pašvaldība</v>
      </c>
      <c r="B1" s="1016"/>
      <c r="C1" s="1016" t="str">
        <f>'Datu ievade'!B6</f>
        <v>Ūdenssaimniecības attīstība A ciemā</v>
      </c>
      <c r="D1" s="1016"/>
      <c r="E1" s="1016"/>
    </row>
    <row r="2" ht="5.25" customHeight="1"/>
    <row r="3" spans="1:16" ht="14.25">
      <c r="A3" s="677" t="s">
        <v>486</v>
      </c>
      <c r="B3" s="678"/>
      <c r="C3" s="678"/>
      <c r="D3" s="678"/>
      <c r="E3" s="678"/>
      <c r="F3" s="678"/>
      <c r="G3" s="678"/>
      <c r="H3" s="678"/>
      <c r="I3" s="678"/>
      <c r="J3" s="678"/>
      <c r="K3" s="678"/>
      <c r="L3" s="678"/>
      <c r="M3" s="678"/>
      <c r="N3" s="678"/>
      <c r="O3" s="678"/>
      <c r="P3" s="678"/>
    </row>
    <row r="4" spans="1:16" ht="12.75">
      <c r="A4" s="678"/>
      <c r="B4" s="678"/>
      <c r="C4" s="678"/>
      <c r="D4" s="678"/>
      <c r="E4" s="678"/>
      <c r="F4" s="678"/>
      <c r="G4" s="678"/>
      <c r="H4" s="678"/>
      <c r="I4" s="678"/>
      <c r="J4" s="678"/>
      <c r="K4" s="678"/>
      <c r="L4" s="678"/>
      <c r="M4" s="678"/>
      <c r="N4" s="678"/>
      <c r="O4" s="678"/>
      <c r="P4" s="678"/>
    </row>
    <row r="5" spans="1:16" ht="12.75">
      <c r="A5" s="1015" t="s">
        <v>129</v>
      </c>
      <c r="B5" s="1015" t="s">
        <v>130</v>
      </c>
      <c r="C5" s="1015" t="s">
        <v>30</v>
      </c>
      <c r="D5" s="1015" t="s">
        <v>131</v>
      </c>
      <c r="E5" s="1015" t="s">
        <v>131</v>
      </c>
      <c r="F5" s="1015"/>
      <c r="G5" s="1015" t="s">
        <v>132</v>
      </c>
      <c r="H5" s="1015"/>
      <c r="I5" s="1015"/>
      <c r="J5" s="1015"/>
      <c r="K5" s="1015"/>
      <c r="L5" s="1015"/>
      <c r="M5" s="1015"/>
      <c r="N5" s="1015"/>
      <c r="O5" s="1015"/>
      <c r="P5" s="1015"/>
    </row>
    <row r="6" spans="1:16" ht="12.75">
      <c r="A6" s="1015"/>
      <c r="B6" s="1015"/>
      <c r="C6" s="1015"/>
      <c r="D6" s="1015"/>
      <c r="E6" s="1015" t="s">
        <v>133</v>
      </c>
      <c r="F6" s="1015" t="s">
        <v>134</v>
      </c>
      <c r="G6" s="1015" t="s">
        <v>135</v>
      </c>
      <c r="H6" s="1015"/>
      <c r="I6" s="1015" t="s">
        <v>136</v>
      </c>
      <c r="J6" s="1015"/>
      <c r="K6" s="1015"/>
      <c r="L6" s="1015"/>
      <c r="M6" s="1015"/>
      <c r="N6" s="1015"/>
      <c r="O6" s="1015"/>
      <c r="P6" s="1015"/>
    </row>
    <row r="7" spans="1:16" ht="12.75">
      <c r="A7" s="1015"/>
      <c r="B7" s="1015"/>
      <c r="C7" s="1015"/>
      <c r="D7" s="1015"/>
      <c r="E7" s="1015"/>
      <c r="F7" s="1015"/>
      <c r="G7" s="1015"/>
      <c r="H7" s="1015"/>
      <c r="I7" s="1015" t="s">
        <v>137</v>
      </c>
      <c r="J7" s="1015"/>
      <c r="K7" s="1015" t="s">
        <v>138</v>
      </c>
      <c r="L7" s="1015"/>
      <c r="M7" s="1015" t="s">
        <v>139</v>
      </c>
      <c r="N7" s="1015"/>
      <c r="O7" s="1015" t="s">
        <v>140</v>
      </c>
      <c r="P7" s="1015"/>
    </row>
    <row r="8" spans="1:16" ht="25.5">
      <c r="A8" s="679"/>
      <c r="B8" s="680" t="s">
        <v>141</v>
      </c>
      <c r="C8" s="680">
        <v>2</v>
      </c>
      <c r="D8" s="680" t="s">
        <v>142</v>
      </c>
      <c r="E8" s="681" t="s">
        <v>143</v>
      </c>
      <c r="F8" s="680">
        <v>5</v>
      </c>
      <c r="G8" s="680">
        <v>6</v>
      </c>
      <c r="H8" s="681" t="s">
        <v>144</v>
      </c>
      <c r="I8" s="680">
        <v>8</v>
      </c>
      <c r="J8" s="681" t="s">
        <v>145</v>
      </c>
      <c r="K8" s="680">
        <v>10</v>
      </c>
      <c r="L8" s="681" t="s">
        <v>146</v>
      </c>
      <c r="M8" s="680">
        <v>12</v>
      </c>
      <c r="N8" s="681" t="s">
        <v>147</v>
      </c>
      <c r="O8" s="680">
        <v>14</v>
      </c>
      <c r="P8" s="681" t="s">
        <v>148</v>
      </c>
    </row>
    <row r="9" spans="1:16" ht="12.75">
      <c r="A9" s="682">
        <f>'Datu ievade'!B29</f>
        <v>2011</v>
      </c>
      <c r="B9" s="683">
        <f aca="true" t="shared" si="0" ref="B9:B15">C9+D9</f>
        <v>0</v>
      </c>
      <c r="C9" s="684">
        <f>'Datu ievade'!B$97</f>
        <v>0</v>
      </c>
      <c r="D9" s="684">
        <f aca="true" t="shared" si="1" ref="D9:D15">E9+F9</f>
        <v>0</v>
      </c>
      <c r="E9" s="684">
        <f aca="true" t="shared" si="2" ref="E9:E15">G9+I9+K9+M9+O9</f>
        <v>0</v>
      </c>
      <c r="F9" s="684"/>
      <c r="G9" s="684">
        <f>'Datu ievade'!B$110</f>
        <v>0</v>
      </c>
      <c r="H9" s="967">
        <f aca="true" t="shared" si="3" ref="H9:H16">IF(G9=0,"",G9/D9)</f>
      </c>
      <c r="I9" s="684">
        <f>'Datu ievade'!B$107</f>
        <v>0</v>
      </c>
      <c r="J9" s="685">
        <f aca="true" t="shared" si="4" ref="J9:J15">IF(I9=0,"",I9/D9)</f>
      </c>
      <c r="K9" s="684"/>
      <c r="L9" s="685">
        <f aca="true" t="shared" si="5" ref="L9:L15">IF(K9=0,"",K9/D9)</f>
      </c>
      <c r="M9" s="684">
        <f>IF('Datu ievade'!$B$88="Jā",'Datu ievade'!B$101,'Datu ievade'!B$99)</f>
        <v>0</v>
      </c>
      <c r="N9" s="967">
        <f aca="true" t="shared" si="6" ref="N9:N16">IF(M9=0,"",M9/D9)</f>
      </c>
      <c r="O9" s="684">
        <f>'Datu ievade'!B$103+'Datu ievade'!B$105+'Datu ievade'!B$108</f>
        <v>0</v>
      </c>
      <c r="P9" s="685">
        <f>IF(O9=0,"",O9/D9)</f>
      </c>
    </row>
    <row r="10" spans="1:16" ht="12.75">
      <c r="A10" s="682">
        <f aca="true" t="shared" si="7" ref="A10:A15">A9+1</f>
        <v>2012</v>
      </c>
      <c r="B10" s="683">
        <f>C10+D10</f>
        <v>163016.4</v>
      </c>
      <c r="C10" s="684">
        <f>'Datu ievade'!C$97</f>
        <v>29396.4</v>
      </c>
      <c r="D10" s="684">
        <f>E10+F10</f>
        <v>133620</v>
      </c>
      <c r="E10" s="684">
        <f>G10+I10+K10+M10+O10</f>
        <v>133620</v>
      </c>
      <c r="F10" s="684"/>
      <c r="G10" s="684">
        <f>'Datu ievade'!C$110</f>
        <v>55574.84342311934</v>
      </c>
      <c r="H10" s="686">
        <f t="shared" si="3"/>
        <v>0.41591710390001</v>
      </c>
      <c r="I10" s="684">
        <f>'Datu ievade'!C$107</f>
        <v>0</v>
      </c>
      <c r="J10" s="686">
        <f t="shared" si="4"/>
      </c>
      <c r="K10" s="684"/>
      <c r="L10" s="685">
        <f t="shared" si="5"/>
      </c>
      <c r="M10" s="684">
        <f>IF('Datu ievade'!$B$88="Jā",'Datu ievade'!C$101,'Datu ievade'!C$99)</f>
        <v>78045.15657688066</v>
      </c>
      <c r="N10" s="686">
        <f t="shared" si="6"/>
        <v>0.58408289609999</v>
      </c>
      <c r="O10" s="684">
        <f>'Datu ievade'!C$103+'Datu ievade'!C$105+'Datu ievade'!C$108</f>
        <v>0</v>
      </c>
      <c r="P10" s="687">
        <f>IF(O10=0,"",O10/D10)</f>
      </c>
    </row>
    <row r="11" spans="1:16" ht="12.75">
      <c r="A11" s="682">
        <f t="shared" si="7"/>
        <v>2013</v>
      </c>
      <c r="B11" s="683">
        <f>C11+D11</f>
        <v>713129.04</v>
      </c>
      <c r="C11" s="684">
        <f>'Datu ievade'!D$97</f>
        <v>128597.04000000001</v>
      </c>
      <c r="D11" s="684">
        <f>E11+F11</f>
        <v>584532</v>
      </c>
      <c r="E11" s="684">
        <f>G11+I11+K11+M11+O11</f>
        <v>584532</v>
      </c>
      <c r="F11" s="684"/>
      <c r="G11" s="684">
        <f>'Datu ievade'!D$110</f>
        <v>243116.85657688064</v>
      </c>
      <c r="H11" s="686">
        <f t="shared" si="3"/>
        <v>0.41591710390001</v>
      </c>
      <c r="I11" s="684">
        <f>'Datu ievade'!D$107</f>
        <v>0</v>
      </c>
      <c r="J11" s="686">
        <f t="shared" si="4"/>
      </c>
      <c r="K11" s="684"/>
      <c r="L11" s="685">
        <f t="shared" si="5"/>
      </c>
      <c r="M11" s="684">
        <f>IF('Datu ievade'!$B$88="Jā",'Datu ievade'!D$101,'Datu ievade'!D$99)</f>
        <v>341415.1434231193</v>
      </c>
      <c r="N11" s="686">
        <f t="shared" si="6"/>
        <v>0.58408289609999</v>
      </c>
      <c r="O11" s="684">
        <f>'Datu ievade'!D$103+'Datu ievade'!D$105+'Datu ievade'!D$108</f>
        <v>0</v>
      </c>
      <c r="P11" s="688">
        <f>IF(O11=0,"",O11/D11)</f>
      </c>
    </row>
    <row r="12" spans="1:16" ht="12.75">
      <c r="A12" s="682">
        <f t="shared" si="7"/>
        <v>2014</v>
      </c>
      <c r="B12" s="683">
        <f t="shared" si="0"/>
        <v>0</v>
      </c>
      <c r="C12" s="684">
        <f>'Datu ievade'!E$97</f>
        <v>0</v>
      </c>
      <c r="D12" s="684">
        <f t="shared" si="1"/>
        <v>0</v>
      </c>
      <c r="E12" s="684">
        <f t="shared" si="2"/>
        <v>0</v>
      </c>
      <c r="F12" s="684"/>
      <c r="G12" s="684">
        <f>'Datu ievade'!E$110</f>
        <v>0</v>
      </c>
      <c r="H12" s="686">
        <f t="shared" si="3"/>
      </c>
      <c r="I12" s="684">
        <f>'Datu ievade'!E$107</f>
        <v>0</v>
      </c>
      <c r="J12" s="688">
        <f t="shared" si="4"/>
      </c>
      <c r="K12" s="684"/>
      <c r="L12" s="685">
        <f t="shared" si="5"/>
      </c>
      <c r="M12" s="684">
        <f>IF('Datu ievade'!$B$88="Jā",'Datu ievade'!E$101,'Datu ievade'!E$99)</f>
        <v>0</v>
      </c>
      <c r="N12" s="686">
        <f t="shared" si="6"/>
      </c>
      <c r="O12" s="684">
        <f>'Datu ievade'!E$103+'Datu ievade'!E$105+'Datu ievade'!E$108</f>
        <v>0</v>
      </c>
      <c r="P12" s="688">
        <f>IF(O12=0,"",O12/D12)</f>
      </c>
    </row>
    <row r="13" spans="1:16" ht="12.75">
      <c r="A13" s="682">
        <f t="shared" si="7"/>
        <v>2015</v>
      </c>
      <c r="B13" s="683">
        <f t="shared" si="0"/>
        <v>0</v>
      </c>
      <c r="C13" s="684">
        <f>'Datu ievade'!F$97</f>
        <v>0</v>
      </c>
      <c r="D13" s="684">
        <f t="shared" si="1"/>
        <v>0</v>
      </c>
      <c r="E13" s="684">
        <f t="shared" si="2"/>
        <v>0</v>
      </c>
      <c r="F13" s="684"/>
      <c r="G13" s="684">
        <f>'Datu ievade'!F$110</f>
        <v>0</v>
      </c>
      <c r="H13" s="686">
        <f t="shared" si="3"/>
      </c>
      <c r="I13" s="684">
        <f>'Datu ievade'!F$107</f>
        <v>0</v>
      </c>
      <c r="J13" s="685">
        <f t="shared" si="4"/>
      </c>
      <c r="K13" s="684"/>
      <c r="L13" s="685">
        <f t="shared" si="5"/>
      </c>
      <c r="M13" s="684">
        <f>IF('Datu ievade'!$B$88="Jā",'Datu ievade'!F$101,'Datu ievade'!F$99)</f>
        <v>0</v>
      </c>
      <c r="N13" s="686">
        <f t="shared" si="6"/>
      </c>
      <c r="O13" s="684">
        <f>'Datu ievade'!F$103+'Datu ievade'!F$105+'Datu ievade'!F$108</f>
        <v>0</v>
      </c>
      <c r="P13" s="685">
        <f>IF(O13=0,"",O13/D13)</f>
      </c>
    </row>
    <row r="14" spans="1:16" ht="12.75">
      <c r="A14" s="682">
        <f t="shared" si="7"/>
        <v>2016</v>
      </c>
      <c r="B14" s="683">
        <f t="shared" si="0"/>
        <v>0</v>
      </c>
      <c r="C14" s="684">
        <f>'Datu ievade'!F$97</f>
        <v>0</v>
      </c>
      <c r="D14" s="684">
        <f t="shared" si="1"/>
        <v>0</v>
      </c>
      <c r="E14" s="684">
        <f t="shared" si="2"/>
        <v>0</v>
      </c>
      <c r="F14" s="684"/>
      <c r="G14" s="684">
        <f>'Datu ievade'!G$110</f>
        <v>0</v>
      </c>
      <c r="H14" s="686">
        <f t="shared" si="3"/>
      </c>
      <c r="I14" s="684">
        <f>'Datu ievade'!G$107</f>
        <v>0</v>
      </c>
      <c r="J14" s="685">
        <f t="shared" si="4"/>
      </c>
      <c r="K14" s="684"/>
      <c r="L14" s="685">
        <f t="shared" si="5"/>
      </c>
      <c r="M14" s="684">
        <f>IF('Datu ievade'!$B$88="Jā",'Datu ievade'!G$101,'Datu ievade'!G$99)</f>
        <v>0</v>
      </c>
      <c r="N14" s="686">
        <f t="shared" si="6"/>
      </c>
      <c r="O14" s="684">
        <f>'Datu ievade'!G$103+'Datu ievade'!G$105+'Datu ievade'!G$108</f>
        <v>0</v>
      </c>
      <c r="P14" s="685"/>
    </row>
    <row r="15" spans="1:16" ht="12.75">
      <c r="A15" s="682">
        <f t="shared" si="7"/>
        <v>2017</v>
      </c>
      <c r="B15" s="683">
        <f t="shared" si="0"/>
        <v>0</v>
      </c>
      <c r="C15" s="684">
        <f>'Datu ievade'!F$97</f>
        <v>0</v>
      </c>
      <c r="D15" s="684">
        <f t="shared" si="1"/>
        <v>0</v>
      </c>
      <c r="E15" s="684">
        <f t="shared" si="2"/>
        <v>0</v>
      </c>
      <c r="F15" s="684"/>
      <c r="G15" s="684">
        <f>'Datu ievade'!H$110</f>
        <v>0</v>
      </c>
      <c r="H15" s="686">
        <f t="shared" si="3"/>
      </c>
      <c r="I15" s="684">
        <f>'Datu ievade'!H$107</f>
        <v>0</v>
      </c>
      <c r="J15" s="685">
        <f t="shared" si="4"/>
      </c>
      <c r="K15" s="684"/>
      <c r="L15" s="685">
        <f t="shared" si="5"/>
      </c>
      <c r="M15" s="684">
        <f>IF('Datu ievade'!$B$88="Jā",'Datu ievade'!H$101,'Datu ievade'!H$99)</f>
        <v>0</v>
      </c>
      <c r="N15" s="686">
        <f t="shared" si="6"/>
      </c>
      <c r="O15" s="684">
        <f>'Datu ievade'!H$103+'Datu ievade'!H$105+'Datu ievade'!H$108</f>
        <v>0</v>
      </c>
      <c r="P15" s="685"/>
    </row>
    <row r="16" spans="1:16" ht="12.75">
      <c r="A16" s="689" t="s">
        <v>98</v>
      </c>
      <c r="B16" s="690">
        <f aca="true" t="shared" si="8" ref="B16:G16">SUM(B9:B15)</f>
        <v>876145.4400000001</v>
      </c>
      <c r="C16" s="690">
        <f t="shared" si="8"/>
        <v>157993.44</v>
      </c>
      <c r="D16" s="690">
        <f t="shared" si="8"/>
        <v>718152</v>
      </c>
      <c r="E16" s="690">
        <f t="shared" si="8"/>
        <v>718152</v>
      </c>
      <c r="F16" s="690">
        <f t="shared" si="8"/>
        <v>0</v>
      </c>
      <c r="G16" s="690">
        <f t="shared" si="8"/>
        <v>298691.69999999995</v>
      </c>
      <c r="H16" s="999">
        <f t="shared" si="3"/>
        <v>0.41591710390000997</v>
      </c>
      <c r="I16" s="690">
        <f>SUM(I9:I15)</f>
        <v>0</v>
      </c>
      <c r="J16" s="689"/>
      <c r="K16" s="690">
        <f>SUM(K9:K15)</f>
        <v>0</v>
      </c>
      <c r="L16" s="689"/>
      <c r="M16" s="690">
        <f>SUM(M9:M15)</f>
        <v>419460.3</v>
      </c>
      <c r="N16" s="999">
        <f t="shared" si="6"/>
        <v>0.58408289609999</v>
      </c>
      <c r="O16" s="690">
        <f>SUM(O9:O15)</f>
        <v>0</v>
      </c>
      <c r="P16" s="689"/>
    </row>
    <row r="17" spans="1:16" ht="12.75">
      <c r="A17" s="678"/>
      <c r="B17" s="678"/>
      <c r="C17" s="678"/>
      <c r="D17" s="678"/>
      <c r="E17" s="678"/>
      <c r="F17" s="678"/>
      <c r="G17" s="678"/>
      <c r="H17" s="678"/>
      <c r="I17" s="678"/>
      <c r="J17" s="678"/>
      <c r="K17" s="678"/>
      <c r="L17" s="678"/>
      <c r="M17" s="678"/>
      <c r="N17" s="678"/>
      <c r="O17" s="678"/>
      <c r="P17" s="678"/>
    </row>
  </sheetData>
  <sheetProtection/>
  <mergeCells count="16">
    <mergeCell ref="A1:B1"/>
    <mergeCell ref="C1:E1"/>
    <mergeCell ref="A5:A7"/>
    <mergeCell ref="B5:B7"/>
    <mergeCell ref="C5:C7"/>
    <mergeCell ref="D5:D7"/>
    <mergeCell ref="E5:F5"/>
    <mergeCell ref="G5:P5"/>
    <mergeCell ref="E6:E7"/>
    <mergeCell ref="F6:F7"/>
    <mergeCell ref="G6:H7"/>
    <mergeCell ref="I6:P6"/>
    <mergeCell ref="I7:J7"/>
    <mergeCell ref="K7:L7"/>
    <mergeCell ref="M7:N7"/>
    <mergeCell ref="O7:P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Y19"/>
  <sheetViews>
    <sheetView showGridLines="0" zoomScaleSheetLayoutView="90" zoomScalePageLayoutView="0" workbookViewId="0" topLeftCell="A1">
      <selection activeCell="I26" sqref="I26"/>
    </sheetView>
  </sheetViews>
  <sheetFormatPr defaultColWidth="9.140625" defaultRowHeight="11.25"/>
  <cols>
    <col min="1" max="1" width="8.8515625" style="678" customWidth="1"/>
    <col min="2" max="2" width="11.140625" style="678" customWidth="1"/>
    <col min="3" max="3" width="11.00390625" style="678" customWidth="1"/>
    <col min="4" max="4" width="10.7109375" style="678" customWidth="1"/>
    <col min="5" max="5" width="11.57421875" style="678" customWidth="1"/>
    <col min="6" max="6" width="8.8515625" style="678" customWidth="1"/>
    <col min="7" max="7" width="11.00390625" style="678" customWidth="1"/>
    <col min="8" max="8" width="9.7109375" style="678" customWidth="1"/>
    <col min="9" max="9" width="8.00390625" style="678" customWidth="1"/>
    <col min="10" max="10" width="7.7109375" style="678" customWidth="1"/>
    <col min="11" max="11" width="6.28125" style="678" customWidth="1"/>
    <col min="12" max="12" width="6.8515625" style="678" customWidth="1"/>
    <col min="13" max="13" width="11.00390625" style="678" customWidth="1"/>
    <col min="14" max="14" width="9.7109375" style="678" customWidth="1"/>
    <col min="15" max="15" width="12.7109375" style="678" customWidth="1"/>
    <col min="16" max="16" width="6.7109375" style="678" customWidth="1"/>
    <col min="17" max="16384" width="9.140625" style="678" customWidth="1"/>
  </cols>
  <sheetData>
    <row r="1" spans="1:5" ht="15.75" customHeight="1">
      <c r="A1" s="713" t="str">
        <f>'Datu ievade'!B4</f>
        <v>A novada pašvaldība</v>
      </c>
      <c r="B1" s="714"/>
      <c r="C1" s="713" t="str">
        <f>'Datu ievade'!B6</f>
        <v>Ūdenssaimniecības attīstība A ciemā</v>
      </c>
      <c r="D1" s="714"/>
      <c r="E1" s="714"/>
    </row>
    <row r="2" ht="12.75" customHeight="1">
      <c r="A2" s="677" t="s">
        <v>477</v>
      </c>
    </row>
    <row r="3" ht="3.75" customHeight="1"/>
    <row r="4" spans="1:25" ht="31.5" customHeight="1">
      <c r="A4" s="1015" t="s">
        <v>129</v>
      </c>
      <c r="B4" s="1015" t="s">
        <v>130</v>
      </c>
      <c r="C4" s="1015" t="s">
        <v>30</v>
      </c>
      <c r="D4" s="1015" t="s">
        <v>131</v>
      </c>
      <c r="E4" s="1015" t="s">
        <v>131</v>
      </c>
      <c r="F4" s="1015"/>
      <c r="G4" s="1015" t="s">
        <v>132</v>
      </c>
      <c r="H4" s="1015"/>
      <c r="I4" s="1015"/>
      <c r="J4" s="1015"/>
      <c r="K4" s="1015"/>
      <c r="L4" s="1015"/>
      <c r="M4" s="1015"/>
      <c r="N4" s="1015"/>
      <c r="O4" s="1015"/>
      <c r="P4" s="1015"/>
      <c r="Q4" s="715"/>
      <c r="R4" s="715"/>
      <c r="S4" s="715"/>
      <c r="T4" s="715"/>
      <c r="U4" s="715"/>
      <c r="V4" s="715"/>
      <c r="W4" s="715"/>
      <c r="X4" s="715"/>
      <c r="Y4" s="715"/>
    </row>
    <row r="5" spans="1:25" ht="18.75" customHeight="1">
      <c r="A5" s="1015"/>
      <c r="B5" s="1015"/>
      <c r="C5" s="1015"/>
      <c r="D5" s="1015"/>
      <c r="E5" s="1015" t="s">
        <v>133</v>
      </c>
      <c r="F5" s="1015" t="s">
        <v>134</v>
      </c>
      <c r="G5" s="1015" t="s">
        <v>135</v>
      </c>
      <c r="H5" s="1015"/>
      <c r="I5" s="1015" t="s">
        <v>136</v>
      </c>
      <c r="J5" s="1015"/>
      <c r="K5" s="1015"/>
      <c r="L5" s="1015"/>
      <c r="M5" s="1015"/>
      <c r="N5" s="1015"/>
      <c r="O5" s="1015"/>
      <c r="P5" s="1015"/>
      <c r="Q5" s="715"/>
      <c r="R5" s="715"/>
      <c r="S5" s="715"/>
      <c r="T5" s="715"/>
      <c r="U5" s="715"/>
      <c r="V5" s="715"/>
      <c r="W5" s="715"/>
      <c r="X5" s="715"/>
      <c r="Y5" s="715"/>
    </row>
    <row r="6" spans="1:22" ht="52.5" customHeight="1">
      <c r="A6" s="1015"/>
      <c r="B6" s="1015"/>
      <c r="C6" s="1015"/>
      <c r="D6" s="1015"/>
      <c r="E6" s="1015"/>
      <c r="F6" s="1015"/>
      <c r="G6" s="1015"/>
      <c r="H6" s="1015"/>
      <c r="I6" s="1015" t="s">
        <v>137</v>
      </c>
      <c r="J6" s="1015"/>
      <c r="K6" s="1015" t="s">
        <v>138</v>
      </c>
      <c r="L6" s="1015"/>
      <c r="M6" s="1015" t="s">
        <v>139</v>
      </c>
      <c r="N6" s="1015"/>
      <c r="O6" s="1015" t="s">
        <v>140</v>
      </c>
      <c r="P6" s="1015"/>
      <c r="Q6" s="716"/>
      <c r="R6" s="716"/>
      <c r="S6" s="716"/>
      <c r="T6" s="716"/>
      <c r="U6" s="716"/>
      <c r="V6" s="716"/>
    </row>
    <row r="7" spans="1:16" ht="38.25">
      <c r="A7" s="679"/>
      <c r="B7" s="680" t="s">
        <v>141</v>
      </c>
      <c r="C7" s="680">
        <v>2</v>
      </c>
      <c r="D7" s="680" t="s">
        <v>142</v>
      </c>
      <c r="E7" s="681" t="s">
        <v>143</v>
      </c>
      <c r="F7" s="680">
        <v>5</v>
      </c>
      <c r="G7" s="680">
        <v>6</v>
      </c>
      <c r="H7" s="681" t="s">
        <v>144</v>
      </c>
      <c r="I7" s="680">
        <v>8</v>
      </c>
      <c r="J7" s="681" t="s">
        <v>145</v>
      </c>
      <c r="K7" s="680">
        <v>10</v>
      </c>
      <c r="L7" s="681" t="s">
        <v>146</v>
      </c>
      <c r="M7" s="680">
        <v>12</v>
      </c>
      <c r="N7" s="681" t="s">
        <v>147</v>
      </c>
      <c r="O7" s="680">
        <v>14</v>
      </c>
      <c r="P7" s="681" t="s">
        <v>148</v>
      </c>
    </row>
    <row r="8" spans="1:16" ht="12.75">
      <c r="A8" s="682">
        <f>'Datu ievade'!B29</f>
        <v>2011</v>
      </c>
      <c r="B8" s="683">
        <f aca="true" t="shared" si="0" ref="B8:B14">C8+D8</f>
        <v>0</v>
      </c>
      <c r="C8" s="684">
        <f>'Datu ievade'!B$117</f>
        <v>0</v>
      </c>
      <c r="D8" s="684">
        <f aca="true" t="shared" si="1" ref="D8:D14">E8+F8</f>
        <v>0</v>
      </c>
      <c r="E8" s="684">
        <f aca="true" t="shared" si="2" ref="E8:E14">G8+I8+K8+M8+O8</f>
        <v>0</v>
      </c>
      <c r="F8" s="684"/>
      <c r="G8" s="684">
        <f>'Datu ievade'!B$124</f>
        <v>0</v>
      </c>
      <c r="H8" s="967">
        <f aca="true" t="shared" si="3" ref="H8:H15">IF(G8=0,"",G8/D8)</f>
      </c>
      <c r="I8" s="684">
        <f>'Datu ievade'!B$123</f>
        <v>0</v>
      </c>
      <c r="J8" s="685">
        <f aca="true" t="shared" si="4" ref="J8:J14">IF(I8=0,"",I8/D8)</f>
      </c>
      <c r="K8" s="684"/>
      <c r="L8" s="685">
        <f aca="true" t="shared" si="5" ref="L8:L14">IF(K8=0,"",K8/D8)</f>
      </c>
      <c r="M8" s="684">
        <f>IF('Datu ievade'!$B$88="Jā",'Datu ievade'!B$120,'Datu ievade'!B$119)</f>
        <v>0</v>
      </c>
      <c r="N8" s="967">
        <f aca="true" t="shared" si="6" ref="N8:N15">IF(M8=0,"",M8/D8)</f>
      </c>
      <c r="O8" s="684">
        <f>'Datu ievade'!B$121+'Datu ievade'!B$122</f>
        <v>0</v>
      </c>
      <c r="P8" s="685">
        <f>IF(O8=0,"",O8/D8)</f>
      </c>
    </row>
    <row r="9" spans="1:16" ht="12.75">
      <c r="A9" s="682">
        <f aca="true" t="shared" si="7" ref="A9:A14">A8+1</f>
        <v>2012</v>
      </c>
      <c r="B9" s="683">
        <f>C9+D9</f>
        <v>163016.39973308158</v>
      </c>
      <c r="C9" s="684">
        <f>'Datu ievade'!C$117</f>
        <v>97634.231</v>
      </c>
      <c r="D9" s="684">
        <f t="shared" si="1"/>
        <v>65382.16873308158</v>
      </c>
      <c r="E9" s="684">
        <f>G9+I9+K9+M9+O9</f>
        <v>65382.16873308158</v>
      </c>
      <c r="F9" s="684"/>
      <c r="G9" s="684">
        <f>'Datu ievade'!C$124</f>
        <v>55574.84342311934</v>
      </c>
      <c r="H9" s="686">
        <f t="shared" si="3"/>
        <v>0.85</v>
      </c>
      <c r="I9" s="684">
        <f>'Datu ievade'!C$123</f>
        <v>0</v>
      </c>
      <c r="J9" s="686">
        <f t="shared" si="4"/>
      </c>
      <c r="K9" s="684"/>
      <c r="L9" s="685">
        <f t="shared" si="5"/>
      </c>
      <c r="M9" s="684">
        <f>IF('Datu ievade'!$B$88="Jā",'Datu ievade'!C$120,'Datu ievade'!C$119)</f>
        <v>9807.325309962234</v>
      </c>
      <c r="N9" s="686">
        <f t="shared" si="6"/>
        <v>0.14999999999999997</v>
      </c>
      <c r="O9" s="684">
        <f>'Datu ievade'!C$121+'Datu ievade'!C$122</f>
        <v>0</v>
      </c>
      <c r="P9" s="687">
        <f>IF(O9=0,"",O9/D9)</f>
      </c>
    </row>
    <row r="10" spans="1:16" ht="12.75">
      <c r="A10" s="682">
        <f t="shared" si="7"/>
        <v>2013</v>
      </c>
      <c r="B10" s="683">
        <f>C10+D10</f>
        <v>713129.0402669185</v>
      </c>
      <c r="C10" s="684">
        <f>'Datu ievade'!D$117</f>
        <v>427109.20900000003</v>
      </c>
      <c r="D10" s="684">
        <f t="shared" si="1"/>
        <v>286019.8312669184</v>
      </c>
      <c r="E10" s="684">
        <f>G10+I10+K10+M10+O10</f>
        <v>286019.8312669184</v>
      </c>
      <c r="F10" s="684"/>
      <c r="G10" s="684">
        <f>'Datu ievade'!D$124</f>
        <v>243116.85657688064</v>
      </c>
      <c r="H10" s="686">
        <f t="shared" si="3"/>
        <v>0.85</v>
      </c>
      <c r="I10" s="684">
        <f>'Datu ievade'!D$123</f>
        <v>0</v>
      </c>
      <c r="J10" s="686">
        <f t="shared" si="4"/>
      </c>
      <c r="K10" s="684"/>
      <c r="L10" s="685">
        <f t="shared" si="5"/>
      </c>
      <c r="M10" s="684">
        <f>IF('Datu ievade'!$B$88="Jā",'Datu ievade'!D$120,'Datu ievade'!D$119)</f>
        <v>42902.974690037765</v>
      </c>
      <c r="N10" s="686">
        <f t="shared" si="6"/>
        <v>0.15000000000000002</v>
      </c>
      <c r="O10" s="684">
        <f>'Datu ievade'!D$121+'Datu ievade'!D$122</f>
        <v>0</v>
      </c>
      <c r="P10" s="688">
        <f>IF(O10=0,"",O10/D10)</f>
      </c>
    </row>
    <row r="11" spans="1:16" ht="12.75">
      <c r="A11" s="682">
        <f t="shared" si="7"/>
        <v>2014</v>
      </c>
      <c r="B11" s="683">
        <f t="shared" si="0"/>
        <v>0</v>
      </c>
      <c r="C11" s="684">
        <f>'Datu ievade'!E$117</f>
        <v>0</v>
      </c>
      <c r="D11" s="684">
        <f t="shared" si="1"/>
        <v>0</v>
      </c>
      <c r="E11" s="684">
        <f t="shared" si="2"/>
        <v>0</v>
      </c>
      <c r="F11" s="684"/>
      <c r="G11" s="684">
        <f>'Datu ievade'!E$124</f>
        <v>0</v>
      </c>
      <c r="H11" s="686">
        <f t="shared" si="3"/>
      </c>
      <c r="I11" s="684">
        <f>'Datu ievade'!E$123</f>
        <v>0</v>
      </c>
      <c r="J11" s="688">
        <f t="shared" si="4"/>
      </c>
      <c r="K11" s="684"/>
      <c r="L11" s="685">
        <f t="shared" si="5"/>
      </c>
      <c r="M11" s="684">
        <f>IF('Datu ievade'!$B$88="Jā",'Datu ievade'!E$120,'Datu ievade'!E$119)</f>
        <v>0</v>
      </c>
      <c r="N11" s="686">
        <f t="shared" si="6"/>
      </c>
      <c r="O11" s="684">
        <f>'Datu ievade'!E$121+'Datu ievade'!E$122</f>
        <v>0</v>
      </c>
      <c r="P11" s="688">
        <f>IF(O11=0,"",O11/D11)</f>
      </c>
    </row>
    <row r="12" spans="1:16" ht="12.75">
      <c r="A12" s="682">
        <f t="shared" si="7"/>
        <v>2015</v>
      </c>
      <c r="B12" s="683">
        <f t="shared" si="0"/>
        <v>0</v>
      </c>
      <c r="C12" s="684">
        <f>'Datu ievade'!F$117</f>
        <v>0</v>
      </c>
      <c r="D12" s="684">
        <f t="shared" si="1"/>
        <v>0</v>
      </c>
      <c r="E12" s="684">
        <f t="shared" si="2"/>
        <v>0</v>
      </c>
      <c r="F12" s="684"/>
      <c r="G12" s="684">
        <f>'Datu ievade'!F$124</f>
        <v>0</v>
      </c>
      <c r="H12" s="686">
        <f t="shared" si="3"/>
      </c>
      <c r="I12" s="684">
        <f>'Datu ievade'!F$123</f>
        <v>0</v>
      </c>
      <c r="J12" s="685">
        <f t="shared" si="4"/>
      </c>
      <c r="K12" s="684"/>
      <c r="L12" s="685">
        <f t="shared" si="5"/>
      </c>
      <c r="M12" s="684">
        <f>IF('Datu ievade'!$B$88="Jā",'Datu ievade'!F$120,'Datu ievade'!F$119)</f>
        <v>0</v>
      </c>
      <c r="N12" s="686">
        <f t="shared" si="6"/>
      </c>
      <c r="O12" s="684">
        <f>'Datu ievade'!H$121+'Datu ievade'!H$122</f>
        <v>0</v>
      </c>
      <c r="P12" s="685">
        <f>IF(O12=0,"",O12/D12)</f>
      </c>
    </row>
    <row r="13" spans="1:16" ht="12.75">
      <c r="A13" s="682">
        <f t="shared" si="7"/>
        <v>2016</v>
      </c>
      <c r="B13" s="683">
        <f t="shared" si="0"/>
        <v>0</v>
      </c>
      <c r="C13" s="684">
        <f>'Datu ievade'!F$117</f>
        <v>0</v>
      </c>
      <c r="D13" s="684">
        <f t="shared" si="1"/>
        <v>0</v>
      </c>
      <c r="E13" s="684">
        <f t="shared" si="2"/>
        <v>0</v>
      </c>
      <c r="F13" s="684"/>
      <c r="G13" s="684">
        <f>'Datu ievade'!G$124</f>
        <v>0</v>
      </c>
      <c r="H13" s="686">
        <f t="shared" si="3"/>
      </c>
      <c r="I13" s="684">
        <f>'Datu ievade'!G$123</f>
        <v>0</v>
      </c>
      <c r="J13" s="685">
        <f t="shared" si="4"/>
      </c>
      <c r="K13" s="684"/>
      <c r="L13" s="685">
        <f t="shared" si="5"/>
      </c>
      <c r="M13" s="684">
        <f>IF('Datu ievade'!$B$88="Jā",'Datu ievade'!G$120,'Datu ievade'!G$119)</f>
        <v>0</v>
      </c>
      <c r="N13" s="686">
        <f t="shared" si="6"/>
      </c>
      <c r="O13" s="684">
        <f>'Datu ievade'!G$121+'Datu ievade'!G$122</f>
        <v>0</v>
      </c>
      <c r="P13" s="685"/>
    </row>
    <row r="14" spans="1:16" ht="12.75">
      <c r="A14" s="682">
        <f t="shared" si="7"/>
        <v>2017</v>
      </c>
      <c r="B14" s="683">
        <f t="shared" si="0"/>
        <v>0</v>
      </c>
      <c r="C14" s="684">
        <f>'Datu ievade'!F$117</f>
        <v>0</v>
      </c>
      <c r="D14" s="684">
        <f t="shared" si="1"/>
        <v>0</v>
      </c>
      <c r="E14" s="684">
        <f t="shared" si="2"/>
        <v>0</v>
      </c>
      <c r="F14" s="684"/>
      <c r="G14" s="684">
        <f>'Datu ievade'!H$124</f>
        <v>0</v>
      </c>
      <c r="H14" s="686">
        <f t="shared" si="3"/>
      </c>
      <c r="I14" s="684">
        <f>'Datu ievade'!H$123</f>
        <v>0</v>
      </c>
      <c r="J14" s="685">
        <f t="shared" si="4"/>
      </c>
      <c r="K14" s="684"/>
      <c r="L14" s="685">
        <f t="shared" si="5"/>
      </c>
      <c r="M14" s="684">
        <f>IF('Datu ievade'!$B$88="Jā",'Datu ievade'!H$120,'Datu ievade'!H$119)</f>
        <v>0</v>
      </c>
      <c r="N14" s="686">
        <f t="shared" si="6"/>
      </c>
      <c r="O14" s="684">
        <f>'Datu ievade'!B$121+'Datu ievade'!B$122</f>
        <v>0</v>
      </c>
      <c r="P14" s="685"/>
    </row>
    <row r="15" spans="1:16" ht="12.75">
      <c r="A15" s="689" t="s">
        <v>98</v>
      </c>
      <c r="B15" s="690">
        <f aca="true" t="shared" si="8" ref="B15:G15">SUM(B8:B14)</f>
        <v>876145.4400000001</v>
      </c>
      <c r="C15" s="690">
        <f t="shared" si="8"/>
        <v>524743.4400000001</v>
      </c>
      <c r="D15" s="690">
        <f t="shared" si="8"/>
        <v>351402</v>
      </c>
      <c r="E15" s="690">
        <f t="shared" si="8"/>
        <v>351402</v>
      </c>
      <c r="F15" s="690">
        <f t="shared" si="8"/>
        <v>0</v>
      </c>
      <c r="G15" s="690">
        <f t="shared" si="8"/>
        <v>298691.69999999995</v>
      </c>
      <c r="H15" s="999">
        <f t="shared" si="3"/>
        <v>0.8499999999999999</v>
      </c>
      <c r="I15" s="690">
        <f>SUM(I8:I14)</f>
        <v>0</v>
      </c>
      <c r="J15" s="689"/>
      <c r="K15" s="690">
        <f>SUM(K8:K14)</f>
        <v>0</v>
      </c>
      <c r="L15" s="689"/>
      <c r="M15" s="690">
        <f>SUM(M8:M14)</f>
        <v>52710.3</v>
      </c>
      <c r="N15" s="999">
        <f t="shared" si="6"/>
        <v>0.15</v>
      </c>
      <c r="O15" s="690">
        <f>SUM(O8:O14)</f>
        <v>0</v>
      </c>
      <c r="P15" s="689"/>
    </row>
    <row r="18" spans="7:10" ht="12.75">
      <c r="G18" s="653"/>
      <c r="H18" s="653"/>
      <c r="I18" s="653"/>
      <c r="J18" s="653"/>
    </row>
    <row r="19" spans="7:10" ht="12.75">
      <c r="G19" s="653"/>
      <c r="H19" s="653"/>
      <c r="I19" s="653"/>
      <c r="J19" s="653"/>
    </row>
  </sheetData>
  <sheetProtection/>
  <mergeCells count="14">
    <mergeCell ref="E4:F4"/>
    <mergeCell ref="G4:P4"/>
    <mergeCell ref="G5:H6"/>
    <mergeCell ref="I5:P5"/>
    <mergeCell ref="E5:E6"/>
    <mergeCell ref="F5:F6"/>
    <mergeCell ref="M6:N6"/>
    <mergeCell ref="O6:P6"/>
    <mergeCell ref="I6:J6"/>
    <mergeCell ref="K6:L6"/>
    <mergeCell ref="A4:A6"/>
    <mergeCell ref="B4:B6"/>
    <mergeCell ref="C4:C6"/>
    <mergeCell ref="D4:D6"/>
  </mergeCells>
  <printOptions horizontalCentered="1"/>
  <pageMargins left="0.5902777777777778" right="0.5902777777777778" top="0.7875" bottom="0.9263888888888889" header="0.5118055555555555" footer="0.7875"/>
  <pageSetup fitToHeight="1" fitToWidth="1" horizontalDpi="300" verticalDpi="300" orientation="landscape" paperSize="9" scale="97"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IT118"/>
  <sheetViews>
    <sheetView showGridLines="0" zoomScale="120" zoomScaleNormal="120" zoomScaleSheetLayoutView="90" zoomScalePageLayoutView="0" workbookViewId="0" topLeftCell="A79">
      <selection activeCell="A125" sqref="A125"/>
    </sheetView>
  </sheetViews>
  <sheetFormatPr defaultColWidth="9.140625" defaultRowHeight="11.25"/>
  <cols>
    <col min="1" max="1" width="40.57421875" style="208" customWidth="1"/>
    <col min="2" max="33" width="7.421875" style="208" customWidth="1"/>
    <col min="34" max="16384" width="9.140625" style="208" customWidth="1"/>
  </cols>
  <sheetData>
    <row r="1" spans="1:2" ht="16.5">
      <c r="A1" s="408" t="str">
        <f>'Datu ievade'!$B$4</f>
        <v>A novada pašvaldība</v>
      </c>
      <c r="B1" s="409" t="str">
        <f>'Datu ievade'!$B$6</f>
        <v>Ūdenssaimniecības attīstība A ciemā</v>
      </c>
    </row>
    <row r="3" spans="1:33" ht="31.5">
      <c r="A3" s="447" t="s">
        <v>426</v>
      </c>
      <c r="B3" s="315"/>
      <c r="C3" s="315"/>
      <c r="D3" s="410"/>
      <c r="E3" s="316"/>
      <c r="F3" s="316"/>
      <c r="G3" s="316"/>
      <c r="H3" s="316"/>
      <c r="I3" s="316"/>
      <c r="J3" s="316"/>
      <c r="K3" s="316"/>
      <c r="L3" s="316"/>
      <c r="M3" s="316"/>
      <c r="N3" s="316"/>
      <c r="O3" s="316"/>
      <c r="P3" s="316"/>
      <c r="Q3" s="316"/>
      <c r="R3" s="316"/>
      <c r="S3" s="317"/>
      <c r="T3" s="317"/>
      <c r="U3" s="317"/>
      <c r="V3" s="317"/>
      <c r="W3" s="317"/>
      <c r="X3" s="317"/>
      <c r="Y3" s="317"/>
      <c r="Z3" s="317"/>
      <c r="AA3" s="317"/>
      <c r="AB3" s="317"/>
      <c r="AC3" s="317"/>
      <c r="AD3" s="317"/>
      <c r="AE3" s="317"/>
      <c r="AF3" s="317"/>
      <c r="AG3" s="317"/>
    </row>
    <row r="4" spans="1:33" ht="12.75">
      <c r="A4" s="411"/>
      <c r="B4" s="330"/>
      <c r="C4" s="330"/>
      <c r="D4" s="330"/>
      <c r="E4" s="331"/>
      <c r="F4" s="331"/>
      <c r="G4" s="331"/>
      <c r="H4" s="331"/>
      <c r="I4" s="331"/>
      <c r="J4" s="331"/>
      <c r="K4" s="331" t="s">
        <v>25</v>
      </c>
      <c r="L4" s="331"/>
      <c r="M4" s="331"/>
      <c r="N4" s="331"/>
      <c r="O4" s="331"/>
      <c r="P4" s="331"/>
      <c r="Q4" s="331"/>
      <c r="R4" s="331"/>
      <c r="S4" s="330"/>
      <c r="T4" s="330"/>
      <c r="U4" s="287"/>
      <c r="V4" s="287"/>
      <c r="W4" s="287"/>
      <c r="X4" s="287"/>
      <c r="Y4" s="287"/>
      <c r="Z4" s="287"/>
      <c r="AA4" s="287"/>
      <c r="AB4" s="287"/>
      <c r="AC4" s="287"/>
      <c r="AD4" s="287"/>
      <c r="AE4" s="287"/>
      <c r="AF4" s="287"/>
      <c r="AG4" s="287"/>
    </row>
    <row r="5" spans="1:33" s="328" customFormat="1" ht="12.75">
      <c r="A5" s="412"/>
      <c r="B5" s="321">
        <f>Aprekini!B5</f>
        <v>2011</v>
      </c>
      <c r="C5" s="321">
        <f aca="true" t="shared" si="0" ref="C5:AG5">B5+1</f>
        <v>2012</v>
      </c>
      <c r="D5" s="321">
        <f t="shared" si="0"/>
        <v>2013</v>
      </c>
      <c r="E5" s="321">
        <f t="shared" si="0"/>
        <v>2014</v>
      </c>
      <c r="F5" s="321">
        <f t="shared" si="0"/>
        <v>2015</v>
      </c>
      <c r="G5" s="321">
        <f t="shared" si="0"/>
        <v>2016</v>
      </c>
      <c r="H5" s="321">
        <f t="shared" si="0"/>
        <v>2017</v>
      </c>
      <c r="I5" s="321">
        <f t="shared" si="0"/>
        <v>2018</v>
      </c>
      <c r="J5" s="321">
        <f t="shared" si="0"/>
        <v>2019</v>
      </c>
      <c r="K5" s="321">
        <f t="shared" si="0"/>
        <v>2020</v>
      </c>
      <c r="L5" s="321">
        <f t="shared" si="0"/>
        <v>2021</v>
      </c>
      <c r="M5" s="321">
        <f t="shared" si="0"/>
        <v>2022</v>
      </c>
      <c r="N5" s="321">
        <f t="shared" si="0"/>
        <v>2023</v>
      </c>
      <c r="O5" s="321">
        <f t="shared" si="0"/>
        <v>2024</v>
      </c>
      <c r="P5" s="321">
        <f t="shared" si="0"/>
        <v>2025</v>
      </c>
      <c r="Q5" s="321">
        <f t="shared" si="0"/>
        <v>2026</v>
      </c>
      <c r="R5" s="321">
        <f t="shared" si="0"/>
        <v>2027</v>
      </c>
      <c r="S5" s="321">
        <f t="shared" si="0"/>
        <v>2028</v>
      </c>
      <c r="T5" s="321">
        <f t="shared" si="0"/>
        <v>2029</v>
      </c>
      <c r="U5" s="321">
        <f t="shared" si="0"/>
        <v>2030</v>
      </c>
      <c r="V5" s="321">
        <f t="shared" si="0"/>
        <v>2031</v>
      </c>
      <c r="W5" s="321">
        <f t="shared" si="0"/>
        <v>2032</v>
      </c>
      <c r="X5" s="321">
        <f t="shared" si="0"/>
        <v>2033</v>
      </c>
      <c r="Y5" s="321">
        <f t="shared" si="0"/>
        <v>2034</v>
      </c>
      <c r="Z5" s="321">
        <f t="shared" si="0"/>
        <v>2035</v>
      </c>
      <c r="AA5" s="321">
        <f t="shared" si="0"/>
        <v>2036</v>
      </c>
      <c r="AB5" s="321">
        <f t="shared" si="0"/>
        <v>2037</v>
      </c>
      <c r="AC5" s="321">
        <f t="shared" si="0"/>
        <v>2038</v>
      </c>
      <c r="AD5" s="321">
        <f t="shared" si="0"/>
        <v>2039</v>
      </c>
      <c r="AE5" s="321">
        <f t="shared" si="0"/>
        <v>2040</v>
      </c>
      <c r="AF5" s="321">
        <f t="shared" si="0"/>
        <v>2041</v>
      </c>
      <c r="AG5" s="321">
        <f t="shared" si="0"/>
        <v>2042</v>
      </c>
    </row>
    <row r="6" spans="1:33" s="328" customFormat="1" ht="12.75">
      <c r="A6" s="413" t="s">
        <v>149</v>
      </c>
      <c r="B6" s="334"/>
      <c r="C6" s="334"/>
      <c r="D6" s="334"/>
      <c r="E6" s="334"/>
      <c r="F6" s="334"/>
      <c r="G6" s="334"/>
      <c r="H6" s="334"/>
      <c r="I6" s="334"/>
      <c r="J6" s="334"/>
      <c r="K6" s="334"/>
      <c r="L6" s="334"/>
      <c r="M6" s="334"/>
      <c r="N6" s="334"/>
      <c r="O6" s="334"/>
      <c r="P6" s="334"/>
      <c r="Q6" s="334"/>
      <c r="R6" s="334"/>
      <c r="S6" s="334"/>
      <c r="T6" s="334"/>
      <c r="U6" s="327"/>
      <c r="V6" s="327"/>
      <c r="W6" s="327"/>
      <c r="X6" s="327"/>
      <c r="Y6" s="327"/>
      <c r="Z6" s="322"/>
      <c r="AA6" s="322"/>
      <c r="AB6" s="322"/>
      <c r="AC6" s="322"/>
      <c r="AD6" s="322"/>
      <c r="AE6" s="322"/>
      <c r="AF6" s="322"/>
      <c r="AG6" s="322"/>
    </row>
    <row r="7" spans="1:33" s="328" customFormat="1" ht="12.75">
      <c r="A7" s="414" t="s">
        <v>150</v>
      </c>
      <c r="B7" s="336">
        <f>'Datu ievade'!B161</f>
        <v>5500</v>
      </c>
      <c r="C7" s="336">
        <f>'Datu ievade'!C161</f>
        <v>5610</v>
      </c>
      <c r="D7" s="336">
        <f>'Datu ievade'!D161</f>
        <v>5720</v>
      </c>
      <c r="E7" s="336">
        <f>'Datu ievade'!E161</f>
        <v>5830</v>
      </c>
      <c r="F7" s="336">
        <f>'Datu ievade'!F161</f>
        <v>5940</v>
      </c>
      <c r="G7" s="336">
        <f>'Datu ievade'!G161</f>
        <v>6050.000000000001</v>
      </c>
      <c r="H7" s="336">
        <f>'Datu ievade'!H161</f>
        <v>6160.000000000001</v>
      </c>
      <c r="I7" s="336">
        <f>'Datu ievade'!I161</f>
        <v>6269.999999999999</v>
      </c>
      <c r="J7" s="336">
        <f>'Datu ievade'!J161</f>
        <v>6380</v>
      </c>
      <c r="K7" s="336">
        <f>'Datu ievade'!K161</f>
        <v>6490</v>
      </c>
      <c r="L7" s="336">
        <f>'Datu ievade'!L161</f>
        <v>6600</v>
      </c>
      <c r="M7" s="336">
        <f>'Datu ievade'!M161</f>
        <v>6710</v>
      </c>
      <c r="N7" s="336">
        <f>'Datu ievade'!N161</f>
        <v>6820</v>
      </c>
      <c r="O7" s="336">
        <f>'Datu ievade'!O161</f>
        <v>6930</v>
      </c>
      <c r="P7" s="336">
        <f>'Datu ievade'!P161</f>
        <v>7095</v>
      </c>
      <c r="Q7" s="336">
        <f>'Datu ievade'!Q161</f>
        <v>7260</v>
      </c>
      <c r="R7" s="336">
        <f>'Datu ievade'!R161</f>
        <v>7425.000000000001</v>
      </c>
      <c r="S7" s="336">
        <f>'Datu ievade'!S161</f>
        <v>7589.999999999999</v>
      </c>
      <c r="T7" s="336">
        <f>'Datu ievade'!T161</f>
        <v>7755</v>
      </c>
      <c r="U7" s="336">
        <f>'Datu ievade'!U161</f>
        <v>7920</v>
      </c>
      <c r="V7" s="336">
        <f>'Datu ievade'!V161</f>
        <v>8085</v>
      </c>
      <c r="W7" s="336">
        <f>'Datu ievade'!W161</f>
        <v>8250</v>
      </c>
      <c r="X7" s="336">
        <f>'Datu ievade'!X161</f>
        <v>8415</v>
      </c>
      <c r="Y7" s="336">
        <f>'Datu ievade'!Y161</f>
        <v>8580</v>
      </c>
      <c r="Z7" s="336">
        <f>'Datu ievade'!Z161</f>
        <v>8745</v>
      </c>
      <c r="AA7" s="336">
        <f>'Datu ievade'!AA161</f>
        <v>8910</v>
      </c>
      <c r="AB7" s="336">
        <f>'Datu ievade'!AB161</f>
        <v>9075</v>
      </c>
      <c r="AC7" s="336">
        <f>'Datu ievade'!AC161</f>
        <v>9240</v>
      </c>
      <c r="AD7" s="336">
        <f>'Datu ievade'!AD161</f>
        <v>9405</v>
      </c>
      <c r="AE7" s="336">
        <f>'Datu ievade'!AE161</f>
        <v>9570</v>
      </c>
      <c r="AF7" s="336">
        <f>'Datu ievade'!AF161</f>
        <v>9735</v>
      </c>
      <c r="AG7" s="336">
        <f>'Datu ievade'!AG161</f>
        <v>9955</v>
      </c>
    </row>
    <row r="8" spans="1:33" s="328" customFormat="1" ht="12.75">
      <c r="A8" s="415" t="s">
        <v>151</v>
      </c>
      <c r="B8" s="336">
        <f>'Datu ievade'!B162</f>
        <v>3500</v>
      </c>
      <c r="C8" s="336">
        <f>'Datu ievade'!C162</f>
        <v>3570</v>
      </c>
      <c r="D8" s="336">
        <f>'Datu ievade'!D162</f>
        <v>3640</v>
      </c>
      <c r="E8" s="336">
        <f>'Datu ievade'!E162</f>
        <v>3710</v>
      </c>
      <c r="F8" s="336">
        <f>'Datu ievade'!F162</f>
        <v>3780.0000000000005</v>
      </c>
      <c r="G8" s="336">
        <f>'Datu ievade'!G162</f>
        <v>3850.0000000000005</v>
      </c>
      <c r="H8" s="336">
        <f>'Datu ievade'!H162</f>
        <v>3920.0000000000005</v>
      </c>
      <c r="I8" s="336">
        <f>'Datu ievade'!I162</f>
        <v>3989.9999999999995</v>
      </c>
      <c r="J8" s="336">
        <f>'Datu ievade'!J162</f>
        <v>4059.9999999999995</v>
      </c>
      <c r="K8" s="336">
        <f>'Datu ievade'!K162</f>
        <v>4130</v>
      </c>
      <c r="L8" s="336">
        <f>'Datu ievade'!L162</f>
        <v>4200</v>
      </c>
      <c r="M8" s="336">
        <f>'Datu ievade'!M162</f>
        <v>4270</v>
      </c>
      <c r="N8" s="336">
        <f>'Datu ievade'!N162</f>
        <v>4340</v>
      </c>
      <c r="O8" s="336">
        <f>'Datu ievade'!O162</f>
        <v>4410</v>
      </c>
      <c r="P8" s="336">
        <f>'Datu ievade'!P162</f>
        <v>4515</v>
      </c>
      <c r="Q8" s="336">
        <f>'Datu ievade'!Q162</f>
        <v>4620</v>
      </c>
      <c r="R8" s="336">
        <f>'Datu ievade'!R162</f>
        <v>4725</v>
      </c>
      <c r="S8" s="336">
        <f>'Datu ievade'!S162</f>
        <v>4830</v>
      </c>
      <c r="T8" s="336">
        <f>'Datu ievade'!T162</f>
        <v>4935</v>
      </c>
      <c r="U8" s="336">
        <f>'Datu ievade'!U162</f>
        <v>5040</v>
      </c>
      <c r="V8" s="336">
        <f>'Datu ievade'!V162</f>
        <v>5145</v>
      </c>
      <c r="W8" s="336">
        <f>'Datu ievade'!W162</f>
        <v>5250</v>
      </c>
      <c r="X8" s="336">
        <f>'Datu ievade'!X162</f>
        <v>5355</v>
      </c>
      <c r="Y8" s="336">
        <f>'Datu ievade'!Y162</f>
        <v>5460</v>
      </c>
      <c r="Z8" s="336">
        <f>'Datu ievade'!Z162</f>
        <v>5565</v>
      </c>
      <c r="AA8" s="336">
        <f>'Datu ievade'!AA162</f>
        <v>5670</v>
      </c>
      <c r="AB8" s="336">
        <f>'Datu ievade'!AB162</f>
        <v>5775</v>
      </c>
      <c r="AC8" s="336">
        <f>'Datu ievade'!AC162</f>
        <v>5880</v>
      </c>
      <c r="AD8" s="336">
        <f>'Datu ievade'!AD162</f>
        <v>5985</v>
      </c>
      <c r="AE8" s="336">
        <f>'Datu ievade'!AE162</f>
        <v>6090</v>
      </c>
      <c r="AF8" s="336">
        <f>'Datu ievade'!AF162</f>
        <v>6195</v>
      </c>
      <c r="AG8" s="336">
        <f>'Datu ievade'!AG162</f>
        <v>6335</v>
      </c>
    </row>
    <row r="9" spans="1:33" s="328" customFormat="1" ht="12.75">
      <c r="A9" s="415" t="s">
        <v>152</v>
      </c>
      <c r="B9" s="336">
        <f>'Datu ievade'!B163</f>
        <v>750</v>
      </c>
      <c r="C9" s="336">
        <f>'Datu ievade'!C163</f>
        <v>765</v>
      </c>
      <c r="D9" s="336">
        <f>'Datu ievade'!D163</f>
        <v>780</v>
      </c>
      <c r="E9" s="336">
        <f>'Datu ievade'!E163</f>
        <v>795</v>
      </c>
      <c r="F9" s="336">
        <f>'Datu ievade'!F163</f>
        <v>810</v>
      </c>
      <c r="G9" s="336">
        <f>'Datu ievade'!G163</f>
        <v>825.0000000000001</v>
      </c>
      <c r="H9" s="336">
        <f>'Datu ievade'!H163</f>
        <v>840.0000000000001</v>
      </c>
      <c r="I9" s="336">
        <f>'Datu ievade'!I163</f>
        <v>854.9999999999999</v>
      </c>
      <c r="J9" s="336">
        <f>'Datu ievade'!J163</f>
        <v>869.9999999999999</v>
      </c>
      <c r="K9" s="336">
        <f>'Datu ievade'!K163</f>
        <v>885</v>
      </c>
      <c r="L9" s="336">
        <f>'Datu ievade'!L163</f>
        <v>900</v>
      </c>
      <c r="M9" s="336">
        <f>'Datu ievade'!M163</f>
        <v>915</v>
      </c>
      <c r="N9" s="336">
        <f>'Datu ievade'!N163</f>
        <v>930</v>
      </c>
      <c r="O9" s="336">
        <f>'Datu ievade'!O163</f>
        <v>945</v>
      </c>
      <c r="P9" s="336">
        <f>'Datu ievade'!P163</f>
        <v>967.5</v>
      </c>
      <c r="Q9" s="336">
        <f>'Datu ievade'!Q163</f>
        <v>990</v>
      </c>
      <c r="R9" s="336">
        <f>'Datu ievade'!R163</f>
        <v>1012.5000000000001</v>
      </c>
      <c r="S9" s="336">
        <f>'Datu ievade'!S163</f>
        <v>1035</v>
      </c>
      <c r="T9" s="336">
        <f>'Datu ievade'!T163</f>
        <v>1057.5</v>
      </c>
      <c r="U9" s="336">
        <f>'Datu ievade'!U163</f>
        <v>1080</v>
      </c>
      <c r="V9" s="336">
        <f>'Datu ievade'!V163</f>
        <v>1102.5</v>
      </c>
      <c r="W9" s="336">
        <f>'Datu ievade'!W163</f>
        <v>1125</v>
      </c>
      <c r="X9" s="336">
        <f>'Datu ievade'!X163</f>
        <v>1147.5</v>
      </c>
      <c r="Y9" s="336">
        <f>'Datu ievade'!Y163</f>
        <v>1170</v>
      </c>
      <c r="Z9" s="336">
        <f>'Datu ievade'!Z163</f>
        <v>1192.5</v>
      </c>
      <c r="AA9" s="336">
        <f>'Datu ievade'!AA163</f>
        <v>1215</v>
      </c>
      <c r="AB9" s="336">
        <f>'Datu ievade'!AB163</f>
        <v>1237.5</v>
      </c>
      <c r="AC9" s="336">
        <f>'Datu ievade'!AC163</f>
        <v>1260</v>
      </c>
      <c r="AD9" s="336">
        <f>'Datu ievade'!AD163</f>
        <v>1282.5</v>
      </c>
      <c r="AE9" s="336">
        <f>'Datu ievade'!AE163</f>
        <v>1305</v>
      </c>
      <c r="AF9" s="336">
        <f>'Datu ievade'!AF163</f>
        <v>1327.5</v>
      </c>
      <c r="AG9" s="336">
        <f>'Datu ievade'!AG163</f>
        <v>1357.5</v>
      </c>
    </row>
    <row r="10" spans="1:33" s="328" customFormat="1" ht="12.75">
      <c r="A10" s="415" t="s">
        <v>153</v>
      </c>
      <c r="B10" s="336">
        <f>'Datu ievade'!B164</f>
        <v>100</v>
      </c>
      <c r="C10" s="336">
        <f>'Datu ievade'!C164</f>
        <v>102</v>
      </c>
      <c r="D10" s="336">
        <f>'Datu ievade'!D164</f>
        <v>104</v>
      </c>
      <c r="E10" s="336">
        <f>'Datu ievade'!E164</f>
        <v>106</v>
      </c>
      <c r="F10" s="336">
        <f>'Datu ievade'!F164</f>
        <v>108</v>
      </c>
      <c r="G10" s="336">
        <f>'Datu ievade'!G164</f>
        <v>110.00000000000001</v>
      </c>
      <c r="H10" s="336">
        <f>'Datu ievade'!H164</f>
        <v>112.00000000000001</v>
      </c>
      <c r="I10" s="336">
        <f>'Datu ievade'!I164</f>
        <v>113.99999999999999</v>
      </c>
      <c r="J10" s="336">
        <f>'Datu ievade'!J164</f>
        <v>115.99999999999999</v>
      </c>
      <c r="K10" s="336">
        <f>'Datu ievade'!K164</f>
        <v>118</v>
      </c>
      <c r="L10" s="336">
        <f>'Datu ievade'!L164</f>
        <v>120</v>
      </c>
      <c r="M10" s="336">
        <f>'Datu ievade'!M164</f>
        <v>122</v>
      </c>
      <c r="N10" s="336">
        <f>'Datu ievade'!N164</f>
        <v>124</v>
      </c>
      <c r="O10" s="336">
        <f>'Datu ievade'!O164</f>
        <v>126</v>
      </c>
      <c r="P10" s="336">
        <f>'Datu ievade'!P164</f>
        <v>129</v>
      </c>
      <c r="Q10" s="336">
        <f>'Datu ievade'!Q164</f>
        <v>132</v>
      </c>
      <c r="R10" s="336">
        <f>'Datu ievade'!R164</f>
        <v>135</v>
      </c>
      <c r="S10" s="336">
        <f>'Datu ievade'!S164</f>
        <v>138</v>
      </c>
      <c r="T10" s="336">
        <f>'Datu ievade'!T164</f>
        <v>141</v>
      </c>
      <c r="U10" s="336">
        <f>'Datu ievade'!U164</f>
        <v>144</v>
      </c>
      <c r="V10" s="336">
        <f>'Datu ievade'!V164</f>
        <v>147</v>
      </c>
      <c r="W10" s="336">
        <f>'Datu ievade'!W164</f>
        <v>150</v>
      </c>
      <c r="X10" s="336">
        <f>'Datu ievade'!X164</f>
        <v>153</v>
      </c>
      <c r="Y10" s="336">
        <f>'Datu ievade'!Y164</f>
        <v>156</v>
      </c>
      <c r="Z10" s="336">
        <f>'Datu ievade'!Z164</f>
        <v>159</v>
      </c>
      <c r="AA10" s="336">
        <f>'Datu ievade'!AA164</f>
        <v>162</v>
      </c>
      <c r="AB10" s="336">
        <f>'Datu ievade'!AB164</f>
        <v>165</v>
      </c>
      <c r="AC10" s="336">
        <f>'Datu ievade'!AC164</f>
        <v>168</v>
      </c>
      <c r="AD10" s="336">
        <f>'Datu ievade'!AD164</f>
        <v>171</v>
      </c>
      <c r="AE10" s="336">
        <f>'Datu ievade'!AE164</f>
        <v>174</v>
      </c>
      <c r="AF10" s="336">
        <f>'Datu ievade'!AF164</f>
        <v>177</v>
      </c>
      <c r="AG10" s="336">
        <f>'Datu ievade'!AG164</f>
        <v>181</v>
      </c>
    </row>
    <row r="11" spans="1:33" s="328" customFormat="1" ht="12.75">
      <c r="A11" s="415" t="s">
        <v>154</v>
      </c>
      <c r="B11" s="336">
        <f>'Datu ievade'!B165</f>
        <v>0</v>
      </c>
      <c r="C11" s="336">
        <f>'Datu ievade'!C165</f>
        <v>0</v>
      </c>
      <c r="D11" s="336">
        <f>'Datu ievade'!D165</f>
        <v>0</v>
      </c>
      <c r="E11" s="336">
        <f>'Datu ievade'!E165</f>
        <v>0</v>
      </c>
      <c r="F11" s="336">
        <f>'Datu ievade'!F165</f>
        <v>0</v>
      </c>
      <c r="G11" s="336">
        <f>'Datu ievade'!G165</f>
        <v>0</v>
      </c>
      <c r="H11" s="336">
        <f>'Datu ievade'!H165</f>
        <v>0</v>
      </c>
      <c r="I11" s="336">
        <f>'Datu ievade'!I165</f>
        <v>0</v>
      </c>
      <c r="J11" s="336">
        <f>'Datu ievade'!J165</f>
        <v>0</v>
      </c>
      <c r="K11" s="336">
        <f>'Datu ievade'!K165</f>
        <v>0</v>
      </c>
      <c r="L11" s="336">
        <f>'Datu ievade'!L165</f>
        <v>0</v>
      </c>
      <c r="M11" s="336">
        <f>'Datu ievade'!M165</f>
        <v>0</v>
      </c>
      <c r="N11" s="336">
        <f>'Datu ievade'!N165</f>
        <v>0</v>
      </c>
      <c r="O11" s="336">
        <f>'Datu ievade'!O165</f>
        <v>0</v>
      </c>
      <c r="P11" s="336">
        <f>'Datu ievade'!P165</f>
        <v>0</v>
      </c>
      <c r="Q11" s="336">
        <f>'Datu ievade'!Q165</f>
        <v>0</v>
      </c>
      <c r="R11" s="336">
        <f>'Datu ievade'!R165</f>
        <v>0</v>
      </c>
      <c r="S11" s="336">
        <f>'Datu ievade'!S165</f>
        <v>0</v>
      </c>
      <c r="T11" s="336">
        <f>'Datu ievade'!T165</f>
        <v>0</v>
      </c>
      <c r="U11" s="336">
        <f>'Datu ievade'!U165</f>
        <v>0</v>
      </c>
      <c r="V11" s="336">
        <f>'Datu ievade'!V165</f>
        <v>0</v>
      </c>
      <c r="W11" s="336">
        <f>'Datu ievade'!W165</f>
        <v>0</v>
      </c>
      <c r="X11" s="336">
        <f>'Datu ievade'!X165</f>
        <v>0</v>
      </c>
      <c r="Y11" s="336">
        <f>'Datu ievade'!Y165</f>
        <v>0</v>
      </c>
      <c r="Z11" s="336">
        <f>'Datu ievade'!Z165</f>
        <v>0</v>
      </c>
      <c r="AA11" s="336">
        <f>'Datu ievade'!AA165</f>
        <v>0</v>
      </c>
      <c r="AB11" s="336">
        <f>'Datu ievade'!AB165</f>
        <v>0</v>
      </c>
      <c r="AC11" s="336">
        <f>'Datu ievade'!AC165</f>
        <v>0</v>
      </c>
      <c r="AD11" s="336">
        <f>'Datu ievade'!AD165</f>
        <v>0</v>
      </c>
      <c r="AE11" s="336">
        <f>'Datu ievade'!AE165</f>
        <v>0</v>
      </c>
      <c r="AF11" s="336">
        <f>'Datu ievade'!AF165</f>
        <v>0</v>
      </c>
      <c r="AG11" s="336">
        <f>'Datu ievade'!AG165</f>
        <v>0</v>
      </c>
    </row>
    <row r="12" spans="1:33" s="328" customFormat="1" ht="12.75">
      <c r="A12" s="416" t="s">
        <v>155</v>
      </c>
      <c r="B12" s="336">
        <f>'Datu ievade'!B166</f>
        <v>0</v>
      </c>
      <c r="C12" s="336">
        <f>'Datu ievade'!C166</f>
        <v>0</v>
      </c>
      <c r="D12" s="336">
        <f>'Datu ievade'!D166</f>
        <v>0</v>
      </c>
      <c r="E12" s="336">
        <f>'Datu ievade'!E166</f>
        <v>0</v>
      </c>
      <c r="F12" s="336">
        <f>'Datu ievade'!F166</f>
        <v>0</v>
      </c>
      <c r="G12" s="336">
        <f>'Datu ievade'!G166</f>
        <v>0</v>
      </c>
      <c r="H12" s="336">
        <f>'Datu ievade'!H166</f>
        <v>0</v>
      </c>
      <c r="I12" s="336">
        <f>'Datu ievade'!I166</f>
        <v>0</v>
      </c>
      <c r="J12" s="336">
        <f>'Datu ievade'!J166</f>
        <v>0</v>
      </c>
      <c r="K12" s="336">
        <f>'Datu ievade'!K166</f>
        <v>0</v>
      </c>
      <c r="L12" s="336">
        <f>'Datu ievade'!L166</f>
        <v>0</v>
      </c>
      <c r="M12" s="336">
        <f>'Datu ievade'!M166</f>
        <v>0</v>
      </c>
      <c r="N12" s="336">
        <f>'Datu ievade'!N166</f>
        <v>0</v>
      </c>
      <c r="O12" s="336">
        <f>'Datu ievade'!O166</f>
        <v>0</v>
      </c>
      <c r="P12" s="336">
        <f>'Datu ievade'!P166</f>
        <v>0</v>
      </c>
      <c r="Q12" s="336">
        <f>'Datu ievade'!Q166</f>
        <v>0</v>
      </c>
      <c r="R12" s="336">
        <f>'Datu ievade'!R166</f>
        <v>0</v>
      </c>
      <c r="S12" s="336">
        <f>'Datu ievade'!S166</f>
        <v>0</v>
      </c>
      <c r="T12" s="336">
        <f>'Datu ievade'!T166</f>
        <v>0</v>
      </c>
      <c r="U12" s="336">
        <f>'Datu ievade'!U166</f>
        <v>0</v>
      </c>
      <c r="V12" s="336">
        <f>'Datu ievade'!V166</f>
        <v>0</v>
      </c>
      <c r="W12" s="336">
        <f>'Datu ievade'!W166</f>
        <v>0</v>
      </c>
      <c r="X12" s="336">
        <f>'Datu ievade'!X166</f>
        <v>0</v>
      </c>
      <c r="Y12" s="336">
        <f>'Datu ievade'!Y166</f>
        <v>0</v>
      </c>
      <c r="Z12" s="336">
        <f>'Datu ievade'!Z166</f>
        <v>0</v>
      </c>
      <c r="AA12" s="336">
        <f>'Datu ievade'!AA166</f>
        <v>0</v>
      </c>
      <c r="AB12" s="336">
        <f>'Datu ievade'!AB166</f>
        <v>0</v>
      </c>
      <c r="AC12" s="336">
        <f>'Datu ievade'!AC166</f>
        <v>0</v>
      </c>
      <c r="AD12" s="336">
        <f>'Datu ievade'!AD166</f>
        <v>0</v>
      </c>
      <c r="AE12" s="336">
        <f>'Datu ievade'!AE166</f>
        <v>0</v>
      </c>
      <c r="AF12" s="336">
        <f>'Datu ievade'!AF166</f>
        <v>0</v>
      </c>
      <c r="AG12" s="336">
        <f>'Datu ievade'!AG166</f>
        <v>0</v>
      </c>
    </row>
    <row r="13" spans="1:33" s="328" customFormat="1" ht="12.75">
      <c r="A13" s="414" t="s">
        <v>156</v>
      </c>
      <c r="B13" s="336">
        <f>'Datu ievade'!B172</f>
        <v>5570</v>
      </c>
      <c r="C13" s="336">
        <f>'Datu ievade'!C172</f>
        <v>5681.400000000001</v>
      </c>
      <c r="D13" s="336">
        <f>'Datu ievade'!D172</f>
        <v>5792.8</v>
      </c>
      <c r="E13" s="336">
        <f>'Datu ievade'!E172</f>
        <v>5904.200000000001</v>
      </c>
      <c r="F13" s="336">
        <f>'Datu ievade'!F172</f>
        <v>6015.6</v>
      </c>
      <c r="G13" s="336">
        <f>'Datu ievade'!G172</f>
        <v>6127.000000000001</v>
      </c>
      <c r="H13" s="336">
        <f>'Datu ievade'!H172</f>
        <v>6238.400000000001</v>
      </c>
      <c r="I13" s="336">
        <f>'Datu ievade'!I172</f>
        <v>6349.799999999999</v>
      </c>
      <c r="J13" s="336">
        <f>'Datu ievade'!J172</f>
        <v>6461.2</v>
      </c>
      <c r="K13" s="336">
        <f>'Datu ievade'!K172</f>
        <v>6572.599999999999</v>
      </c>
      <c r="L13" s="336">
        <f>'Datu ievade'!L172</f>
        <v>6684</v>
      </c>
      <c r="M13" s="336">
        <f>'Datu ievade'!M172</f>
        <v>6795.4</v>
      </c>
      <c r="N13" s="336">
        <f>'Datu ievade'!N172</f>
        <v>6906.8</v>
      </c>
      <c r="O13" s="336">
        <f>'Datu ievade'!O172</f>
        <v>7018.2</v>
      </c>
      <c r="P13" s="336">
        <f>'Datu ievade'!P172</f>
        <v>7185.3</v>
      </c>
      <c r="Q13" s="336">
        <f>'Datu ievade'!Q172</f>
        <v>7352.400000000001</v>
      </c>
      <c r="R13" s="336">
        <f>'Datu ievade'!R172</f>
        <v>7519.500000000001</v>
      </c>
      <c r="S13" s="336">
        <f>'Datu ievade'!S172</f>
        <v>7686.599999999999</v>
      </c>
      <c r="T13" s="336">
        <f>'Datu ievade'!T172</f>
        <v>7853.7</v>
      </c>
      <c r="U13" s="336">
        <f>'Datu ievade'!U172</f>
        <v>8020.799999999999</v>
      </c>
      <c r="V13" s="336">
        <f>'Datu ievade'!V172</f>
        <v>8187.9</v>
      </c>
      <c r="W13" s="336">
        <f>'Datu ievade'!W172</f>
        <v>8355</v>
      </c>
      <c r="X13" s="336">
        <f>'Datu ievade'!X172</f>
        <v>8522.1</v>
      </c>
      <c r="Y13" s="336">
        <f>'Datu ievade'!Y172</f>
        <v>8689.2</v>
      </c>
      <c r="Z13" s="336">
        <f>'Datu ievade'!Z172</f>
        <v>8856.300000000001</v>
      </c>
      <c r="AA13" s="336">
        <f>'Datu ievade'!AA172</f>
        <v>9023.400000000001</v>
      </c>
      <c r="AB13" s="336">
        <f>'Datu ievade'!AB172</f>
        <v>9190.5</v>
      </c>
      <c r="AC13" s="336">
        <f>'Datu ievade'!AC172</f>
        <v>9357.6</v>
      </c>
      <c r="AD13" s="336">
        <f>'Datu ievade'!AD172</f>
        <v>9524.699999999999</v>
      </c>
      <c r="AE13" s="336">
        <f>'Datu ievade'!AE172</f>
        <v>9691.8</v>
      </c>
      <c r="AF13" s="336">
        <f>'Datu ievade'!AF172</f>
        <v>9858.9</v>
      </c>
      <c r="AG13" s="336">
        <f>'Datu ievade'!AG172</f>
        <v>10081.7</v>
      </c>
    </row>
    <row r="14" spans="1:33" s="328" customFormat="1" ht="12.75">
      <c r="A14" s="415" t="s">
        <v>157</v>
      </c>
      <c r="B14" s="336">
        <f>'Datu ievade'!B173</f>
        <v>4400</v>
      </c>
      <c r="C14" s="336">
        <f>'Datu ievade'!C173</f>
        <v>4488</v>
      </c>
      <c r="D14" s="336">
        <f>'Datu ievade'!D173</f>
        <v>4576</v>
      </c>
      <c r="E14" s="336">
        <f>'Datu ievade'!E173</f>
        <v>4664</v>
      </c>
      <c r="F14" s="336">
        <f>'Datu ievade'!F173</f>
        <v>4752</v>
      </c>
      <c r="G14" s="336">
        <f>'Datu ievade'!G173</f>
        <v>4840</v>
      </c>
      <c r="H14" s="336">
        <f>'Datu ievade'!H173</f>
        <v>4928.000000000001</v>
      </c>
      <c r="I14" s="336">
        <f>'Datu ievade'!I173</f>
        <v>5016</v>
      </c>
      <c r="J14" s="336">
        <f>'Datu ievade'!J173</f>
        <v>5104</v>
      </c>
      <c r="K14" s="336">
        <f>'Datu ievade'!K173</f>
        <v>5192</v>
      </c>
      <c r="L14" s="336">
        <f>'Datu ievade'!L173</f>
        <v>5280</v>
      </c>
      <c r="M14" s="336">
        <f>'Datu ievade'!M173</f>
        <v>5368</v>
      </c>
      <c r="N14" s="336">
        <f>'Datu ievade'!N173</f>
        <v>5456</v>
      </c>
      <c r="O14" s="336">
        <f>'Datu ievade'!O173</f>
        <v>5544</v>
      </c>
      <c r="P14" s="336">
        <f>'Datu ievade'!P173</f>
        <v>5676</v>
      </c>
      <c r="Q14" s="336">
        <f>'Datu ievade'!Q173</f>
        <v>5808</v>
      </c>
      <c r="R14" s="336">
        <f>'Datu ievade'!R173</f>
        <v>5940</v>
      </c>
      <c r="S14" s="336">
        <f>'Datu ievade'!S173</f>
        <v>6071.999999999999</v>
      </c>
      <c r="T14" s="336">
        <f>'Datu ievade'!T173</f>
        <v>6204</v>
      </c>
      <c r="U14" s="336">
        <f>'Datu ievade'!U173</f>
        <v>6336</v>
      </c>
      <c r="V14" s="336">
        <f>'Datu ievade'!V173</f>
        <v>6468</v>
      </c>
      <c r="W14" s="336">
        <f>'Datu ievade'!W173</f>
        <v>6600</v>
      </c>
      <c r="X14" s="336">
        <f>'Datu ievade'!X173</f>
        <v>6732</v>
      </c>
      <c r="Y14" s="336">
        <f>'Datu ievade'!Y173</f>
        <v>6864</v>
      </c>
      <c r="Z14" s="336">
        <f>'Datu ievade'!Z173</f>
        <v>6996</v>
      </c>
      <c r="AA14" s="336">
        <f>'Datu ievade'!AA173</f>
        <v>7128.000000000001</v>
      </c>
      <c r="AB14" s="336">
        <f>'Datu ievade'!AB173</f>
        <v>7260</v>
      </c>
      <c r="AC14" s="336">
        <f>'Datu ievade'!AC173</f>
        <v>7392</v>
      </c>
      <c r="AD14" s="336">
        <f>'Datu ievade'!AD173</f>
        <v>7524</v>
      </c>
      <c r="AE14" s="336">
        <f>'Datu ievade'!AE173</f>
        <v>7656</v>
      </c>
      <c r="AF14" s="336">
        <f>'Datu ievade'!AF173</f>
        <v>7788</v>
      </c>
      <c r="AG14" s="336">
        <f>'Datu ievade'!AG173</f>
        <v>7964</v>
      </c>
    </row>
    <row r="15" spans="1:33" s="328" customFormat="1" ht="12.75">
      <c r="A15" s="415" t="s">
        <v>158</v>
      </c>
      <c r="B15" s="336">
        <f>'Datu ievade'!B174</f>
        <v>450</v>
      </c>
      <c r="C15" s="336">
        <f>'Datu ievade'!C174</f>
        <v>459</v>
      </c>
      <c r="D15" s="336">
        <f>'Datu ievade'!D174</f>
        <v>468</v>
      </c>
      <c r="E15" s="336">
        <f>'Datu ievade'!E174</f>
        <v>477</v>
      </c>
      <c r="F15" s="336">
        <f>'Datu ievade'!F174</f>
        <v>486.00000000000006</v>
      </c>
      <c r="G15" s="336">
        <f>'Datu ievade'!G174</f>
        <v>495.00000000000006</v>
      </c>
      <c r="H15" s="336">
        <f>'Datu ievade'!H174</f>
        <v>504.00000000000006</v>
      </c>
      <c r="I15" s="336">
        <f>'Datu ievade'!I174</f>
        <v>513</v>
      </c>
      <c r="J15" s="336">
        <f>'Datu ievade'!J174</f>
        <v>522</v>
      </c>
      <c r="K15" s="336">
        <f>'Datu ievade'!K174</f>
        <v>531</v>
      </c>
      <c r="L15" s="336">
        <f>'Datu ievade'!L174</f>
        <v>540</v>
      </c>
      <c r="M15" s="336">
        <f>'Datu ievade'!M174</f>
        <v>549</v>
      </c>
      <c r="N15" s="336">
        <f>'Datu ievade'!N174</f>
        <v>558</v>
      </c>
      <c r="O15" s="336">
        <f>'Datu ievade'!O174</f>
        <v>567</v>
      </c>
      <c r="P15" s="336">
        <f>'Datu ievade'!P174</f>
        <v>580.5</v>
      </c>
      <c r="Q15" s="336">
        <f>'Datu ievade'!Q174</f>
        <v>594</v>
      </c>
      <c r="R15" s="336">
        <f>'Datu ievade'!R174</f>
        <v>607.5</v>
      </c>
      <c r="S15" s="336">
        <f>'Datu ievade'!S174</f>
        <v>621</v>
      </c>
      <c r="T15" s="336">
        <f>'Datu ievade'!T174</f>
        <v>634.5</v>
      </c>
      <c r="U15" s="336">
        <f>'Datu ievade'!U174</f>
        <v>648</v>
      </c>
      <c r="V15" s="336">
        <f>'Datu ievade'!V174</f>
        <v>661.5</v>
      </c>
      <c r="W15" s="336">
        <f>'Datu ievade'!W174</f>
        <v>675</v>
      </c>
      <c r="X15" s="336">
        <f>'Datu ievade'!X174</f>
        <v>688.5</v>
      </c>
      <c r="Y15" s="336">
        <f>'Datu ievade'!Y174</f>
        <v>702</v>
      </c>
      <c r="Z15" s="336">
        <f>'Datu ievade'!Z174</f>
        <v>715.5</v>
      </c>
      <c r="AA15" s="336">
        <f>'Datu ievade'!AA174</f>
        <v>729</v>
      </c>
      <c r="AB15" s="336">
        <f>'Datu ievade'!AB174</f>
        <v>742.5</v>
      </c>
      <c r="AC15" s="336">
        <f>'Datu ievade'!AC174</f>
        <v>756</v>
      </c>
      <c r="AD15" s="336">
        <f>'Datu ievade'!AD174</f>
        <v>769.5</v>
      </c>
      <c r="AE15" s="336">
        <f>'Datu ievade'!AE174</f>
        <v>783</v>
      </c>
      <c r="AF15" s="336">
        <f>'Datu ievade'!AF174</f>
        <v>796.5</v>
      </c>
      <c r="AG15" s="336">
        <f>'Datu ievade'!AG174</f>
        <v>814.5</v>
      </c>
    </row>
    <row r="16" spans="1:33" s="328" customFormat="1" ht="12.75">
      <c r="A16" s="415" t="s">
        <v>159</v>
      </c>
      <c r="B16" s="336">
        <f>'Datu ievade'!B175</f>
        <v>100</v>
      </c>
      <c r="C16" s="336">
        <f>'Datu ievade'!C175</f>
        <v>102</v>
      </c>
      <c r="D16" s="336">
        <f>'Datu ievade'!D175</f>
        <v>104</v>
      </c>
      <c r="E16" s="336">
        <f>'Datu ievade'!E175</f>
        <v>106</v>
      </c>
      <c r="F16" s="336">
        <f>'Datu ievade'!F175</f>
        <v>108</v>
      </c>
      <c r="G16" s="336">
        <f>'Datu ievade'!G175</f>
        <v>110.00000000000001</v>
      </c>
      <c r="H16" s="336">
        <f>'Datu ievade'!H175</f>
        <v>112.00000000000001</v>
      </c>
      <c r="I16" s="336">
        <f>'Datu ievade'!I175</f>
        <v>113.99999999999999</v>
      </c>
      <c r="J16" s="336">
        <f>'Datu ievade'!J175</f>
        <v>115.99999999999999</v>
      </c>
      <c r="K16" s="336">
        <f>'Datu ievade'!K175</f>
        <v>118</v>
      </c>
      <c r="L16" s="336">
        <f>'Datu ievade'!L175</f>
        <v>120</v>
      </c>
      <c r="M16" s="336">
        <f>'Datu ievade'!M175</f>
        <v>122</v>
      </c>
      <c r="N16" s="336">
        <f>'Datu ievade'!N175</f>
        <v>124</v>
      </c>
      <c r="O16" s="336">
        <f>'Datu ievade'!O175</f>
        <v>126</v>
      </c>
      <c r="P16" s="336">
        <f>'Datu ievade'!P175</f>
        <v>129</v>
      </c>
      <c r="Q16" s="336">
        <f>'Datu ievade'!Q175</f>
        <v>132</v>
      </c>
      <c r="R16" s="336">
        <f>'Datu ievade'!R175</f>
        <v>135</v>
      </c>
      <c r="S16" s="336">
        <f>'Datu ievade'!S175</f>
        <v>138</v>
      </c>
      <c r="T16" s="336">
        <f>'Datu ievade'!T175</f>
        <v>141</v>
      </c>
      <c r="U16" s="336">
        <f>'Datu ievade'!U175</f>
        <v>144</v>
      </c>
      <c r="V16" s="336">
        <f>'Datu ievade'!V175</f>
        <v>147</v>
      </c>
      <c r="W16" s="336">
        <f>'Datu ievade'!W175</f>
        <v>150</v>
      </c>
      <c r="X16" s="336">
        <f>'Datu ievade'!X175</f>
        <v>153</v>
      </c>
      <c r="Y16" s="336">
        <f>'Datu ievade'!Y175</f>
        <v>156</v>
      </c>
      <c r="Z16" s="336">
        <f>'Datu ievade'!Z175</f>
        <v>159</v>
      </c>
      <c r="AA16" s="336">
        <f>'Datu ievade'!AA175</f>
        <v>162</v>
      </c>
      <c r="AB16" s="336">
        <f>'Datu ievade'!AB175</f>
        <v>165</v>
      </c>
      <c r="AC16" s="336">
        <f>'Datu ievade'!AC175</f>
        <v>168</v>
      </c>
      <c r="AD16" s="336">
        <f>'Datu ievade'!AD175</f>
        <v>171</v>
      </c>
      <c r="AE16" s="336">
        <f>'Datu ievade'!AE175</f>
        <v>174</v>
      </c>
      <c r="AF16" s="336">
        <f>'Datu ievade'!AF175</f>
        <v>177</v>
      </c>
      <c r="AG16" s="336">
        <f>'Datu ievade'!AG175</f>
        <v>181</v>
      </c>
    </row>
    <row r="17" spans="1:33" s="328" customFormat="1" ht="12.75">
      <c r="A17" s="415" t="s">
        <v>160</v>
      </c>
      <c r="B17" s="336">
        <f>'Datu ievade'!B176</f>
        <v>0</v>
      </c>
      <c r="C17" s="336">
        <f>'Datu ievade'!C176</f>
        <v>0</v>
      </c>
      <c r="D17" s="336">
        <f>'Datu ievade'!D176</f>
        <v>0</v>
      </c>
      <c r="E17" s="336">
        <f>'Datu ievade'!E176</f>
        <v>0</v>
      </c>
      <c r="F17" s="336">
        <f>'Datu ievade'!F176</f>
        <v>0</v>
      </c>
      <c r="G17" s="336">
        <f>'Datu ievade'!G176</f>
        <v>0</v>
      </c>
      <c r="H17" s="336">
        <f>'Datu ievade'!H176</f>
        <v>0</v>
      </c>
      <c r="I17" s="336">
        <f>'Datu ievade'!I176</f>
        <v>0</v>
      </c>
      <c r="J17" s="336">
        <f>'Datu ievade'!J176</f>
        <v>0</v>
      </c>
      <c r="K17" s="336">
        <f>'Datu ievade'!K176</f>
        <v>0</v>
      </c>
      <c r="L17" s="336">
        <f>'Datu ievade'!L176</f>
        <v>0</v>
      </c>
      <c r="M17" s="336">
        <f>'Datu ievade'!M176</f>
        <v>0</v>
      </c>
      <c r="N17" s="336">
        <f>'Datu ievade'!N176</f>
        <v>0</v>
      </c>
      <c r="O17" s="336">
        <f>'Datu ievade'!O176</f>
        <v>0</v>
      </c>
      <c r="P17" s="336">
        <f>'Datu ievade'!P176</f>
        <v>0</v>
      </c>
      <c r="Q17" s="336">
        <f>'Datu ievade'!Q176</f>
        <v>0</v>
      </c>
      <c r="R17" s="336">
        <f>'Datu ievade'!R176</f>
        <v>0</v>
      </c>
      <c r="S17" s="336">
        <f>'Datu ievade'!S176</f>
        <v>0</v>
      </c>
      <c r="T17" s="336">
        <f>'Datu ievade'!T176</f>
        <v>0</v>
      </c>
      <c r="U17" s="336">
        <f>'Datu ievade'!U176</f>
        <v>0</v>
      </c>
      <c r="V17" s="336">
        <f>'Datu ievade'!V176</f>
        <v>0</v>
      </c>
      <c r="W17" s="336">
        <f>'Datu ievade'!W176</f>
        <v>0</v>
      </c>
      <c r="X17" s="336">
        <f>'Datu ievade'!X176</f>
        <v>0</v>
      </c>
      <c r="Y17" s="336">
        <f>'Datu ievade'!Y176</f>
        <v>0</v>
      </c>
      <c r="Z17" s="336">
        <f>'Datu ievade'!Z176</f>
        <v>0</v>
      </c>
      <c r="AA17" s="336">
        <f>'Datu ievade'!AA176</f>
        <v>0</v>
      </c>
      <c r="AB17" s="336">
        <f>'Datu ievade'!AB176</f>
        <v>0</v>
      </c>
      <c r="AC17" s="336">
        <f>'Datu ievade'!AC176</f>
        <v>0</v>
      </c>
      <c r="AD17" s="336">
        <f>'Datu ievade'!AD176</f>
        <v>0</v>
      </c>
      <c r="AE17" s="336">
        <f>'Datu ievade'!AE176</f>
        <v>0</v>
      </c>
      <c r="AF17" s="336">
        <f>'Datu ievade'!AF176</f>
        <v>0</v>
      </c>
      <c r="AG17" s="336">
        <f>'Datu ievade'!AG176</f>
        <v>0</v>
      </c>
    </row>
    <row r="18" spans="1:33" s="328" customFormat="1" ht="12.75">
      <c r="A18" s="416" t="s">
        <v>161</v>
      </c>
      <c r="B18" s="325">
        <f aca="true" t="shared" si="1" ref="B18:AG18">SUM(B7:B17)</f>
        <v>20370</v>
      </c>
      <c r="C18" s="325">
        <f t="shared" si="1"/>
        <v>20777.4</v>
      </c>
      <c r="D18" s="325">
        <f t="shared" si="1"/>
        <v>21184.8</v>
      </c>
      <c r="E18" s="325">
        <f t="shared" si="1"/>
        <v>21592.2</v>
      </c>
      <c r="F18" s="325">
        <f t="shared" si="1"/>
        <v>21999.6</v>
      </c>
      <c r="G18" s="325">
        <f t="shared" si="1"/>
        <v>22407.000000000004</v>
      </c>
      <c r="H18" s="325">
        <f t="shared" si="1"/>
        <v>22814.4</v>
      </c>
      <c r="I18" s="325">
        <f t="shared" si="1"/>
        <v>23221.799999999996</v>
      </c>
      <c r="J18" s="325">
        <f t="shared" si="1"/>
        <v>23629.2</v>
      </c>
      <c r="K18" s="325">
        <f t="shared" si="1"/>
        <v>24036.6</v>
      </c>
      <c r="L18" s="325">
        <f t="shared" si="1"/>
        <v>24444</v>
      </c>
      <c r="M18" s="325">
        <f t="shared" si="1"/>
        <v>24851.4</v>
      </c>
      <c r="N18" s="325">
        <f t="shared" si="1"/>
        <v>25258.8</v>
      </c>
      <c r="O18" s="325">
        <f t="shared" si="1"/>
        <v>25666.2</v>
      </c>
      <c r="P18" s="325">
        <f t="shared" si="1"/>
        <v>26277.3</v>
      </c>
      <c r="Q18" s="325">
        <f t="shared" si="1"/>
        <v>26888.4</v>
      </c>
      <c r="R18" s="325">
        <f t="shared" si="1"/>
        <v>27499.5</v>
      </c>
      <c r="S18" s="325">
        <f t="shared" si="1"/>
        <v>28110.6</v>
      </c>
      <c r="T18" s="325">
        <f t="shared" si="1"/>
        <v>28721.7</v>
      </c>
      <c r="U18" s="325">
        <f t="shared" si="1"/>
        <v>29332.8</v>
      </c>
      <c r="V18" s="325">
        <f t="shared" si="1"/>
        <v>29943.9</v>
      </c>
      <c r="W18" s="325">
        <f t="shared" si="1"/>
        <v>30555</v>
      </c>
      <c r="X18" s="325">
        <f t="shared" si="1"/>
        <v>31166.1</v>
      </c>
      <c r="Y18" s="325">
        <f t="shared" si="1"/>
        <v>31777.2</v>
      </c>
      <c r="Z18" s="325">
        <f t="shared" si="1"/>
        <v>32388.300000000003</v>
      </c>
      <c r="AA18" s="325">
        <f t="shared" si="1"/>
        <v>32999.4</v>
      </c>
      <c r="AB18" s="325">
        <f t="shared" si="1"/>
        <v>33610.5</v>
      </c>
      <c r="AC18" s="325">
        <f t="shared" si="1"/>
        <v>34221.6</v>
      </c>
      <c r="AD18" s="325">
        <f t="shared" si="1"/>
        <v>34832.7</v>
      </c>
      <c r="AE18" s="325">
        <f t="shared" si="1"/>
        <v>35443.8</v>
      </c>
      <c r="AF18" s="325">
        <f t="shared" si="1"/>
        <v>36054.9</v>
      </c>
      <c r="AG18" s="325">
        <f t="shared" si="1"/>
        <v>36869.7</v>
      </c>
    </row>
    <row r="19" spans="1:33" s="328" customFormat="1" ht="12.75">
      <c r="A19" s="417" t="s">
        <v>162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row>
    <row r="20" spans="1:33" s="328" customFormat="1" ht="12.75">
      <c r="A20" s="415" t="s">
        <v>163</v>
      </c>
      <c r="B20" s="336">
        <f>'Datu ievade'!B167</f>
        <v>2750</v>
      </c>
      <c r="C20" s="336">
        <f>'Datu ievade'!C167</f>
        <v>2832.5</v>
      </c>
      <c r="D20" s="336">
        <f>'Datu ievade'!D167</f>
        <v>2942.5</v>
      </c>
      <c r="E20" s="336">
        <f>'Datu ievade'!E167</f>
        <v>3052.5000000000005</v>
      </c>
      <c r="F20" s="336">
        <f>'Datu ievade'!F167</f>
        <v>3162.4999999999995</v>
      </c>
      <c r="G20" s="336">
        <f>'Datu ievade'!G167</f>
        <v>3245</v>
      </c>
      <c r="H20" s="336">
        <f>'Datu ievade'!H167</f>
        <v>3327.5</v>
      </c>
      <c r="I20" s="336">
        <f>'Datu ievade'!I167</f>
        <v>3410</v>
      </c>
      <c r="J20" s="336">
        <f>'Datu ievade'!J167</f>
        <v>3492.5</v>
      </c>
      <c r="K20" s="336">
        <f>'Datu ievade'!K167</f>
        <v>3575</v>
      </c>
      <c r="L20" s="336">
        <f>'Datu ievade'!L167</f>
        <v>3657.5</v>
      </c>
      <c r="M20" s="336">
        <f>'Datu ievade'!M167</f>
        <v>3740.0000000000005</v>
      </c>
      <c r="N20" s="336">
        <f>'Datu ievade'!N167</f>
        <v>3822.4999999999995</v>
      </c>
      <c r="O20" s="336">
        <f>'Datu ievade'!O167</f>
        <v>3905</v>
      </c>
      <c r="P20" s="336">
        <f>'Datu ievade'!P167</f>
        <v>3987.5</v>
      </c>
      <c r="Q20" s="336">
        <f>'Datu ievade'!Q167</f>
        <v>4070</v>
      </c>
      <c r="R20" s="336">
        <f>'Datu ievade'!R167</f>
        <v>4152.5</v>
      </c>
      <c r="S20" s="336">
        <f>'Datu ievade'!S167</f>
        <v>4235</v>
      </c>
      <c r="T20" s="336">
        <f>'Datu ievade'!T167</f>
        <v>4317.5</v>
      </c>
      <c r="U20" s="336">
        <f>'Datu ievade'!U167</f>
        <v>4400</v>
      </c>
      <c r="V20" s="336">
        <f>'Datu ievade'!V167</f>
        <v>4510</v>
      </c>
      <c r="W20" s="336">
        <f>'Datu ievade'!W167</f>
        <v>4620</v>
      </c>
      <c r="X20" s="336">
        <f>'Datu ievade'!X167</f>
        <v>4730</v>
      </c>
      <c r="Y20" s="336">
        <f>'Datu ievade'!Y167</f>
        <v>4840</v>
      </c>
      <c r="Z20" s="336">
        <f>'Datu ievade'!Z167</f>
        <v>4950</v>
      </c>
      <c r="AA20" s="336">
        <f>'Datu ievade'!AA167</f>
        <v>5060</v>
      </c>
      <c r="AB20" s="336">
        <f>'Datu ievade'!AB167</f>
        <v>5170</v>
      </c>
      <c r="AC20" s="336">
        <f>'Datu ievade'!AC167</f>
        <v>5280</v>
      </c>
      <c r="AD20" s="336">
        <f>'Datu ievade'!AD167</f>
        <v>5390</v>
      </c>
      <c r="AE20" s="336">
        <f>'Datu ievade'!AE167</f>
        <v>5500</v>
      </c>
      <c r="AF20" s="336">
        <f>'Datu ievade'!AF167</f>
        <v>5610</v>
      </c>
      <c r="AG20" s="336">
        <f>'Datu ievade'!AG167</f>
        <v>5720</v>
      </c>
    </row>
    <row r="21" spans="1:33" s="328" customFormat="1" ht="12.75">
      <c r="A21" s="415" t="s">
        <v>164</v>
      </c>
      <c r="B21" s="336">
        <f>'Datu ievade'!B168</f>
        <v>662.475</v>
      </c>
      <c r="C21" s="336">
        <f>'Datu ievade'!C168</f>
        <v>682.34925</v>
      </c>
      <c r="D21" s="336">
        <f>'Datu ievade'!D168</f>
        <v>708.84825</v>
      </c>
      <c r="E21" s="336">
        <f>'Datu ievade'!E168</f>
        <v>735.3472500000001</v>
      </c>
      <c r="F21" s="336">
        <f>'Datu ievade'!F168</f>
        <v>761.8462499999999</v>
      </c>
      <c r="G21" s="336">
        <f>'Datu ievade'!G168</f>
        <v>781.7205</v>
      </c>
      <c r="H21" s="336">
        <f>'Datu ievade'!H168</f>
        <v>801.59475</v>
      </c>
      <c r="I21" s="336">
        <f>'Datu ievade'!I168</f>
        <v>821.469</v>
      </c>
      <c r="J21" s="336">
        <f>'Datu ievade'!J168</f>
        <v>841.34325</v>
      </c>
      <c r="K21" s="336">
        <f>'Datu ievade'!K168</f>
        <v>861.2175</v>
      </c>
      <c r="L21" s="336">
        <f>'Datu ievade'!L168</f>
        <v>881.09175</v>
      </c>
      <c r="M21" s="336">
        <f>'Datu ievade'!M168</f>
        <v>900.9660000000001</v>
      </c>
      <c r="N21" s="336">
        <f>'Datu ievade'!N168</f>
        <v>920.8402499999999</v>
      </c>
      <c r="O21" s="336">
        <f>'Datu ievade'!O168</f>
        <v>940.7145</v>
      </c>
      <c r="P21" s="336">
        <f>'Datu ievade'!P168</f>
        <v>960.58875</v>
      </c>
      <c r="Q21" s="336">
        <f>'Datu ievade'!Q168</f>
        <v>980.463</v>
      </c>
      <c r="R21" s="336">
        <f>'Datu ievade'!R168</f>
        <v>1000.33725</v>
      </c>
      <c r="S21" s="336">
        <f>'Datu ievade'!S168</f>
        <v>1020.2115</v>
      </c>
      <c r="T21" s="336">
        <f>'Datu ievade'!T168</f>
        <v>1040.08575</v>
      </c>
      <c r="U21" s="336">
        <f>'Datu ievade'!U168</f>
        <v>1059.96</v>
      </c>
      <c r="V21" s="336">
        <f>'Datu ievade'!V168</f>
        <v>1086.459</v>
      </c>
      <c r="W21" s="336">
        <f>'Datu ievade'!W168</f>
        <v>1112.958</v>
      </c>
      <c r="X21" s="336">
        <f>'Datu ievade'!X168</f>
        <v>1139.457</v>
      </c>
      <c r="Y21" s="336">
        <f>'Datu ievade'!Y168</f>
        <v>1165.956</v>
      </c>
      <c r="Z21" s="336">
        <f>'Datu ievade'!Z168</f>
        <v>1192.455</v>
      </c>
      <c r="AA21" s="336">
        <f>'Datu ievade'!AA168</f>
        <v>1218.954</v>
      </c>
      <c r="AB21" s="336">
        <f>'Datu ievade'!AB168</f>
        <v>1245.453</v>
      </c>
      <c r="AC21" s="336">
        <f>'Datu ievade'!AC168</f>
        <v>1271.952</v>
      </c>
      <c r="AD21" s="336">
        <f>'Datu ievade'!AD168</f>
        <v>1298.451</v>
      </c>
      <c r="AE21" s="336">
        <f>'Datu ievade'!AE168</f>
        <v>1324.95</v>
      </c>
      <c r="AF21" s="336">
        <f>'Datu ievade'!AF168</f>
        <v>1351.449</v>
      </c>
      <c r="AG21" s="336">
        <f>'Datu ievade'!AG168</f>
        <v>1377.948</v>
      </c>
    </row>
    <row r="22" spans="1:33" s="328" customFormat="1" ht="12.75">
      <c r="A22" s="415" t="s">
        <v>165</v>
      </c>
      <c r="B22" s="336">
        <f>'Datu ievade'!B169</f>
        <v>0</v>
      </c>
      <c r="C22" s="336">
        <f>'Datu ievade'!C169</f>
        <v>0</v>
      </c>
      <c r="D22" s="336">
        <f>'Datu ievade'!D169</f>
        <v>0</v>
      </c>
      <c r="E22" s="336">
        <f>'Datu ievade'!E169</f>
        <v>0</v>
      </c>
      <c r="F22" s="336">
        <f>'Datu ievade'!F169</f>
        <v>0</v>
      </c>
      <c r="G22" s="336">
        <f>'Datu ievade'!G169</f>
        <v>0</v>
      </c>
      <c r="H22" s="336">
        <f>'Datu ievade'!H169</f>
        <v>0</v>
      </c>
      <c r="I22" s="336">
        <f>'Datu ievade'!I169</f>
        <v>0</v>
      </c>
      <c r="J22" s="336">
        <f>'Datu ievade'!J169</f>
        <v>0</v>
      </c>
      <c r="K22" s="336">
        <f>'Datu ievade'!K169</f>
        <v>0</v>
      </c>
      <c r="L22" s="336">
        <f>'Datu ievade'!L169</f>
        <v>0</v>
      </c>
      <c r="M22" s="336">
        <f>'Datu ievade'!M169</f>
        <v>0</v>
      </c>
      <c r="N22" s="336">
        <f>'Datu ievade'!N169</f>
        <v>0</v>
      </c>
      <c r="O22" s="336">
        <f>'Datu ievade'!O169</f>
        <v>0</v>
      </c>
      <c r="P22" s="336">
        <f>'Datu ievade'!P169</f>
        <v>0</v>
      </c>
      <c r="Q22" s="336">
        <f>'Datu ievade'!Q169</f>
        <v>0</v>
      </c>
      <c r="R22" s="336">
        <f>'Datu ievade'!R169</f>
        <v>0</v>
      </c>
      <c r="S22" s="336">
        <f>'Datu ievade'!S169</f>
        <v>0</v>
      </c>
      <c r="T22" s="336">
        <f>'Datu ievade'!T169</f>
        <v>0</v>
      </c>
      <c r="U22" s="336">
        <f>'Datu ievade'!U169</f>
        <v>0</v>
      </c>
      <c r="V22" s="336">
        <f>'Datu ievade'!V169</f>
        <v>0</v>
      </c>
      <c r="W22" s="336">
        <f>'Datu ievade'!W169</f>
        <v>0</v>
      </c>
      <c r="X22" s="336">
        <f>'Datu ievade'!X169</f>
        <v>0</v>
      </c>
      <c r="Y22" s="336">
        <f>'Datu ievade'!Y169</f>
        <v>0</v>
      </c>
      <c r="Z22" s="336">
        <f>'Datu ievade'!Z169</f>
        <v>0</v>
      </c>
      <c r="AA22" s="336">
        <f>'Datu ievade'!AA169</f>
        <v>0</v>
      </c>
      <c r="AB22" s="336">
        <f>'Datu ievade'!AB169</f>
        <v>0</v>
      </c>
      <c r="AC22" s="336">
        <f>'Datu ievade'!AC169</f>
        <v>0</v>
      </c>
      <c r="AD22" s="336">
        <f>'Datu ievade'!AD169</f>
        <v>0</v>
      </c>
      <c r="AE22" s="336">
        <f>'Datu ievade'!AE169</f>
        <v>0</v>
      </c>
      <c r="AF22" s="336">
        <f>'Datu ievade'!AF169</f>
        <v>0</v>
      </c>
      <c r="AG22" s="336">
        <f>'Datu ievade'!AG169</f>
        <v>0</v>
      </c>
    </row>
    <row r="23" spans="1:33" s="328" customFormat="1" ht="12.75">
      <c r="A23" s="416" t="s">
        <v>166</v>
      </c>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row>
    <row r="24" spans="1:33" s="328" customFormat="1" ht="12.75">
      <c r="A24" s="415" t="s">
        <v>167</v>
      </c>
      <c r="B24" s="336">
        <f>'Datu ievade'!B178</f>
        <v>2850</v>
      </c>
      <c r="C24" s="336">
        <f>'Datu ievade'!C178</f>
        <v>2935.5</v>
      </c>
      <c r="D24" s="336">
        <f>'Datu ievade'!D178</f>
        <v>3049.5</v>
      </c>
      <c r="E24" s="336">
        <f>'Datu ievade'!E178</f>
        <v>3163.5000000000005</v>
      </c>
      <c r="F24" s="336">
        <f>'Datu ievade'!F178</f>
        <v>3277.4999999999995</v>
      </c>
      <c r="G24" s="336">
        <f>'Datu ievade'!G178</f>
        <v>3363</v>
      </c>
      <c r="H24" s="336">
        <f>'Datu ievade'!H178</f>
        <v>3448.5</v>
      </c>
      <c r="I24" s="336">
        <f>'Datu ievade'!I178</f>
        <v>3534</v>
      </c>
      <c r="J24" s="336">
        <f>'Datu ievade'!J178</f>
        <v>3619.5</v>
      </c>
      <c r="K24" s="336">
        <f>'Datu ievade'!K178</f>
        <v>3705</v>
      </c>
      <c r="L24" s="336">
        <f>'Datu ievade'!L178</f>
        <v>3790.5</v>
      </c>
      <c r="M24" s="336">
        <f>'Datu ievade'!M178</f>
        <v>3876.0000000000005</v>
      </c>
      <c r="N24" s="336">
        <f>'Datu ievade'!N178</f>
        <v>3961.4999999999995</v>
      </c>
      <c r="O24" s="336">
        <f>'Datu ievade'!O178</f>
        <v>4047</v>
      </c>
      <c r="P24" s="336">
        <f>'Datu ievade'!P178</f>
        <v>4132.5</v>
      </c>
      <c r="Q24" s="336">
        <f>'Datu ievade'!Q178</f>
        <v>4218</v>
      </c>
      <c r="R24" s="336">
        <f>'Datu ievade'!R178</f>
        <v>4303.5</v>
      </c>
      <c r="S24" s="336">
        <f>'Datu ievade'!S178</f>
        <v>4389</v>
      </c>
      <c r="T24" s="336">
        <f>'Datu ievade'!T178</f>
        <v>4474.5</v>
      </c>
      <c r="U24" s="336">
        <f>'Datu ievade'!U178</f>
        <v>4560</v>
      </c>
      <c r="V24" s="336">
        <f>'Datu ievade'!V178</f>
        <v>4674</v>
      </c>
      <c r="W24" s="336">
        <f>'Datu ievade'!W178</f>
        <v>4788</v>
      </c>
      <c r="X24" s="336">
        <f>'Datu ievade'!X178</f>
        <v>4902</v>
      </c>
      <c r="Y24" s="336">
        <f>'Datu ievade'!Y178</f>
        <v>5016</v>
      </c>
      <c r="Z24" s="336">
        <f>'Datu ievade'!Z178</f>
        <v>5130</v>
      </c>
      <c r="AA24" s="336">
        <f>'Datu ievade'!AA178</f>
        <v>5244</v>
      </c>
      <c r="AB24" s="336">
        <f>'Datu ievade'!AB178</f>
        <v>5358</v>
      </c>
      <c r="AC24" s="336">
        <f>'Datu ievade'!AC178</f>
        <v>5472</v>
      </c>
      <c r="AD24" s="336">
        <f>'Datu ievade'!AD178</f>
        <v>5586</v>
      </c>
      <c r="AE24" s="336">
        <f>'Datu ievade'!AE178</f>
        <v>5700</v>
      </c>
      <c r="AF24" s="336">
        <f>'Datu ievade'!AF178</f>
        <v>5814</v>
      </c>
      <c r="AG24" s="336">
        <f>'Datu ievade'!AG178</f>
        <v>5928</v>
      </c>
    </row>
    <row r="25" spans="1:33" s="328" customFormat="1" ht="12.75">
      <c r="A25" s="415" t="s">
        <v>168</v>
      </c>
      <c r="B25" s="336">
        <f>'Datu ievade'!B179</f>
        <v>686.565</v>
      </c>
      <c r="C25" s="336">
        <f>'Datu ievade'!C179</f>
        <v>707.16195</v>
      </c>
      <c r="D25" s="336">
        <f>'Datu ievade'!D179</f>
        <v>734.62455</v>
      </c>
      <c r="E25" s="336">
        <f>'Datu ievade'!E179</f>
        <v>762.0871500000001</v>
      </c>
      <c r="F25" s="336">
        <f>'Datu ievade'!F179</f>
        <v>789.5497499999999</v>
      </c>
      <c r="G25" s="336">
        <f>'Datu ievade'!G179</f>
        <v>810.1467</v>
      </c>
      <c r="H25" s="336">
        <f>'Datu ievade'!H179</f>
        <v>830.74365</v>
      </c>
      <c r="I25" s="336">
        <f>'Datu ievade'!I179</f>
        <v>851.3406</v>
      </c>
      <c r="J25" s="336">
        <f>'Datu ievade'!J179</f>
        <v>871.93755</v>
      </c>
      <c r="K25" s="336">
        <f>'Datu ievade'!K179</f>
        <v>892.5345</v>
      </c>
      <c r="L25" s="336">
        <f>'Datu ievade'!L179</f>
        <v>913.13145</v>
      </c>
      <c r="M25" s="336">
        <f>'Datu ievade'!M179</f>
        <v>933.7284000000001</v>
      </c>
      <c r="N25" s="336">
        <f>'Datu ievade'!N179</f>
        <v>954.32535</v>
      </c>
      <c r="O25" s="336">
        <f>'Datu ievade'!O179</f>
        <v>974.9223000000001</v>
      </c>
      <c r="P25" s="336">
        <f>'Datu ievade'!P179</f>
        <v>995.51925</v>
      </c>
      <c r="Q25" s="336">
        <f>'Datu ievade'!Q179</f>
        <v>1016.1162</v>
      </c>
      <c r="R25" s="336">
        <f>'Datu ievade'!R179</f>
        <v>1036.71315</v>
      </c>
      <c r="S25" s="336">
        <f>'Datu ievade'!S179</f>
        <v>1057.3101</v>
      </c>
      <c r="T25" s="336">
        <f>'Datu ievade'!T179</f>
        <v>1077.90705</v>
      </c>
      <c r="U25" s="336">
        <f>'Datu ievade'!U179</f>
        <v>1098.504</v>
      </c>
      <c r="V25" s="336">
        <f>'Datu ievade'!V179</f>
        <v>1125.9666</v>
      </c>
      <c r="W25" s="336">
        <f>'Datu ievade'!W179</f>
        <v>1153.4292</v>
      </c>
      <c r="X25" s="336">
        <f>'Datu ievade'!X179</f>
        <v>1180.8918</v>
      </c>
      <c r="Y25" s="336">
        <f>'Datu ievade'!Y179</f>
        <v>1208.3544</v>
      </c>
      <c r="Z25" s="336">
        <f>'Datu ievade'!Z179</f>
        <v>1235.817</v>
      </c>
      <c r="AA25" s="336">
        <f>'Datu ievade'!AA179</f>
        <v>1263.2796</v>
      </c>
      <c r="AB25" s="336">
        <f>'Datu ievade'!AB179</f>
        <v>1290.7422</v>
      </c>
      <c r="AC25" s="336">
        <f>'Datu ievade'!AC179</f>
        <v>1318.2048</v>
      </c>
      <c r="AD25" s="336">
        <f>'Datu ievade'!AD179</f>
        <v>1345.6674</v>
      </c>
      <c r="AE25" s="336">
        <f>'Datu ievade'!AE179</f>
        <v>1373.13</v>
      </c>
      <c r="AF25" s="336">
        <f>'Datu ievade'!AF179</f>
        <v>1400.5926</v>
      </c>
      <c r="AG25" s="336">
        <f>'Datu ievade'!AG179</f>
        <v>1428.0552</v>
      </c>
    </row>
    <row r="26" spans="1:33" s="328" customFormat="1" ht="12.75">
      <c r="A26" s="415" t="s">
        <v>169</v>
      </c>
      <c r="B26" s="336">
        <f>'Datu ievade'!B180</f>
        <v>0</v>
      </c>
      <c r="C26" s="336">
        <f>'Datu ievade'!C180</f>
        <v>0</v>
      </c>
      <c r="D26" s="336">
        <f>'Datu ievade'!D180</f>
        <v>0</v>
      </c>
      <c r="E26" s="336">
        <f>'Datu ievade'!E180</f>
        <v>0</v>
      </c>
      <c r="F26" s="336">
        <f>'Datu ievade'!F180</f>
        <v>0</v>
      </c>
      <c r="G26" s="336">
        <f>'Datu ievade'!G180</f>
        <v>0</v>
      </c>
      <c r="H26" s="336">
        <f>'Datu ievade'!H180</f>
        <v>0</v>
      </c>
      <c r="I26" s="336">
        <f>'Datu ievade'!I180</f>
        <v>0</v>
      </c>
      <c r="J26" s="336">
        <f>'Datu ievade'!J180</f>
        <v>0</v>
      </c>
      <c r="K26" s="336">
        <f>'Datu ievade'!K180</f>
        <v>0</v>
      </c>
      <c r="L26" s="336">
        <f>'Datu ievade'!L180</f>
        <v>0</v>
      </c>
      <c r="M26" s="336">
        <f>'Datu ievade'!M180</f>
        <v>0</v>
      </c>
      <c r="N26" s="336">
        <f>'Datu ievade'!N180</f>
        <v>0</v>
      </c>
      <c r="O26" s="336">
        <f>'Datu ievade'!O180</f>
        <v>0</v>
      </c>
      <c r="P26" s="336">
        <f>'Datu ievade'!P180</f>
        <v>0</v>
      </c>
      <c r="Q26" s="336">
        <f>'Datu ievade'!Q180</f>
        <v>0</v>
      </c>
      <c r="R26" s="336">
        <f>'Datu ievade'!R180</f>
        <v>0</v>
      </c>
      <c r="S26" s="336">
        <f>'Datu ievade'!S180</f>
        <v>0</v>
      </c>
      <c r="T26" s="336">
        <f>'Datu ievade'!T180</f>
        <v>0</v>
      </c>
      <c r="U26" s="336">
        <f>'Datu ievade'!U180</f>
        <v>0</v>
      </c>
      <c r="V26" s="336">
        <f>'Datu ievade'!V180</f>
        <v>0</v>
      </c>
      <c r="W26" s="336">
        <f>'Datu ievade'!W180</f>
        <v>0</v>
      </c>
      <c r="X26" s="336">
        <f>'Datu ievade'!X180</f>
        <v>0</v>
      </c>
      <c r="Y26" s="336">
        <f>'Datu ievade'!Y180</f>
        <v>0</v>
      </c>
      <c r="Z26" s="336">
        <f>'Datu ievade'!Z180</f>
        <v>0</v>
      </c>
      <c r="AA26" s="336">
        <f>'Datu ievade'!AA180</f>
        <v>0</v>
      </c>
      <c r="AB26" s="336">
        <f>'Datu ievade'!AB180</f>
        <v>0</v>
      </c>
      <c r="AC26" s="336">
        <f>'Datu ievade'!AC180</f>
        <v>0</v>
      </c>
      <c r="AD26" s="336">
        <f>'Datu ievade'!AD180</f>
        <v>0</v>
      </c>
      <c r="AE26" s="336">
        <f>'Datu ievade'!AE180</f>
        <v>0</v>
      </c>
      <c r="AF26" s="336">
        <f>'Datu ievade'!AF180</f>
        <v>0</v>
      </c>
      <c r="AG26" s="336">
        <f>'Datu ievade'!AG180</f>
        <v>0</v>
      </c>
    </row>
    <row r="27" spans="1:33" s="328" customFormat="1" ht="12.75">
      <c r="A27" s="416" t="s">
        <v>170</v>
      </c>
      <c r="B27" s="325">
        <f aca="true" t="shared" si="2" ref="B27:AG27">SUM(B20:B26)</f>
        <v>6949.040000000001</v>
      </c>
      <c r="C27" s="325">
        <f t="shared" si="2"/>
        <v>7157.5112</v>
      </c>
      <c r="D27" s="325">
        <f t="shared" si="2"/>
        <v>7435.4728</v>
      </c>
      <c r="E27" s="325">
        <f t="shared" si="2"/>
        <v>7713.434400000001</v>
      </c>
      <c r="F27" s="325">
        <f t="shared" si="2"/>
        <v>7991.395999999999</v>
      </c>
      <c r="G27" s="325">
        <f t="shared" si="2"/>
        <v>8199.867199999999</v>
      </c>
      <c r="H27" s="325">
        <f t="shared" si="2"/>
        <v>8408.3384</v>
      </c>
      <c r="I27" s="325">
        <f t="shared" si="2"/>
        <v>8616.8096</v>
      </c>
      <c r="J27" s="325">
        <f t="shared" si="2"/>
        <v>8825.2808</v>
      </c>
      <c r="K27" s="325">
        <f t="shared" si="2"/>
        <v>9033.752</v>
      </c>
      <c r="L27" s="325">
        <f t="shared" si="2"/>
        <v>9242.2232</v>
      </c>
      <c r="M27" s="325">
        <f t="shared" si="2"/>
        <v>9450.6944</v>
      </c>
      <c r="N27" s="325">
        <f t="shared" si="2"/>
        <v>9659.165599999998</v>
      </c>
      <c r="O27" s="325">
        <f t="shared" si="2"/>
        <v>9867.6368</v>
      </c>
      <c r="P27" s="325">
        <f t="shared" si="2"/>
        <v>10076.107999999998</v>
      </c>
      <c r="Q27" s="325">
        <f t="shared" si="2"/>
        <v>10284.5792</v>
      </c>
      <c r="R27" s="325">
        <f t="shared" si="2"/>
        <v>10493.0504</v>
      </c>
      <c r="S27" s="325">
        <f t="shared" si="2"/>
        <v>10701.521600000002</v>
      </c>
      <c r="T27" s="325">
        <f t="shared" si="2"/>
        <v>10909.9928</v>
      </c>
      <c r="U27" s="325">
        <f t="shared" si="2"/>
        <v>11118.464</v>
      </c>
      <c r="V27" s="325">
        <f t="shared" si="2"/>
        <v>11396.425599999999</v>
      </c>
      <c r="W27" s="325">
        <f t="shared" si="2"/>
        <v>11674.387200000001</v>
      </c>
      <c r="X27" s="325">
        <f t="shared" si="2"/>
        <v>11952.3488</v>
      </c>
      <c r="Y27" s="325">
        <f t="shared" si="2"/>
        <v>12230.3104</v>
      </c>
      <c r="Z27" s="325">
        <f t="shared" si="2"/>
        <v>12508.272</v>
      </c>
      <c r="AA27" s="325">
        <f t="shared" si="2"/>
        <v>12786.2336</v>
      </c>
      <c r="AB27" s="325">
        <f t="shared" si="2"/>
        <v>13064.1952</v>
      </c>
      <c r="AC27" s="325">
        <f t="shared" si="2"/>
        <v>13342.1568</v>
      </c>
      <c r="AD27" s="325">
        <f t="shared" si="2"/>
        <v>13620.118400000001</v>
      </c>
      <c r="AE27" s="325">
        <f t="shared" si="2"/>
        <v>13898.080000000002</v>
      </c>
      <c r="AF27" s="325">
        <f t="shared" si="2"/>
        <v>14176.0416</v>
      </c>
      <c r="AG27" s="325">
        <f t="shared" si="2"/>
        <v>14454.003200000001</v>
      </c>
    </row>
    <row r="28" spans="1:33" s="328" customFormat="1" ht="25.5">
      <c r="A28" s="418" t="s">
        <v>171</v>
      </c>
      <c r="B28" s="325">
        <f aca="true" t="shared" si="3" ref="B28:AG28">SUM(B18,B27)</f>
        <v>27319.04</v>
      </c>
      <c r="C28" s="325">
        <f t="shared" si="3"/>
        <v>27934.911200000002</v>
      </c>
      <c r="D28" s="325">
        <f t="shared" si="3"/>
        <v>28620.2728</v>
      </c>
      <c r="E28" s="325">
        <f t="shared" si="3"/>
        <v>29305.634400000003</v>
      </c>
      <c r="F28" s="325">
        <f t="shared" si="3"/>
        <v>29990.996</v>
      </c>
      <c r="G28" s="325">
        <f t="shared" si="3"/>
        <v>30606.8672</v>
      </c>
      <c r="H28" s="325">
        <f t="shared" si="3"/>
        <v>31222.738400000002</v>
      </c>
      <c r="I28" s="325">
        <f t="shared" si="3"/>
        <v>31838.609599999996</v>
      </c>
      <c r="J28" s="325">
        <f t="shared" si="3"/>
        <v>32454.4808</v>
      </c>
      <c r="K28" s="325">
        <f t="shared" si="3"/>
        <v>33070.352</v>
      </c>
      <c r="L28" s="325">
        <f t="shared" si="3"/>
        <v>33686.2232</v>
      </c>
      <c r="M28" s="325">
        <f t="shared" si="3"/>
        <v>34302.0944</v>
      </c>
      <c r="N28" s="325">
        <f t="shared" si="3"/>
        <v>34917.965599999996</v>
      </c>
      <c r="O28" s="325">
        <f t="shared" si="3"/>
        <v>35533.836800000005</v>
      </c>
      <c r="P28" s="325">
        <f t="shared" si="3"/>
        <v>36353.407999999996</v>
      </c>
      <c r="Q28" s="325">
        <f t="shared" si="3"/>
        <v>37172.9792</v>
      </c>
      <c r="R28" s="325">
        <f t="shared" si="3"/>
        <v>37992.5504</v>
      </c>
      <c r="S28" s="325">
        <f t="shared" si="3"/>
        <v>38812.1216</v>
      </c>
      <c r="T28" s="325">
        <f t="shared" si="3"/>
        <v>39631.692800000004</v>
      </c>
      <c r="U28" s="325">
        <f t="shared" si="3"/>
        <v>40451.263999999996</v>
      </c>
      <c r="V28" s="325">
        <f t="shared" si="3"/>
        <v>41340.3256</v>
      </c>
      <c r="W28" s="325">
        <f t="shared" si="3"/>
        <v>42229.3872</v>
      </c>
      <c r="X28" s="325">
        <f t="shared" si="3"/>
        <v>43118.4488</v>
      </c>
      <c r="Y28" s="325">
        <f t="shared" si="3"/>
        <v>44007.5104</v>
      </c>
      <c r="Z28" s="325">
        <f t="shared" si="3"/>
        <v>44896.572</v>
      </c>
      <c r="AA28" s="325">
        <f t="shared" si="3"/>
        <v>45785.6336</v>
      </c>
      <c r="AB28" s="325">
        <f t="shared" si="3"/>
        <v>46674.6952</v>
      </c>
      <c r="AC28" s="325">
        <f t="shared" si="3"/>
        <v>47563.7568</v>
      </c>
      <c r="AD28" s="325">
        <f t="shared" si="3"/>
        <v>48452.8184</v>
      </c>
      <c r="AE28" s="325">
        <f t="shared" si="3"/>
        <v>49341.880000000005</v>
      </c>
      <c r="AF28" s="325">
        <f t="shared" si="3"/>
        <v>50230.941600000006</v>
      </c>
      <c r="AG28" s="325">
        <f t="shared" si="3"/>
        <v>51323.703199999996</v>
      </c>
    </row>
    <row r="29" spans="1:33" s="514" customFormat="1" ht="12.75">
      <c r="A29" s="101" t="s">
        <v>172</v>
      </c>
      <c r="B29" s="513">
        <f>'Datu ievade'!E242*'Datu ievade'!B393</f>
        <v>9033.75</v>
      </c>
      <c r="C29" s="513">
        <f>'Datu ievade'!F242*'Datu ievade'!C393</f>
        <v>9033.75</v>
      </c>
      <c r="D29" s="513">
        <f>'Datu ievade'!G242*'Datu ievade'!D393</f>
        <v>10433.98125</v>
      </c>
      <c r="E29" s="513">
        <f>'Datu ievade'!H242*'Datu ievade'!E393</f>
        <v>10659.824999999999</v>
      </c>
      <c r="F29" s="513">
        <f>'Datu ievade'!I242*'Datu ievade'!F393</f>
        <v>10885.668749999999</v>
      </c>
      <c r="G29" s="513">
        <f>'Datu ievade'!J242*'Datu ievade'!G393</f>
        <v>11066.34375</v>
      </c>
      <c r="H29" s="513">
        <f>'Datu ievade'!K242*'Datu ievade'!H393</f>
        <v>11247.01875</v>
      </c>
      <c r="I29" s="513">
        <f>'Datu ievade'!L242*'Datu ievade'!I393</f>
        <v>11472.8625</v>
      </c>
      <c r="J29" s="513">
        <f>'Datu ievade'!M242*'Datu ievade'!J393</f>
        <v>11653.5375</v>
      </c>
      <c r="K29" s="513">
        <f>'Datu ievade'!N242*'Datu ievade'!K393</f>
        <v>11698.706250000001</v>
      </c>
      <c r="L29" s="513">
        <f>'Datu ievade'!O242*'Datu ievade'!L393</f>
        <v>11698.706250000001</v>
      </c>
      <c r="M29" s="513">
        <f>'Datu ievade'!P242*'Datu ievade'!M393</f>
        <v>11924.550000000001</v>
      </c>
      <c r="N29" s="513">
        <f>'Datu ievade'!Q242*'Datu ievade'!N393</f>
        <v>12105.225</v>
      </c>
      <c r="O29" s="513">
        <f>'Datu ievade'!R242*'Datu ievade'!O393</f>
        <v>12285.900000000001</v>
      </c>
      <c r="P29" s="513">
        <f>'Datu ievade'!S242*'Datu ievade'!P393</f>
        <v>12556.9125</v>
      </c>
      <c r="Q29" s="513">
        <f>'Datu ievade'!T242*'Datu ievade'!Q393</f>
        <v>12827.925</v>
      </c>
      <c r="R29" s="513">
        <f>'Datu ievade'!U242*'Datu ievade'!R393</f>
        <v>12782.756249999999</v>
      </c>
      <c r="S29" s="513">
        <f>'Datu ievade'!V242*'Datu ievade'!S393</f>
        <v>12376.237500000001</v>
      </c>
      <c r="T29" s="513">
        <f>'Datu ievade'!W242*'Datu ievade'!T393</f>
        <v>12647.250000000002</v>
      </c>
      <c r="U29" s="513">
        <f>'Datu ievade'!X242*'Datu ievade'!U393</f>
        <v>12873.093749999998</v>
      </c>
      <c r="V29" s="513">
        <f>'Datu ievade'!Y242*'Datu ievade'!V393</f>
        <v>13189.275</v>
      </c>
      <c r="W29" s="513">
        <f>'Datu ievade'!Z242*'Datu ievade'!W393</f>
        <v>13460.287499999999</v>
      </c>
      <c r="X29" s="513">
        <f>'Datu ievade'!AA242*'Datu ievade'!X393</f>
        <v>13731.3</v>
      </c>
      <c r="Y29" s="513">
        <f>'Datu ievade'!AB242*'Datu ievade'!Y393</f>
        <v>14002.3125</v>
      </c>
      <c r="Z29" s="513">
        <f>'Datu ievade'!AC242*'Datu ievade'!Z393</f>
        <v>14318.49375</v>
      </c>
      <c r="AA29" s="513">
        <f>'Datu ievade'!AD242*'Datu ievade'!AA393</f>
        <v>14589.50625</v>
      </c>
      <c r="AB29" s="513">
        <f>'Datu ievade'!AE242*'Datu ievade'!AB393</f>
        <v>14860.518750000001</v>
      </c>
      <c r="AC29" s="513">
        <f>'Datu ievade'!AF242*'Datu ievade'!AC393</f>
        <v>15176.7</v>
      </c>
      <c r="AD29" s="513">
        <f>'Datu ievade'!AG242*'Datu ievade'!AD393</f>
        <v>15447.712500000001</v>
      </c>
      <c r="AE29" s="513">
        <f>'Datu ievade'!AH242*'Datu ievade'!AE393</f>
        <v>15718.724999999999</v>
      </c>
      <c r="AF29" s="513">
        <f>'Datu ievade'!AI242*'Datu ievade'!AF393</f>
        <v>15989.7375</v>
      </c>
      <c r="AG29" s="513">
        <f>'Datu ievade'!AJ242*'Datu ievade'!AG393</f>
        <v>16351.0875</v>
      </c>
    </row>
    <row r="30" spans="1:33" s="514" customFormat="1" ht="12.75">
      <c r="A30" s="101" t="s">
        <v>173</v>
      </c>
      <c r="B30" s="513">
        <f>'Datu ievade'!B393*'Datu ievade'!E250</f>
        <v>700</v>
      </c>
      <c r="C30" s="513">
        <f>'Datu ievade'!C393*'Datu ievade'!F250</f>
        <v>700</v>
      </c>
      <c r="D30" s="513">
        <f>'Datu ievade'!D393*'Datu ievade'!G250</f>
        <v>808.5</v>
      </c>
      <c r="E30" s="513">
        <f>'Datu ievade'!E393*'Datu ievade'!H250</f>
        <v>826</v>
      </c>
      <c r="F30" s="513">
        <f>'Datu ievade'!F393*'Datu ievade'!I250</f>
        <v>843.5</v>
      </c>
      <c r="G30" s="513">
        <f>'Datu ievade'!G393*'Datu ievade'!J250</f>
        <v>857.5</v>
      </c>
      <c r="H30" s="513">
        <f>'Datu ievade'!H393*'Datu ievade'!K250</f>
        <v>871.5</v>
      </c>
      <c r="I30" s="513">
        <f>'Datu ievade'!I393*'Datu ievade'!L250</f>
        <v>889</v>
      </c>
      <c r="J30" s="513">
        <f>'Datu ievade'!J393*'Datu ievade'!M250</f>
        <v>903</v>
      </c>
      <c r="K30" s="513">
        <f>'Datu ievade'!K393*'Datu ievade'!N250</f>
        <v>906.5</v>
      </c>
      <c r="L30" s="513">
        <f>'Datu ievade'!L393*'Datu ievade'!O250</f>
        <v>906.5</v>
      </c>
      <c r="M30" s="513">
        <f>'Datu ievade'!M393*'Datu ievade'!P250</f>
        <v>924</v>
      </c>
      <c r="N30" s="513">
        <f>'Datu ievade'!N393*'Datu ievade'!Q250</f>
        <v>938</v>
      </c>
      <c r="O30" s="513">
        <f>'Datu ievade'!O393*'Datu ievade'!R250</f>
        <v>952.0000000000001</v>
      </c>
      <c r="P30" s="513">
        <f>'Datu ievade'!P393*'Datu ievade'!S250</f>
        <v>973.0000000000001</v>
      </c>
      <c r="Q30" s="513">
        <f>'Datu ievade'!Q393*'Datu ievade'!T250</f>
        <v>993.9999999999999</v>
      </c>
      <c r="R30" s="513">
        <f>'Datu ievade'!R393*'Datu ievade'!U250</f>
        <v>990.4999999999999</v>
      </c>
      <c r="S30" s="513">
        <f>'Datu ievade'!S393*'Datu ievade'!V250</f>
        <v>959.0000000000001</v>
      </c>
      <c r="T30" s="513">
        <f>'Datu ievade'!T393*'Datu ievade'!W250</f>
        <v>980.0000000000001</v>
      </c>
      <c r="U30" s="513">
        <f>'Datu ievade'!U393*'Datu ievade'!X250</f>
        <v>997.4999999999999</v>
      </c>
      <c r="V30" s="513">
        <f>'Datu ievade'!V393*'Datu ievade'!Y250</f>
        <v>1021.9999999999999</v>
      </c>
      <c r="W30" s="513">
        <f>'Datu ievade'!W393*'Datu ievade'!Z250</f>
        <v>1043</v>
      </c>
      <c r="X30" s="513">
        <f>'Datu ievade'!X393*'Datu ievade'!AA250</f>
        <v>1064</v>
      </c>
      <c r="Y30" s="513">
        <f>'Datu ievade'!Y393*'Datu ievade'!AB250</f>
        <v>1085</v>
      </c>
      <c r="Z30" s="513">
        <f>'Datu ievade'!Z393*'Datu ievade'!AC250</f>
        <v>1109.5</v>
      </c>
      <c r="AA30" s="513">
        <f>'Datu ievade'!AA393*'Datu ievade'!AD250</f>
        <v>1130.5</v>
      </c>
      <c r="AB30" s="513">
        <f>'Datu ievade'!AB393*'Datu ievade'!AE250</f>
        <v>1151.5</v>
      </c>
      <c r="AC30" s="513">
        <f>'Datu ievade'!AC393*'Datu ievade'!AF250</f>
        <v>1176</v>
      </c>
      <c r="AD30" s="513">
        <f>'Datu ievade'!AD393*'Datu ievade'!AG250</f>
        <v>1197</v>
      </c>
      <c r="AE30" s="513">
        <f>'Datu ievade'!AE393*'Datu ievade'!AH250</f>
        <v>1218</v>
      </c>
      <c r="AF30" s="513">
        <f>'Datu ievade'!AF393*'Datu ievade'!AI250</f>
        <v>1239</v>
      </c>
      <c r="AG30" s="513">
        <f>'Datu ievade'!AG393*'Datu ievade'!AJ250</f>
        <v>1267</v>
      </c>
    </row>
    <row r="31" spans="1:33" s="514" customFormat="1" ht="12.75">
      <c r="A31" s="101" t="s">
        <v>174</v>
      </c>
      <c r="B31" s="513">
        <f>'Datu ievade'!E257*'Datu ievade'!B393</f>
        <v>5000</v>
      </c>
      <c r="C31" s="513">
        <f>'Datu ievade'!F257*'Datu ievade'!C393</f>
        <v>5000</v>
      </c>
      <c r="D31" s="513">
        <f>'Datu ievade'!G257*'Datu ievade'!D393</f>
        <v>5775</v>
      </c>
      <c r="E31" s="513">
        <f>'Datu ievade'!H257*'Datu ievade'!E393</f>
        <v>5900</v>
      </c>
      <c r="F31" s="513">
        <f>'Datu ievade'!I257*'Datu ievade'!F393</f>
        <v>6025</v>
      </c>
      <c r="G31" s="513">
        <f>'Datu ievade'!J257*'Datu ievade'!G393</f>
        <v>6125</v>
      </c>
      <c r="H31" s="513">
        <f>'Datu ievade'!K257*'Datu ievade'!H393</f>
        <v>6225</v>
      </c>
      <c r="I31" s="513">
        <f>'Datu ievade'!L257*'Datu ievade'!I393</f>
        <v>6350</v>
      </c>
      <c r="J31" s="513">
        <f>'Datu ievade'!M257*'Datu ievade'!J393</f>
        <v>6450</v>
      </c>
      <c r="K31" s="513">
        <f>'Datu ievade'!N257*'Datu ievade'!K393</f>
        <v>6475</v>
      </c>
      <c r="L31" s="513">
        <f>'Datu ievade'!O257*'Datu ievade'!L393</f>
        <v>6475</v>
      </c>
      <c r="M31" s="513">
        <f>'Datu ievade'!P257*'Datu ievade'!M393</f>
        <v>6600</v>
      </c>
      <c r="N31" s="513">
        <f>'Datu ievade'!Q257*'Datu ievade'!N393</f>
        <v>6700</v>
      </c>
      <c r="O31" s="513">
        <f>'Datu ievade'!R257*'Datu ievade'!O393</f>
        <v>6800.000000000001</v>
      </c>
      <c r="P31" s="513">
        <f>'Datu ievade'!S257*'Datu ievade'!P393</f>
        <v>6950.000000000001</v>
      </c>
      <c r="Q31" s="513">
        <f>'Datu ievade'!T257*'Datu ievade'!Q393</f>
        <v>7099.999999999999</v>
      </c>
      <c r="R31" s="513">
        <f>'Datu ievade'!U257*'Datu ievade'!R393</f>
        <v>7074.999999999999</v>
      </c>
      <c r="S31" s="513">
        <f>'Datu ievade'!V257*'Datu ievade'!S393</f>
        <v>6850.000000000001</v>
      </c>
      <c r="T31" s="513">
        <f>'Datu ievade'!W257*'Datu ievade'!T393</f>
        <v>7000.000000000001</v>
      </c>
      <c r="U31" s="513">
        <f>'Datu ievade'!X257*'Datu ievade'!U393</f>
        <v>7124.999999999999</v>
      </c>
      <c r="V31" s="513">
        <f>'Datu ievade'!Y257*'Datu ievade'!V393</f>
        <v>7299.999999999999</v>
      </c>
      <c r="W31" s="513">
        <f>'Datu ievade'!Z257*'Datu ievade'!W393</f>
        <v>7450</v>
      </c>
      <c r="X31" s="513">
        <f>'Datu ievade'!AA257*'Datu ievade'!X393</f>
        <v>7600</v>
      </c>
      <c r="Y31" s="513">
        <f>'Datu ievade'!AB257*'Datu ievade'!Y393</f>
        <v>7750</v>
      </c>
      <c r="Z31" s="513">
        <f>'Datu ievade'!AC257*'Datu ievade'!Z393</f>
        <v>7925</v>
      </c>
      <c r="AA31" s="513">
        <f>'Datu ievade'!AD257*'Datu ievade'!AA393</f>
        <v>8075</v>
      </c>
      <c r="AB31" s="513">
        <f>'Datu ievade'!AE257*'Datu ievade'!AB393</f>
        <v>8225</v>
      </c>
      <c r="AC31" s="513">
        <f>'Datu ievade'!AF257*'Datu ievade'!AC393</f>
        <v>8400</v>
      </c>
      <c r="AD31" s="513">
        <f>'Datu ievade'!AG257*'Datu ievade'!AD393</f>
        <v>8550</v>
      </c>
      <c r="AE31" s="513">
        <f>'Datu ievade'!AH257*'Datu ievade'!AE393</f>
        <v>8700</v>
      </c>
      <c r="AF31" s="513">
        <f>'Datu ievade'!AI257*'Datu ievade'!AF393</f>
        <v>8850</v>
      </c>
      <c r="AG31" s="513">
        <f>'Datu ievade'!AJ257*'Datu ievade'!AG393</f>
        <v>9050</v>
      </c>
    </row>
    <row r="32" spans="1:33" s="514" customFormat="1" ht="12.75">
      <c r="A32" s="515" t="s">
        <v>175</v>
      </c>
      <c r="B32" s="118">
        <f aca="true" t="shared" si="4" ref="B32:AG32">SUM(B29:B31)</f>
        <v>14733.75</v>
      </c>
      <c r="C32" s="118">
        <f t="shared" si="4"/>
        <v>14733.75</v>
      </c>
      <c r="D32" s="118">
        <f t="shared" si="4"/>
        <v>17017.48125</v>
      </c>
      <c r="E32" s="118">
        <f t="shared" si="4"/>
        <v>17385.824999999997</v>
      </c>
      <c r="F32" s="118">
        <f t="shared" si="4"/>
        <v>17754.168749999997</v>
      </c>
      <c r="G32" s="118">
        <f t="shared" si="4"/>
        <v>18048.84375</v>
      </c>
      <c r="H32" s="118">
        <f t="shared" si="4"/>
        <v>18343.51875</v>
      </c>
      <c r="I32" s="118">
        <f t="shared" si="4"/>
        <v>18711.8625</v>
      </c>
      <c r="J32" s="118">
        <f t="shared" si="4"/>
        <v>19006.5375</v>
      </c>
      <c r="K32" s="118">
        <f t="shared" si="4"/>
        <v>19080.206250000003</v>
      </c>
      <c r="L32" s="118">
        <f t="shared" si="4"/>
        <v>19080.206250000003</v>
      </c>
      <c r="M32" s="118">
        <f t="shared" si="4"/>
        <v>19448.550000000003</v>
      </c>
      <c r="N32" s="118">
        <f t="shared" si="4"/>
        <v>19743.225</v>
      </c>
      <c r="O32" s="118">
        <f t="shared" si="4"/>
        <v>20037.9</v>
      </c>
      <c r="P32" s="118">
        <f t="shared" si="4"/>
        <v>20479.912500000002</v>
      </c>
      <c r="Q32" s="118">
        <f t="shared" si="4"/>
        <v>20921.925</v>
      </c>
      <c r="R32" s="118">
        <f t="shared" si="4"/>
        <v>20848.25625</v>
      </c>
      <c r="S32" s="118">
        <f t="shared" si="4"/>
        <v>20185.237500000003</v>
      </c>
      <c r="T32" s="118">
        <f t="shared" si="4"/>
        <v>20627.250000000004</v>
      </c>
      <c r="U32" s="118">
        <f t="shared" si="4"/>
        <v>20995.593749999996</v>
      </c>
      <c r="V32" s="118">
        <f t="shared" si="4"/>
        <v>21511.274999999998</v>
      </c>
      <c r="W32" s="118">
        <f t="shared" si="4"/>
        <v>21953.2875</v>
      </c>
      <c r="X32" s="118">
        <f t="shared" si="4"/>
        <v>22395.3</v>
      </c>
      <c r="Y32" s="118">
        <f t="shared" si="4"/>
        <v>22837.3125</v>
      </c>
      <c r="Z32" s="118">
        <f t="shared" si="4"/>
        <v>23352.99375</v>
      </c>
      <c r="AA32" s="118">
        <f t="shared" si="4"/>
        <v>23795.00625</v>
      </c>
      <c r="AB32" s="118">
        <f t="shared" si="4"/>
        <v>24237.018750000003</v>
      </c>
      <c r="AC32" s="118">
        <f t="shared" si="4"/>
        <v>24752.7</v>
      </c>
      <c r="AD32" s="118">
        <f t="shared" si="4"/>
        <v>25194.7125</v>
      </c>
      <c r="AE32" s="118">
        <f t="shared" si="4"/>
        <v>25636.725</v>
      </c>
      <c r="AF32" s="118">
        <f t="shared" si="4"/>
        <v>26078.7375</v>
      </c>
      <c r="AG32" s="118">
        <f t="shared" si="4"/>
        <v>26668.0875</v>
      </c>
    </row>
    <row r="33" spans="1:33" s="514" customFormat="1" ht="12.75">
      <c r="A33" s="101" t="s">
        <v>176</v>
      </c>
      <c r="B33" s="513">
        <f>'Datu ievade'!B398*'Datu ievade'!E276</f>
        <v>12165.449999999999</v>
      </c>
      <c r="C33" s="513">
        <f>'Datu ievade'!C398*'Datu ievade'!F276</f>
        <v>12165.449999999999</v>
      </c>
      <c r="D33" s="513">
        <f>'Datu ievade'!D398*'Datu ievade'!G276</f>
        <v>14679.643</v>
      </c>
      <c r="E33" s="513">
        <f>'Datu ievade'!E398*'Datu ievade'!H276</f>
        <v>15004.055</v>
      </c>
      <c r="F33" s="513">
        <f>'Datu ievade'!F398*'Datu ievade'!I276</f>
        <v>15328.467</v>
      </c>
      <c r="G33" s="513">
        <f>'Datu ievade'!G398*'Datu ievade'!J276</f>
        <v>15612.327500000001</v>
      </c>
      <c r="H33" s="513">
        <f>'Datu ievade'!H398*'Datu ievade'!K276</f>
        <v>15896.188</v>
      </c>
      <c r="I33" s="513">
        <f>'Datu ievade'!I398*'Datu ievade'!L276</f>
        <v>16180.0485</v>
      </c>
      <c r="J33" s="513">
        <f>'Datu ievade'!J398*'Datu ievade'!M276</f>
        <v>16139.497000000001</v>
      </c>
      <c r="K33" s="513">
        <f>'Datu ievade'!K398*'Datu ievade'!N276</f>
        <v>16423.357500000002</v>
      </c>
      <c r="L33" s="513">
        <f>'Datu ievade'!L398*'Datu ievade'!O276</f>
        <v>15571.776</v>
      </c>
      <c r="M33" s="513">
        <f>'Datu ievade'!M398*'Datu ievade'!P276</f>
        <v>15855.6365</v>
      </c>
      <c r="N33" s="513">
        <f>'Datu ievade'!N398*'Datu ievade'!Q276</f>
        <v>16139.497000000001</v>
      </c>
      <c r="O33" s="513">
        <f>'Datu ievade'!O398*'Datu ievade'!R276</f>
        <v>16423.357500000002</v>
      </c>
      <c r="P33" s="513">
        <f>'Datu ievade'!P398*'Datu ievade'!S276</f>
        <v>16828.872499999998</v>
      </c>
      <c r="Q33" s="513">
        <f>'Datu ievade'!Q398*'Datu ievade'!T276</f>
        <v>17193.836</v>
      </c>
      <c r="R33" s="513">
        <f>'Datu ievade'!R398*'Datu ievade'!U276</f>
        <v>17558.7995</v>
      </c>
      <c r="S33" s="513">
        <f>'Datu ievade'!S398*'Datu ievade'!V276</f>
        <v>17964.3145</v>
      </c>
      <c r="T33" s="513">
        <f>'Datu ievade'!T398*'Datu ievade'!W276</f>
        <v>18329.278000000002</v>
      </c>
      <c r="U33" s="513">
        <f>'Datu ievade'!U398*'Datu ievade'!X276</f>
        <v>18694.2415</v>
      </c>
      <c r="V33" s="513">
        <f>'Datu ievade'!V398*'Datu ievade'!Y276</f>
        <v>19140.307999999997</v>
      </c>
      <c r="W33" s="513">
        <f>'Datu ievade'!W398*'Datu ievade'!Z276</f>
        <v>19545.823</v>
      </c>
      <c r="X33" s="513">
        <f>'Datu ievade'!X398*'Datu ievade'!AA276</f>
        <v>19951.338</v>
      </c>
      <c r="Y33" s="513">
        <f>'Datu ievade'!Y398*'Datu ievade'!AB276</f>
        <v>20356.853</v>
      </c>
      <c r="Z33" s="513">
        <f>'Datu ievade'!Z398*'Datu ievade'!AC276</f>
        <v>20762.368000000002</v>
      </c>
      <c r="AA33" s="513">
        <f>'Datu ievade'!AA398*'Datu ievade'!AD276</f>
        <v>21167.883</v>
      </c>
      <c r="AB33" s="513">
        <f>'Datu ievade'!AB398*'Datu ievade'!AE276</f>
        <v>21573.398</v>
      </c>
      <c r="AC33" s="513">
        <f>'Datu ievade'!AC398*'Datu ievade'!AF276</f>
        <v>21978.913</v>
      </c>
      <c r="AD33" s="513">
        <f>'Datu ievade'!AD398*'Datu ievade'!AG276</f>
        <v>22424.9795</v>
      </c>
      <c r="AE33" s="513">
        <f>'Datu ievade'!AE398*'Datu ievade'!AH276</f>
        <v>22830.494499999997</v>
      </c>
      <c r="AF33" s="513">
        <f>'Datu ievade'!AF398*'Datu ievade'!AI276</f>
        <v>23236.009499999996</v>
      </c>
      <c r="AG33" s="513">
        <f>'Datu ievade'!AG398*'Datu ievade'!AJ276</f>
        <v>23722.6275</v>
      </c>
    </row>
    <row r="34" spans="1:33" s="514" customFormat="1" ht="12.75">
      <c r="A34" s="101" t="s">
        <v>177</v>
      </c>
      <c r="B34" s="513">
        <f>'Datu ievade'!E284*'Datu ievade'!B398</f>
        <v>1350</v>
      </c>
      <c r="C34" s="513">
        <f>'Datu ievade'!F284*'Datu ievade'!C398</f>
        <v>1350</v>
      </c>
      <c r="D34" s="513">
        <f>'Datu ievade'!G284*'Datu ievade'!D398</f>
        <v>1629</v>
      </c>
      <c r="E34" s="513">
        <f>'Datu ievade'!H284*'Datu ievade'!E398</f>
        <v>1665</v>
      </c>
      <c r="F34" s="513">
        <f>'Datu ievade'!I284*'Datu ievade'!F398</f>
        <v>1701</v>
      </c>
      <c r="G34" s="513">
        <f>'Datu ievade'!J284*'Datu ievade'!G398</f>
        <v>1732.5</v>
      </c>
      <c r="H34" s="513">
        <f>'Datu ievade'!K284*'Datu ievade'!H398</f>
        <v>1764</v>
      </c>
      <c r="I34" s="513">
        <f>'Datu ievade'!L284*'Datu ievade'!I398</f>
        <v>1795.5</v>
      </c>
      <c r="J34" s="513">
        <f>'Datu ievade'!M284*'Datu ievade'!J398</f>
        <v>1791</v>
      </c>
      <c r="K34" s="513">
        <f>'Datu ievade'!N284*'Datu ievade'!K398</f>
        <v>1822.5000000000002</v>
      </c>
      <c r="L34" s="513">
        <f>'Datu ievade'!O284*'Datu ievade'!L398</f>
        <v>1728</v>
      </c>
      <c r="M34" s="513">
        <f>'Datu ievade'!P284*'Datu ievade'!M398</f>
        <v>1759.5</v>
      </c>
      <c r="N34" s="513">
        <f>'Datu ievade'!Q284*'Datu ievade'!N398</f>
        <v>1791</v>
      </c>
      <c r="O34" s="513">
        <f>'Datu ievade'!R284*'Datu ievade'!O398</f>
        <v>1822.5000000000002</v>
      </c>
      <c r="P34" s="513">
        <f>'Datu ievade'!S284*'Datu ievade'!P398</f>
        <v>1867.5</v>
      </c>
      <c r="Q34" s="513">
        <f>'Datu ievade'!T284*'Datu ievade'!Q398</f>
        <v>1908</v>
      </c>
      <c r="R34" s="513">
        <f>'Datu ievade'!U284*'Datu ievade'!R398</f>
        <v>1948.5</v>
      </c>
      <c r="S34" s="513">
        <f>'Datu ievade'!V284*'Datu ievade'!S398</f>
        <v>1993.5</v>
      </c>
      <c r="T34" s="513">
        <f>'Datu ievade'!W284*'Datu ievade'!T398</f>
        <v>2034</v>
      </c>
      <c r="U34" s="513">
        <f>'Datu ievade'!X284*'Datu ievade'!U398</f>
        <v>2074.5</v>
      </c>
      <c r="V34" s="513">
        <f>'Datu ievade'!Y284*'Datu ievade'!V398</f>
        <v>2124</v>
      </c>
      <c r="W34" s="513">
        <f>'Datu ievade'!Z284*'Datu ievade'!W398</f>
        <v>2169</v>
      </c>
      <c r="X34" s="513">
        <f>'Datu ievade'!AA284*'Datu ievade'!X398</f>
        <v>2214</v>
      </c>
      <c r="Y34" s="513">
        <f>'Datu ievade'!AB284*'Datu ievade'!Y398</f>
        <v>2259</v>
      </c>
      <c r="Z34" s="513">
        <f>'Datu ievade'!AC284*'Datu ievade'!Z398</f>
        <v>2304</v>
      </c>
      <c r="AA34" s="513">
        <f>'Datu ievade'!AD284*'Datu ievade'!AA398</f>
        <v>2349</v>
      </c>
      <c r="AB34" s="513">
        <f>'Datu ievade'!AE284*'Datu ievade'!AB398</f>
        <v>2394</v>
      </c>
      <c r="AC34" s="513">
        <f>'Datu ievade'!AF284*'Datu ievade'!AC398</f>
        <v>2439</v>
      </c>
      <c r="AD34" s="513">
        <f>'Datu ievade'!AG284*'Datu ievade'!AD398</f>
        <v>2488.5</v>
      </c>
      <c r="AE34" s="513">
        <f>'Datu ievade'!AH284*'Datu ievade'!AE398</f>
        <v>2533.4999999999995</v>
      </c>
      <c r="AF34" s="513">
        <f>'Datu ievade'!AI284*'Datu ievade'!AF398</f>
        <v>2578.5</v>
      </c>
      <c r="AG34" s="513">
        <f>'Datu ievade'!AJ284*'Datu ievade'!AG398</f>
        <v>2632.5</v>
      </c>
    </row>
    <row r="35" spans="1:33" s="514" customFormat="1" ht="12.75">
      <c r="A35" s="101" t="s">
        <v>178</v>
      </c>
      <c r="B35" s="513">
        <f>'Datu ievade'!B398*'Datu ievade'!E291</f>
        <v>960</v>
      </c>
      <c r="C35" s="513">
        <f>'Datu ievade'!C398*'Datu ievade'!F291</f>
        <v>960</v>
      </c>
      <c r="D35" s="513">
        <f>'Datu ievade'!D398*'Datu ievade'!G291</f>
        <v>1158.3999999999999</v>
      </c>
      <c r="E35" s="513">
        <f>'Datu ievade'!E398*'Datu ievade'!H291</f>
        <v>1184</v>
      </c>
      <c r="F35" s="513">
        <f>'Datu ievade'!F398*'Datu ievade'!I291</f>
        <v>1209.6</v>
      </c>
      <c r="G35" s="513">
        <f>'Datu ievade'!G398*'Datu ievade'!J291</f>
        <v>1232</v>
      </c>
      <c r="H35" s="513">
        <f>'Datu ievade'!H398*'Datu ievade'!K291</f>
        <v>1254.4</v>
      </c>
      <c r="I35" s="513">
        <f>'Datu ievade'!I398*'Datu ievade'!L291</f>
        <v>1276.8000000000002</v>
      </c>
      <c r="J35" s="513">
        <f>'Datu ievade'!J398*'Datu ievade'!M291</f>
        <v>1273.6000000000001</v>
      </c>
      <c r="K35" s="513">
        <f>'Datu ievade'!K398*'Datu ievade'!N291</f>
        <v>1296</v>
      </c>
      <c r="L35" s="513">
        <f>'Datu ievade'!L398*'Datu ievade'!O291</f>
        <v>1228.8</v>
      </c>
      <c r="M35" s="513">
        <f>'Datu ievade'!M398*'Datu ievade'!P291</f>
        <v>1251.2</v>
      </c>
      <c r="N35" s="513">
        <f>'Datu ievade'!N398*'Datu ievade'!Q291</f>
        <v>1273.6000000000001</v>
      </c>
      <c r="O35" s="513">
        <f>'Datu ievade'!O398*'Datu ievade'!R291</f>
        <v>1296</v>
      </c>
      <c r="P35" s="513">
        <f>'Datu ievade'!P398*'Datu ievade'!S291</f>
        <v>1328</v>
      </c>
      <c r="Q35" s="513">
        <f>'Datu ievade'!Q398*'Datu ievade'!T291</f>
        <v>1356.8</v>
      </c>
      <c r="R35" s="513">
        <f>'Datu ievade'!R398*'Datu ievade'!U291</f>
        <v>1385.6</v>
      </c>
      <c r="S35" s="513">
        <f>'Datu ievade'!S398*'Datu ievade'!V291</f>
        <v>1417.6</v>
      </c>
      <c r="T35" s="513">
        <f>'Datu ievade'!T398*'Datu ievade'!W291</f>
        <v>1446.4</v>
      </c>
      <c r="U35" s="513">
        <f>'Datu ievade'!U398*'Datu ievade'!X291</f>
        <v>1475.2</v>
      </c>
      <c r="V35" s="513">
        <f>'Datu ievade'!V398*'Datu ievade'!Y291</f>
        <v>1510.3999999999999</v>
      </c>
      <c r="W35" s="513">
        <f>'Datu ievade'!W398*'Datu ievade'!Z291</f>
        <v>1542.3999999999999</v>
      </c>
      <c r="X35" s="513">
        <f>'Datu ievade'!X398*'Datu ievade'!AA291</f>
        <v>1574.4</v>
      </c>
      <c r="Y35" s="513">
        <f>'Datu ievade'!Y398*'Datu ievade'!AB291</f>
        <v>1606.4</v>
      </c>
      <c r="Z35" s="513">
        <f>'Datu ievade'!Z398*'Datu ievade'!AC291</f>
        <v>1638.4</v>
      </c>
      <c r="AA35" s="513">
        <f>'Datu ievade'!AA398*'Datu ievade'!AD291</f>
        <v>1670.4</v>
      </c>
      <c r="AB35" s="513">
        <f>'Datu ievade'!AB398*'Datu ievade'!AE291</f>
        <v>1702.4</v>
      </c>
      <c r="AC35" s="513">
        <f>'Datu ievade'!AC398*'Datu ievade'!AF291</f>
        <v>1734.4</v>
      </c>
      <c r="AD35" s="513">
        <f>'Datu ievade'!AD398*'Datu ievade'!AG291</f>
        <v>1769.6000000000001</v>
      </c>
      <c r="AE35" s="513">
        <f>'Datu ievade'!AE398*'Datu ievade'!AH291</f>
        <v>1801.6</v>
      </c>
      <c r="AF35" s="513">
        <f>'Datu ievade'!AF398*'Datu ievade'!AI291</f>
        <v>1833.6</v>
      </c>
      <c r="AG35" s="513">
        <f>'Datu ievade'!AG398*'Datu ievade'!AJ291</f>
        <v>1872</v>
      </c>
    </row>
    <row r="36" spans="1:33" s="328" customFormat="1" ht="12.75">
      <c r="A36" s="420" t="s">
        <v>179</v>
      </c>
      <c r="B36" s="325">
        <f aca="true" t="shared" si="5" ref="B36:AG36">SUM(B33:B35)</f>
        <v>14475.449999999999</v>
      </c>
      <c r="C36" s="325">
        <f t="shared" si="5"/>
        <v>14475.449999999999</v>
      </c>
      <c r="D36" s="325">
        <f t="shared" si="5"/>
        <v>17467.043</v>
      </c>
      <c r="E36" s="325">
        <f t="shared" si="5"/>
        <v>17853.055</v>
      </c>
      <c r="F36" s="325">
        <f t="shared" si="5"/>
        <v>18239.067</v>
      </c>
      <c r="G36" s="325">
        <f t="shared" si="5"/>
        <v>18576.8275</v>
      </c>
      <c r="H36" s="325">
        <f t="shared" si="5"/>
        <v>18914.588000000003</v>
      </c>
      <c r="I36" s="325">
        <f t="shared" si="5"/>
        <v>19252.3485</v>
      </c>
      <c r="J36" s="325">
        <f t="shared" si="5"/>
        <v>19204.097</v>
      </c>
      <c r="K36" s="325">
        <f t="shared" si="5"/>
        <v>19541.857500000002</v>
      </c>
      <c r="L36" s="325">
        <f t="shared" si="5"/>
        <v>18528.575999999997</v>
      </c>
      <c r="M36" s="325">
        <f t="shared" si="5"/>
        <v>18866.3365</v>
      </c>
      <c r="N36" s="325">
        <f t="shared" si="5"/>
        <v>19204.097</v>
      </c>
      <c r="O36" s="325">
        <f t="shared" si="5"/>
        <v>19541.857500000002</v>
      </c>
      <c r="P36" s="325">
        <f t="shared" si="5"/>
        <v>20024.372499999998</v>
      </c>
      <c r="Q36" s="325">
        <f t="shared" si="5"/>
        <v>20458.636</v>
      </c>
      <c r="R36" s="325">
        <f t="shared" si="5"/>
        <v>20892.8995</v>
      </c>
      <c r="S36" s="325">
        <f t="shared" si="5"/>
        <v>21375.4145</v>
      </c>
      <c r="T36" s="325">
        <f t="shared" si="5"/>
        <v>21809.678000000004</v>
      </c>
      <c r="U36" s="325">
        <f t="shared" si="5"/>
        <v>22243.9415</v>
      </c>
      <c r="V36" s="325">
        <f t="shared" si="5"/>
        <v>22774.708</v>
      </c>
      <c r="W36" s="325">
        <f t="shared" si="5"/>
        <v>23257.223</v>
      </c>
      <c r="X36" s="325">
        <f t="shared" si="5"/>
        <v>23739.738</v>
      </c>
      <c r="Y36" s="325">
        <f t="shared" si="5"/>
        <v>24222.253</v>
      </c>
      <c r="Z36" s="325">
        <f t="shared" si="5"/>
        <v>24704.768000000004</v>
      </c>
      <c r="AA36" s="325">
        <f t="shared" si="5"/>
        <v>25187.283000000003</v>
      </c>
      <c r="AB36" s="325">
        <f t="shared" si="5"/>
        <v>25669.798000000003</v>
      </c>
      <c r="AC36" s="325">
        <f t="shared" si="5"/>
        <v>26152.313000000002</v>
      </c>
      <c r="AD36" s="325">
        <f t="shared" si="5"/>
        <v>26683.0795</v>
      </c>
      <c r="AE36" s="325">
        <f t="shared" si="5"/>
        <v>27165.594499999996</v>
      </c>
      <c r="AF36" s="325">
        <f t="shared" si="5"/>
        <v>27648.109499999995</v>
      </c>
      <c r="AG36" s="325">
        <f t="shared" si="5"/>
        <v>28227.1275</v>
      </c>
    </row>
    <row r="37" spans="1:33" s="328" customFormat="1" ht="12.75">
      <c r="A37" s="418" t="s">
        <v>180</v>
      </c>
      <c r="B37" s="325">
        <f aca="true" t="shared" si="6" ref="B37:AG37">SUM(B32,B36)</f>
        <v>29209.199999999997</v>
      </c>
      <c r="C37" s="325">
        <f t="shared" si="6"/>
        <v>29209.199999999997</v>
      </c>
      <c r="D37" s="325">
        <f t="shared" si="6"/>
        <v>34484.52425</v>
      </c>
      <c r="E37" s="325">
        <f t="shared" si="6"/>
        <v>35238.88</v>
      </c>
      <c r="F37" s="325">
        <f t="shared" si="6"/>
        <v>35993.23574999999</v>
      </c>
      <c r="G37" s="325">
        <f t="shared" si="6"/>
        <v>36625.67125</v>
      </c>
      <c r="H37" s="325">
        <f t="shared" si="6"/>
        <v>37258.106750000006</v>
      </c>
      <c r="I37" s="325">
        <f t="shared" si="6"/>
        <v>37964.210999999996</v>
      </c>
      <c r="J37" s="325">
        <f t="shared" si="6"/>
        <v>38210.6345</v>
      </c>
      <c r="K37" s="325">
        <f t="shared" si="6"/>
        <v>38622.06375</v>
      </c>
      <c r="L37" s="325">
        <f t="shared" si="6"/>
        <v>37608.782250000004</v>
      </c>
      <c r="M37" s="325">
        <f t="shared" si="6"/>
        <v>38314.88650000001</v>
      </c>
      <c r="N37" s="325">
        <f t="shared" si="6"/>
        <v>38947.322</v>
      </c>
      <c r="O37" s="325">
        <f t="shared" si="6"/>
        <v>39579.75750000001</v>
      </c>
      <c r="P37" s="325">
        <f t="shared" si="6"/>
        <v>40504.285</v>
      </c>
      <c r="Q37" s="325">
        <f t="shared" si="6"/>
        <v>41380.561</v>
      </c>
      <c r="R37" s="325">
        <f t="shared" si="6"/>
        <v>41741.15575</v>
      </c>
      <c r="S37" s="325">
        <f t="shared" si="6"/>
        <v>41560.652</v>
      </c>
      <c r="T37" s="325">
        <f t="shared" si="6"/>
        <v>42436.92800000001</v>
      </c>
      <c r="U37" s="325">
        <f t="shared" si="6"/>
        <v>43239.53525</v>
      </c>
      <c r="V37" s="325">
        <f t="shared" si="6"/>
        <v>44285.98299999999</v>
      </c>
      <c r="W37" s="325">
        <f t="shared" si="6"/>
        <v>45210.510500000004</v>
      </c>
      <c r="X37" s="325">
        <f t="shared" si="6"/>
        <v>46135.038</v>
      </c>
      <c r="Y37" s="325">
        <f t="shared" si="6"/>
        <v>47059.5655</v>
      </c>
      <c r="Z37" s="325">
        <f t="shared" si="6"/>
        <v>48057.761750000005</v>
      </c>
      <c r="AA37" s="325">
        <f t="shared" si="6"/>
        <v>48982.28925</v>
      </c>
      <c r="AB37" s="325">
        <f t="shared" si="6"/>
        <v>49906.816750000005</v>
      </c>
      <c r="AC37" s="325">
        <f t="shared" si="6"/>
        <v>50905.013000000006</v>
      </c>
      <c r="AD37" s="325">
        <f t="shared" si="6"/>
        <v>51877.792</v>
      </c>
      <c r="AE37" s="325">
        <f t="shared" si="6"/>
        <v>52802.3195</v>
      </c>
      <c r="AF37" s="325">
        <f t="shared" si="6"/>
        <v>53726.846999999994</v>
      </c>
      <c r="AG37" s="325">
        <f t="shared" si="6"/>
        <v>54895.215</v>
      </c>
    </row>
    <row r="38" spans="1:33" s="328" customFormat="1" ht="12.75">
      <c r="A38" s="418" t="s">
        <v>181</v>
      </c>
      <c r="B38" s="325">
        <f aca="true" t="shared" si="7" ref="B38:AG38">B37-B28</f>
        <v>1890.1599999999962</v>
      </c>
      <c r="C38" s="325">
        <f t="shared" si="7"/>
        <v>1274.2887999999948</v>
      </c>
      <c r="D38" s="325">
        <f t="shared" si="7"/>
        <v>5864.251450000003</v>
      </c>
      <c r="E38" s="325">
        <f t="shared" si="7"/>
        <v>5933.245599999995</v>
      </c>
      <c r="F38" s="325">
        <f t="shared" si="7"/>
        <v>6002.239749999993</v>
      </c>
      <c r="G38" s="325">
        <f t="shared" si="7"/>
        <v>6018.804049999999</v>
      </c>
      <c r="H38" s="325">
        <f t="shared" si="7"/>
        <v>6035.368350000004</v>
      </c>
      <c r="I38" s="325">
        <f t="shared" si="7"/>
        <v>6125.6014</v>
      </c>
      <c r="J38" s="325">
        <f t="shared" si="7"/>
        <v>5756.153699999999</v>
      </c>
      <c r="K38" s="325">
        <f t="shared" si="7"/>
        <v>5551.711750000002</v>
      </c>
      <c r="L38" s="325">
        <f t="shared" si="7"/>
        <v>3922.5590500000035</v>
      </c>
      <c r="M38" s="325">
        <f t="shared" si="7"/>
        <v>4012.792100000006</v>
      </c>
      <c r="N38" s="325">
        <f t="shared" si="7"/>
        <v>4029.356400000004</v>
      </c>
      <c r="O38" s="325">
        <f t="shared" si="7"/>
        <v>4045.9207000000024</v>
      </c>
      <c r="P38" s="325">
        <f t="shared" si="7"/>
        <v>4150.877000000008</v>
      </c>
      <c r="Q38" s="325">
        <f t="shared" si="7"/>
        <v>4207.5818</v>
      </c>
      <c r="R38" s="325">
        <f t="shared" si="7"/>
        <v>3748.605349999998</v>
      </c>
      <c r="S38" s="325">
        <f t="shared" si="7"/>
        <v>2748.5304000000033</v>
      </c>
      <c r="T38" s="325">
        <f t="shared" si="7"/>
        <v>2805.235200000003</v>
      </c>
      <c r="U38" s="325">
        <f t="shared" si="7"/>
        <v>2788.2712500000052</v>
      </c>
      <c r="V38" s="325">
        <f t="shared" si="7"/>
        <v>2945.6573999999964</v>
      </c>
      <c r="W38" s="325">
        <f t="shared" si="7"/>
        <v>2981.1233000000066</v>
      </c>
      <c r="X38" s="325">
        <f t="shared" si="7"/>
        <v>3016.589200000002</v>
      </c>
      <c r="Y38" s="325">
        <f t="shared" si="7"/>
        <v>3052.0550999999978</v>
      </c>
      <c r="Z38" s="325">
        <f t="shared" si="7"/>
        <v>3161.189750000005</v>
      </c>
      <c r="AA38" s="325">
        <f t="shared" si="7"/>
        <v>3196.6556500000006</v>
      </c>
      <c r="AB38" s="325">
        <f t="shared" si="7"/>
        <v>3232.1215500000035</v>
      </c>
      <c r="AC38" s="325">
        <f t="shared" si="7"/>
        <v>3341.2562000000034</v>
      </c>
      <c r="AD38" s="325">
        <f t="shared" si="7"/>
        <v>3424.973600000005</v>
      </c>
      <c r="AE38" s="325">
        <f t="shared" si="7"/>
        <v>3460.439499999993</v>
      </c>
      <c r="AF38" s="325">
        <f t="shared" si="7"/>
        <v>3495.9053999999887</v>
      </c>
      <c r="AG38" s="325">
        <f t="shared" si="7"/>
        <v>3571.5118</v>
      </c>
    </row>
    <row r="39" spans="1:33" s="328" customFormat="1" ht="12.75">
      <c r="A39" s="451"/>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row>
    <row r="40" spans="1:33" s="328" customFormat="1" ht="31.5">
      <c r="A40" s="447" t="s">
        <v>425</v>
      </c>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row>
    <row r="41" spans="1:33" s="328" customFormat="1" ht="12.75">
      <c r="A41" s="41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row>
    <row r="42" spans="1:33" s="328" customFormat="1" ht="12.75">
      <c r="A42" s="412"/>
      <c r="B42" s="460">
        <f>B5</f>
        <v>2011</v>
      </c>
      <c r="C42" s="460">
        <f aca="true" t="shared" si="8" ref="C42:AG42">C5</f>
        <v>2012</v>
      </c>
      <c r="D42" s="460">
        <f t="shared" si="8"/>
        <v>2013</v>
      </c>
      <c r="E42" s="460">
        <f t="shared" si="8"/>
        <v>2014</v>
      </c>
      <c r="F42" s="460">
        <f t="shared" si="8"/>
        <v>2015</v>
      </c>
      <c r="G42" s="460">
        <f t="shared" si="8"/>
        <v>2016</v>
      </c>
      <c r="H42" s="460">
        <f t="shared" si="8"/>
        <v>2017</v>
      </c>
      <c r="I42" s="460">
        <f t="shared" si="8"/>
        <v>2018</v>
      </c>
      <c r="J42" s="460">
        <f t="shared" si="8"/>
        <v>2019</v>
      </c>
      <c r="K42" s="460">
        <f t="shared" si="8"/>
        <v>2020</v>
      </c>
      <c r="L42" s="460">
        <f t="shared" si="8"/>
        <v>2021</v>
      </c>
      <c r="M42" s="460">
        <f t="shared" si="8"/>
        <v>2022</v>
      </c>
      <c r="N42" s="460">
        <f t="shared" si="8"/>
        <v>2023</v>
      </c>
      <c r="O42" s="460">
        <f t="shared" si="8"/>
        <v>2024</v>
      </c>
      <c r="P42" s="460">
        <f t="shared" si="8"/>
        <v>2025</v>
      </c>
      <c r="Q42" s="460">
        <f t="shared" si="8"/>
        <v>2026</v>
      </c>
      <c r="R42" s="460">
        <f t="shared" si="8"/>
        <v>2027</v>
      </c>
      <c r="S42" s="460">
        <f t="shared" si="8"/>
        <v>2028</v>
      </c>
      <c r="T42" s="460">
        <f t="shared" si="8"/>
        <v>2029</v>
      </c>
      <c r="U42" s="460">
        <f t="shared" si="8"/>
        <v>2030</v>
      </c>
      <c r="V42" s="460">
        <f t="shared" si="8"/>
        <v>2031</v>
      </c>
      <c r="W42" s="460">
        <f t="shared" si="8"/>
        <v>2032</v>
      </c>
      <c r="X42" s="460">
        <f t="shared" si="8"/>
        <v>2033</v>
      </c>
      <c r="Y42" s="460">
        <f t="shared" si="8"/>
        <v>2034</v>
      </c>
      <c r="Z42" s="460">
        <f t="shared" si="8"/>
        <v>2035</v>
      </c>
      <c r="AA42" s="460">
        <f t="shared" si="8"/>
        <v>2036</v>
      </c>
      <c r="AB42" s="460">
        <f t="shared" si="8"/>
        <v>2037</v>
      </c>
      <c r="AC42" s="460">
        <f t="shared" si="8"/>
        <v>2038</v>
      </c>
      <c r="AD42" s="460">
        <f t="shared" si="8"/>
        <v>2039</v>
      </c>
      <c r="AE42" s="460">
        <f t="shared" si="8"/>
        <v>2040</v>
      </c>
      <c r="AF42" s="460">
        <f t="shared" si="8"/>
        <v>2041</v>
      </c>
      <c r="AG42" s="460">
        <f t="shared" si="8"/>
        <v>2042</v>
      </c>
    </row>
    <row r="43" spans="1:33" s="328" customFormat="1" ht="12.75">
      <c r="A43" s="413" t="s">
        <v>149</v>
      </c>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row>
    <row r="44" spans="1:33" s="328" customFormat="1" ht="12.75">
      <c r="A44" s="457" t="s">
        <v>150</v>
      </c>
      <c r="B44" s="461">
        <f>'Datu ievade'!B208</f>
        <v>5500</v>
      </c>
      <c r="C44" s="461">
        <f>'Datu ievade'!C208</f>
        <v>5610</v>
      </c>
      <c r="D44" s="461">
        <f>'Datu ievade'!D208</f>
        <v>4220</v>
      </c>
      <c r="E44" s="461">
        <f>'Datu ievade'!E208</f>
        <v>1330</v>
      </c>
      <c r="F44" s="461">
        <f>'Datu ievade'!F208</f>
        <v>990</v>
      </c>
      <c r="G44" s="461">
        <f>'Datu ievade'!G208</f>
        <v>1010</v>
      </c>
      <c r="H44" s="461">
        <f>'Datu ievade'!H208</f>
        <v>1030.000000000001</v>
      </c>
      <c r="I44" s="461">
        <f>'Datu ievade'!I208</f>
        <v>1049.999999999999</v>
      </c>
      <c r="J44" s="461">
        <f>'Datu ievade'!J208</f>
        <v>1070</v>
      </c>
      <c r="K44" s="461">
        <f>'Datu ievade'!K208</f>
        <v>1090</v>
      </c>
      <c r="L44" s="461">
        <f>'Datu ievade'!L208</f>
        <v>1110</v>
      </c>
      <c r="M44" s="461">
        <f>'Datu ievade'!M208</f>
        <v>1130</v>
      </c>
      <c r="N44" s="461">
        <f>'Datu ievade'!N208</f>
        <v>1150</v>
      </c>
      <c r="O44" s="461">
        <f>'Datu ievade'!O208</f>
        <v>1125</v>
      </c>
      <c r="P44" s="461">
        <f>'Datu ievade'!P208</f>
        <v>1155</v>
      </c>
      <c r="Q44" s="461">
        <f>'Datu ievade'!Q208</f>
        <v>1185</v>
      </c>
      <c r="R44" s="461">
        <f>'Datu ievade'!R208</f>
        <v>1215.0000000000018</v>
      </c>
      <c r="S44" s="461">
        <f>'Datu ievade'!S208</f>
        <v>1244.999999999999</v>
      </c>
      <c r="T44" s="461">
        <f>'Datu ievade'!T208</f>
        <v>1275</v>
      </c>
      <c r="U44" s="461">
        <f>'Datu ievade'!U208</f>
        <v>1305</v>
      </c>
      <c r="V44" s="461">
        <f>'Datu ievade'!V208</f>
        <v>1335</v>
      </c>
      <c r="W44" s="461">
        <f>'Datu ievade'!W208</f>
        <v>1365</v>
      </c>
      <c r="X44" s="461">
        <f>'Datu ievade'!X208</f>
        <v>1395</v>
      </c>
      <c r="Y44" s="461">
        <f>'Datu ievade'!Y208</f>
        <v>1425</v>
      </c>
      <c r="Z44" s="461">
        <f>'Datu ievade'!Z208</f>
        <v>1454.999999999999</v>
      </c>
      <c r="AA44" s="461">
        <f>'Datu ievade'!AA208</f>
        <v>1485</v>
      </c>
      <c r="AB44" s="461">
        <f>'Datu ievade'!AB208</f>
        <v>1515</v>
      </c>
      <c r="AC44" s="461">
        <f>'Datu ievade'!AC208</f>
        <v>1545</v>
      </c>
      <c r="AD44" s="461">
        <f>'Datu ievade'!AD208</f>
        <v>1575</v>
      </c>
      <c r="AE44" s="461">
        <f>'Datu ievade'!AE208</f>
        <v>1605</v>
      </c>
      <c r="AF44" s="461">
        <f>'Datu ievade'!AF208</f>
        <v>1590</v>
      </c>
      <c r="AG44" s="461">
        <f>'Datu ievade'!AG208</f>
        <v>1630</v>
      </c>
    </row>
    <row r="45" spans="1:33" s="328" customFormat="1" ht="12.75">
      <c r="A45" s="458" t="s">
        <v>151</v>
      </c>
      <c r="B45" s="461">
        <f>'Datu ievade'!B209</f>
        <v>3500</v>
      </c>
      <c r="C45" s="461">
        <f>'Datu ievade'!C209</f>
        <v>3570</v>
      </c>
      <c r="D45" s="461">
        <f>'Datu ievade'!D209</f>
        <v>3640</v>
      </c>
      <c r="E45" s="461">
        <f>'Datu ievade'!E209</f>
        <v>3810</v>
      </c>
      <c r="F45" s="461">
        <f>'Datu ievade'!F209</f>
        <v>3888.0000000000005</v>
      </c>
      <c r="G45" s="461">
        <f>'Datu ievade'!G209</f>
        <v>3960.0000000000005</v>
      </c>
      <c r="H45" s="461">
        <f>'Datu ievade'!H209</f>
        <v>4032.0000000000005</v>
      </c>
      <c r="I45" s="461">
        <f>'Datu ievade'!I209</f>
        <v>4103.999999999999</v>
      </c>
      <c r="J45" s="461">
        <f>'Datu ievade'!J209</f>
        <v>4175.999999999999</v>
      </c>
      <c r="K45" s="461">
        <f>'Datu ievade'!K209</f>
        <v>4248</v>
      </c>
      <c r="L45" s="461">
        <f>'Datu ievade'!L209</f>
        <v>4320</v>
      </c>
      <c r="M45" s="461">
        <f>'Datu ievade'!M209</f>
        <v>4392</v>
      </c>
      <c r="N45" s="461">
        <f>'Datu ievade'!N209</f>
        <v>4464</v>
      </c>
      <c r="O45" s="461">
        <f>'Datu ievade'!O209</f>
        <v>4536</v>
      </c>
      <c r="P45" s="461">
        <f>'Datu ievade'!P209</f>
        <v>4644</v>
      </c>
      <c r="Q45" s="461">
        <f>'Datu ievade'!Q209</f>
        <v>4752</v>
      </c>
      <c r="R45" s="461">
        <f>'Datu ievade'!R209</f>
        <v>4860</v>
      </c>
      <c r="S45" s="461">
        <f>'Datu ievade'!S209</f>
        <v>4968</v>
      </c>
      <c r="T45" s="461">
        <f>'Datu ievade'!T209</f>
        <v>5076</v>
      </c>
      <c r="U45" s="461">
        <f>'Datu ievade'!U209</f>
        <v>5184</v>
      </c>
      <c r="V45" s="461">
        <f>'Datu ievade'!V209</f>
        <v>5292</v>
      </c>
      <c r="W45" s="461">
        <f>'Datu ievade'!W209</f>
        <v>5400</v>
      </c>
      <c r="X45" s="461">
        <f>'Datu ievade'!X209</f>
        <v>5508</v>
      </c>
      <c r="Y45" s="461">
        <f>'Datu ievade'!Y209</f>
        <v>5616</v>
      </c>
      <c r="Z45" s="461">
        <f>'Datu ievade'!Z209</f>
        <v>5724</v>
      </c>
      <c r="AA45" s="461">
        <f>'Datu ievade'!AA209</f>
        <v>5832</v>
      </c>
      <c r="AB45" s="461">
        <f>'Datu ievade'!AB209</f>
        <v>5940</v>
      </c>
      <c r="AC45" s="461">
        <f>'Datu ievade'!AC209</f>
        <v>6048</v>
      </c>
      <c r="AD45" s="461">
        <f>'Datu ievade'!AD209</f>
        <v>6156</v>
      </c>
      <c r="AE45" s="461">
        <f>'Datu ievade'!AE209</f>
        <v>6264</v>
      </c>
      <c r="AF45" s="461">
        <f>'Datu ievade'!AF209</f>
        <v>6372</v>
      </c>
      <c r="AG45" s="461">
        <f>'Datu ievade'!AG209</f>
        <v>6516</v>
      </c>
    </row>
    <row r="46" spans="1:33" s="328" customFormat="1" ht="12.75">
      <c r="A46" s="458" t="s">
        <v>152</v>
      </c>
      <c r="B46" s="461">
        <f>'Datu ievade'!B210</f>
        <v>750</v>
      </c>
      <c r="C46" s="461">
        <f>'Datu ievade'!C210</f>
        <v>765</v>
      </c>
      <c r="D46" s="461">
        <f>'Datu ievade'!D210</f>
        <v>780</v>
      </c>
      <c r="E46" s="461">
        <f>'Datu ievade'!E210</f>
        <v>1045</v>
      </c>
      <c r="F46" s="461">
        <f>'Datu ievade'!F210</f>
        <v>1080</v>
      </c>
      <c r="G46" s="461">
        <f>'Datu ievade'!G210</f>
        <v>1100</v>
      </c>
      <c r="H46" s="461">
        <f>'Datu ievade'!H210</f>
        <v>1120</v>
      </c>
      <c r="I46" s="461">
        <f>'Datu ievade'!I210</f>
        <v>1140</v>
      </c>
      <c r="J46" s="461">
        <f>'Datu ievade'!J210</f>
        <v>1160</v>
      </c>
      <c r="K46" s="461">
        <f>'Datu ievade'!K210</f>
        <v>1180</v>
      </c>
      <c r="L46" s="461">
        <f>'Datu ievade'!L210</f>
        <v>1200</v>
      </c>
      <c r="M46" s="461">
        <f>'Datu ievade'!M210</f>
        <v>1220</v>
      </c>
      <c r="N46" s="461">
        <f>'Datu ievade'!N210</f>
        <v>1240</v>
      </c>
      <c r="O46" s="461">
        <f>'Datu ievade'!O210</f>
        <v>1260</v>
      </c>
      <c r="P46" s="461">
        <f>'Datu ievade'!P210</f>
        <v>1290</v>
      </c>
      <c r="Q46" s="461">
        <f>'Datu ievade'!Q210</f>
        <v>1320</v>
      </c>
      <c r="R46" s="461">
        <f>'Datu ievade'!R210</f>
        <v>1350</v>
      </c>
      <c r="S46" s="461">
        <f>'Datu ievade'!S210</f>
        <v>1380</v>
      </c>
      <c r="T46" s="461">
        <f>'Datu ievade'!T210</f>
        <v>1410</v>
      </c>
      <c r="U46" s="461">
        <f>'Datu ievade'!U210</f>
        <v>1440</v>
      </c>
      <c r="V46" s="461">
        <f>'Datu ievade'!V210</f>
        <v>1470</v>
      </c>
      <c r="W46" s="461">
        <f>'Datu ievade'!W210</f>
        <v>1500</v>
      </c>
      <c r="X46" s="461">
        <f>'Datu ievade'!X210</f>
        <v>1530</v>
      </c>
      <c r="Y46" s="461">
        <f>'Datu ievade'!Y210</f>
        <v>1560</v>
      </c>
      <c r="Z46" s="461">
        <f>'Datu ievade'!Z210</f>
        <v>1590</v>
      </c>
      <c r="AA46" s="461">
        <f>'Datu ievade'!AA210</f>
        <v>1620</v>
      </c>
      <c r="AB46" s="461">
        <f>'Datu ievade'!AB210</f>
        <v>1650</v>
      </c>
      <c r="AC46" s="461">
        <f>'Datu ievade'!AC210</f>
        <v>1680</v>
      </c>
      <c r="AD46" s="461">
        <f>'Datu ievade'!AD210</f>
        <v>1710</v>
      </c>
      <c r="AE46" s="461">
        <f>'Datu ievade'!AE210</f>
        <v>1740</v>
      </c>
      <c r="AF46" s="461">
        <f>'Datu ievade'!AF210</f>
        <v>1770</v>
      </c>
      <c r="AG46" s="461">
        <f>'Datu ievade'!AG210</f>
        <v>1810</v>
      </c>
    </row>
    <row r="47" spans="1:33" s="328" customFormat="1" ht="12.75">
      <c r="A47" s="458" t="s">
        <v>153</v>
      </c>
      <c r="B47" s="461">
        <f>'Datu ievade'!B211</f>
        <v>100</v>
      </c>
      <c r="C47" s="461">
        <f>'Datu ievade'!C211</f>
        <v>102</v>
      </c>
      <c r="D47" s="461">
        <f>'Datu ievade'!D211</f>
        <v>104</v>
      </c>
      <c r="E47" s="461">
        <f>'Datu ievade'!E211</f>
        <v>106</v>
      </c>
      <c r="F47" s="461">
        <f>'Datu ievade'!F211</f>
        <v>108</v>
      </c>
      <c r="G47" s="461">
        <f>'Datu ievade'!G211</f>
        <v>110.00000000000001</v>
      </c>
      <c r="H47" s="461">
        <f>'Datu ievade'!H211</f>
        <v>112.00000000000001</v>
      </c>
      <c r="I47" s="461">
        <f>'Datu ievade'!I211</f>
        <v>113.99999999999999</v>
      </c>
      <c r="J47" s="461">
        <f>'Datu ievade'!J211</f>
        <v>115.99999999999999</v>
      </c>
      <c r="K47" s="461">
        <f>'Datu ievade'!K211</f>
        <v>118</v>
      </c>
      <c r="L47" s="461">
        <f>'Datu ievade'!L211</f>
        <v>120</v>
      </c>
      <c r="M47" s="461">
        <f>'Datu ievade'!M211</f>
        <v>122</v>
      </c>
      <c r="N47" s="461">
        <f>'Datu ievade'!N211</f>
        <v>124</v>
      </c>
      <c r="O47" s="461">
        <f>'Datu ievade'!O211</f>
        <v>126</v>
      </c>
      <c r="P47" s="461">
        <f>'Datu ievade'!P211</f>
        <v>129</v>
      </c>
      <c r="Q47" s="461">
        <f>'Datu ievade'!Q211</f>
        <v>132</v>
      </c>
      <c r="R47" s="461">
        <f>'Datu ievade'!R211</f>
        <v>135</v>
      </c>
      <c r="S47" s="461">
        <f>'Datu ievade'!S211</f>
        <v>138</v>
      </c>
      <c r="T47" s="461">
        <f>'Datu ievade'!T211</f>
        <v>141</v>
      </c>
      <c r="U47" s="461">
        <f>'Datu ievade'!U211</f>
        <v>144</v>
      </c>
      <c r="V47" s="461">
        <f>'Datu ievade'!V211</f>
        <v>147</v>
      </c>
      <c r="W47" s="461">
        <f>'Datu ievade'!W211</f>
        <v>150</v>
      </c>
      <c r="X47" s="461">
        <f>'Datu ievade'!X211</f>
        <v>153</v>
      </c>
      <c r="Y47" s="461">
        <f>'Datu ievade'!Y211</f>
        <v>156</v>
      </c>
      <c r="Z47" s="461">
        <f>'Datu ievade'!Z211</f>
        <v>159</v>
      </c>
      <c r="AA47" s="461">
        <f>'Datu ievade'!AA211</f>
        <v>162</v>
      </c>
      <c r="AB47" s="461">
        <f>'Datu ievade'!AB211</f>
        <v>165</v>
      </c>
      <c r="AC47" s="461">
        <f>'Datu ievade'!AC211</f>
        <v>168</v>
      </c>
      <c r="AD47" s="461">
        <f>'Datu ievade'!AD211</f>
        <v>171</v>
      </c>
      <c r="AE47" s="461">
        <f>'Datu ievade'!AE211</f>
        <v>174</v>
      </c>
      <c r="AF47" s="461">
        <f>'Datu ievade'!AF211</f>
        <v>177</v>
      </c>
      <c r="AG47" s="461">
        <f>'Datu ievade'!AG211</f>
        <v>181</v>
      </c>
    </row>
    <row r="48" spans="1:33" s="328" customFormat="1" ht="12.75">
      <c r="A48" s="458" t="s">
        <v>154</v>
      </c>
      <c r="B48" s="461">
        <f>'Datu ievade'!B212</f>
        <v>0</v>
      </c>
      <c r="C48" s="461">
        <f>'Datu ievade'!C212</f>
        <v>0</v>
      </c>
      <c r="D48" s="461">
        <f>'Datu ievade'!D212</f>
        <v>-200</v>
      </c>
      <c r="E48" s="461">
        <f>'Datu ievade'!E212</f>
        <v>-400</v>
      </c>
      <c r="F48" s="461">
        <f>'Datu ievade'!F212</f>
        <v>-432</v>
      </c>
      <c r="G48" s="461">
        <f>'Datu ievade'!G212</f>
        <v>-440.00000000000006</v>
      </c>
      <c r="H48" s="461">
        <f>'Datu ievade'!H212</f>
        <v>-448.00000000000006</v>
      </c>
      <c r="I48" s="461">
        <f>'Datu ievade'!I212</f>
        <v>-455.99999999999994</v>
      </c>
      <c r="J48" s="461">
        <f>'Datu ievade'!J212</f>
        <v>-463.99999999999994</v>
      </c>
      <c r="K48" s="461">
        <f>'Datu ievade'!K212</f>
        <v>-472</v>
      </c>
      <c r="L48" s="461">
        <f>'Datu ievade'!L212</f>
        <v>-480</v>
      </c>
      <c r="M48" s="461">
        <f>'Datu ievade'!M212</f>
        <v>-488</v>
      </c>
      <c r="N48" s="461">
        <f>'Datu ievade'!N212</f>
        <v>-496</v>
      </c>
      <c r="O48" s="461">
        <f>'Datu ievade'!O212</f>
        <v>-504</v>
      </c>
      <c r="P48" s="461">
        <f>'Datu ievade'!P212</f>
        <v>-516</v>
      </c>
      <c r="Q48" s="461">
        <f>'Datu ievade'!Q212</f>
        <v>-528</v>
      </c>
      <c r="R48" s="461">
        <f>'Datu ievade'!R212</f>
        <v>-540</v>
      </c>
      <c r="S48" s="461">
        <f>'Datu ievade'!S212</f>
        <v>-552</v>
      </c>
      <c r="T48" s="461">
        <f>'Datu ievade'!T212</f>
        <v>-564</v>
      </c>
      <c r="U48" s="461">
        <f>'Datu ievade'!U212</f>
        <v>-576</v>
      </c>
      <c r="V48" s="461">
        <f>'Datu ievade'!V212</f>
        <v>-588</v>
      </c>
      <c r="W48" s="461">
        <f>'Datu ievade'!W212</f>
        <v>-600</v>
      </c>
      <c r="X48" s="461">
        <f>'Datu ievade'!X212</f>
        <v>-612</v>
      </c>
      <c r="Y48" s="461">
        <f>'Datu ievade'!Y212</f>
        <v>-624</v>
      </c>
      <c r="Z48" s="461">
        <f>'Datu ievade'!Z212</f>
        <v>-636</v>
      </c>
      <c r="AA48" s="461">
        <f>'Datu ievade'!AA212</f>
        <v>-648</v>
      </c>
      <c r="AB48" s="461">
        <f>'Datu ievade'!AB212</f>
        <v>-660</v>
      </c>
      <c r="AC48" s="461">
        <f>'Datu ievade'!AC212</f>
        <v>-672</v>
      </c>
      <c r="AD48" s="461">
        <f>'Datu ievade'!AD212</f>
        <v>-684</v>
      </c>
      <c r="AE48" s="461">
        <f>'Datu ievade'!AE212</f>
        <v>-696</v>
      </c>
      <c r="AF48" s="461">
        <f>'Datu ievade'!AF212</f>
        <v>-708</v>
      </c>
      <c r="AG48" s="461">
        <f>'Datu ievade'!AG212</f>
        <v>-724</v>
      </c>
    </row>
    <row r="49" spans="1:33" s="328" customFormat="1" ht="12.75">
      <c r="A49" s="459" t="s">
        <v>155</v>
      </c>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row>
    <row r="50" spans="1:33" s="328" customFormat="1" ht="12.75">
      <c r="A50" s="457" t="s">
        <v>156</v>
      </c>
      <c r="B50" s="461">
        <f>'Datu ievade'!B219</f>
        <v>5570</v>
      </c>
      <c r="C50" s="461">
        <f>'Datu ievade'!C219</f>
        <v>5681.400000000001</v>
      </c>
      <c r="D50" s="461">
        <f>'Datu ievade'!D219</f>
        <v>4792.8</v>
      </c>
      <c r="E50" s="461">
        <f>'Datu ievade'!E219</f>
        <v>904.2000000000007</v>
      </c>
      <c r="F50" s="461">
        <f>'Datu ievade'!F219</f>
        <v>615.6000000000004</v>
      </c>
      <c r="G50" s="461">
        <f>'Datu ievade'!G219</f>
        <v>627.0000000000009</v>
      </c>
      <c r="H50" s="461">
        <f>'Datu ievade'!H219</f>
        <v>638.3999999999996</v>
      </c>
      <c r="I50" s="461">
        <f>'Datu ievade'!I219</f>
        <v>649.8000000000002</v>
      </c>
      <c r="J50" s="461">
        <f>'Datu ievade'!J219</f>
        <v>661.1999999999998</v>
      </c>
      <c r="K50" s="461">
        <f>'Datu ievade'!K219</f>
        <v>672.5999999999995</v>
      </c>
      <c r="L50" s="461">
        <f>'Datu ievade'!L219</f>
        <v>684</v>
      </c>
      <c r="M50" s="461">
        <f>'Datu ievade'!M219</f>
        <v>695.3999999999996</v>
      </c>
      <c r="N50" s="461">
        <f>'Datu ievade'!N219</f>
        <v>706.8000000000002</v>
      </c>
      <c r="O50" s="461">
        <f>'Datu ievade'!O219</f>
        <v>718.1999999999998</v>
      </c>
      <c r="P50" s="461">
        <f>'Datu ievade'!P219</f>
        <v>735.3000000000002</v>
      </c>
      <c r="Q50" s="461">
        <f>'Datu ievade'!Q219</f>
        <v>752.4000000000005</v>
      </c>
      <c r="R50" s="461">
        <f>'Datu ievade'!R219</f>
        <v>769.5000000000009</v>
      </c>
      <c r="S50" s="461">
        <f>'Datu ievade'!S219</f>
        <v>786.6000000000004</v>
      </c>
      <c r="T50" s="461">
        <f>'Datu ievade'!T219</f>
        <v>803.6999999999998</v>
      </c>
      <c r="U50" s="461">
        <f>'Datu ievade'!U219</f>
        <v>820.7999999999993</v>
      </c>
      <c r="V50" s="461">
        <f>'Datu ievade'!V219</f>
        <v>837.8999999999996</v>
      </c>
      <c r="W50" s="461">
        <f>'Datu ievade'!W219</f>
        <v>855</v>
      </c>
      <c r="X50" s="461">
        <f>'Datu ievade'!X219</f>
        <v>872.1000000000004</v>
      </c>
      <c r="Y50" s="461">
        <f>'Datu ievade'!Y219</f>
        <v>889.2000000000007</v>
      </c>
      <c r="Z50" s="461">
        <f>'Datu ievade'!Z219</f>
        <v>906.3000000000011</v>
      </c>
      <c r="AA50" s="461">
        <f>'Datu ievade'!AA219</f>
        <v>923.4000000000005</v>
      </c>
      <c r="AB50" s="461">
        <f>'Datu ievade'!AB219</f>
        <v>940.5</v>
      </c>
      <c r="AC50" s="461">
        <f>'Datu ievade'!AC219</f>
        <v>957.6000000000004</v>
      </c>
      <c r="AD50" s="461">
        <f>'Datu ievade'!AD219</f>
        <v>974.6999999999989</v>
      </c>
      <c r="AE50" s="461">
        <f>'Datu ievade'!AE219</f>
        <v>991.7999999999993</v>
      </c>
      <c r="AF50" s="461">
        <f>'Datu ievade'!AF219</f>
        <v>1008.8999999999996</v>
      </c>
      <c r="AG50" s="461">
        <f>'Datu ievade'!AG219</f>
        <v>1031.7000000000007</v>
      </c>
    </row>
    <row r="51" spans="1:33" s="328" customFormat="1" ht="12.75">
      <c r="A51" s="458" t="s">
        <v>157</v>
      </c>
      <c r="B51" s="461">
        <f>'Datu ievade'!B220</f>
        <v>4400</v>
      </c>
      <c r="C51" s="461">
        <f>'Datu ievade'!C220</f>
        <v>4488</v>
      </c>
      <c r="D51" s="461">
        <f>'Datu ievade'!D220</f>
        <v>4576</v>
      </c>
      <c r="E51" s="461">
        <f>'Datu ievade'!E220</f>
        <v>4764</v>
      </c>
      <c r="F51" s="461">
        <f>'Datu ievade'!F220</f>
        <v>4860</v>
      </c>
      <c r="G51" s="461">
        <f>'Datu ievade'!G220</f>
        <v>4950</v>
      </c>
      <c r="H51" s="461">
        <f>'Datu ievade'!H220</f>
        <v>5040.000000000001</v>
      </c>
      <c r="I51" s="461">
        <f>'Datu ievade'!I220</f>
        <v>5130</v>
      </c>
      <c r="J51" s="461">
        <f>'Datu ievade'!J220</f>
        <v>5220</v>
      </c>
      <c r="K51" s="461">
        <f>'Datu ievade'!K220</f>
        <v>5310</v>
      </c>
      <c r="L51" s="461">
        <f>'Datu ievade'!L220</f>
        <v>5400</v>
      </c>
      <c r="M51" s="461">
        <f>'Datu ievade'!M220</f>
        <v>5490</v>
      </c>
      <c r="N51" s="461">
        <f>'Datu ievade'!N220</f>
        <v>5580</v>
      </c>
      <c r="O51" s="461">
        <f>'Datu ievade'!O220</f>
        <v>5670</v>
      </c>
      <c r="P51" s="461">
        <f>'Datu ievade'!P220</f>
        <v>5805</v>
      </c>
      <c r="Q51" s="461">
        <f>'Datu ievade'!Q220</f>
        <v>5940</v>
      </c>
      <c r="R51" s="461">
        <f>'Datu ievade'!R220</f>
        <v>6075</v>
      </c>
      <c r="S51" s="461">
        <f>'Datu ievade'!S220</f>
        <v>6209.999999999999</v>
      </c>
      <c r="T51" s="461">
        <f>'Datu ievade'!T220</f>
        <v>6345</v>
      </c>
      <c r="U51" s="461">
        <f>'Datu ievade'!U220</f>
        <v>6480</v>
      </c>
      <c r="V51" s="461">
        <f>'Datu ievade'!V220</f>
        <v>6615</v>
      </c>
      <c r="W51" s="461">
        <f>'Datu ievade'!W220</f>
        <v>6750</v>
      </c>
      <c r="X51" s="461">
        <f>'Datu ievade'!X220</f>
        <v>6885</v>
      </c>
      <c r="Y51" s="461">
        <f>'Datu ievade'!Y220</f>
        <v>7020</v>
      </c>
      <c r="Z51" s="461">
        <f>'Datu ievade'!Z220</f>
        <v>7155</v>
      </c>
      <c r="AA51" s="461">
        <f>'Datu ievade'!AA220</f>
        <v>7290.000000000001</v>
      </c>
      <c r="AB51" s="461">
        <f>'Datu ievade'!AB220</f>
        <v>7425</v>
      </c>
      <c r="AC51" s="461">
        <f>'Datu ievade'!AC220</f>
        <v>7560</v>
      </c>
      <c r="AD51" s="461">
        <f>'Datu ievade'!AD220</f>
        <v>7695</v>
      </c>
      <c r="AE51" s="461">
        <f>'Datu ievade'!AE220</f>
        <v>7830</v>
      </c>
      <c r="AF51" s="461">
        <f>'Datu ievade'!AF220</f>
        <v>7965</v>
      </c>
      <c r="AG51" s="461">
        <f>'Datu ievade'!AG220</f>
        <v>8145</v>
      </c>
    </row>
    <row r="52" spans="1:33" s="328" customFormat="1" ht="12.75">
      <c r="A52" s="458" t="s">
        <v>158</v>
      </c>
      <c r="B52" s="461">
        <f>'Datu ievade'!B221</f>
        <v>450</v>
      </c>
      <c r="C52" s="461">
        <f>'Datu ievade'!C221</f>
        <v>459</v>
      </c>
      <c r="D52" s="461">
        <f>'Datu ievade'!D221</f>
        <v>468</v>
      </c>
      <c r="E52" s="461">
        <f>'Datu ievade'!E221</f>
        <v>627</v>
      </c>
      <c r="F52" s="461">
        <f>'Datu ievade'!F221</f>
        <v>648</v>
      </c>
      <c r="G52" s="461">
        <f>'Datu ievade'!G221</f>
        <v>660</v>
      </c>
      <c r="H52" s="461">
        <f>'Datu ievade'!H221</f>
        <v>672.0000000000001</v>
      </c>
      <c r="I52" s="461">
        <f>'Datu ievade'!I221</f>
        <v>684</v>
      </c>
      <c r="J52" s="461">
        <f>'Datu ievade'!J221</f>
        <v>696</v>
      </c>
      <c r="K52" s="461">
        <f>'Datu ievade'!K221</f>
        <v>708</v>
      </c>
      <c r="L52" s="461">
        <f>'Datu ievade'!L221</f>
        <v>720</v>
      </c>
      <c r="M52" s="461">
        <f>'Datu ievade'!M221</f>
        <v>732</v>
      </c>
      <c r="N52" s="461">
        <f>'Datu ievade'!N221</f>
        <v>744</v>
      </c>
      <c r="O52" s="461">
        <f>'Datu ievade'!O221</f>
        <v>756</v>
      </c>
      <c r="P52" s="461">
        <f>'Datu ievade'!P221</f>
        <v>774</v>
      </c>
      <c r="Q52" s="461">
        <f>'Datu ievade'!Q221</f>
        <v>792</v>
      </c>
      <c r="R52" s="461">
        <f>'Datu ievade'!R221</f>
        <v>810</v>
      </c>
      <c r="S52" s="461">
        <f>'Datu ievade'!S221</f>
        <v>828</v>
      </c>
      <c r="T52" s="461">
        <f>'Datu ievade'!T221</f>
        <v>846</v>
      </c>
      <c r="U52" s="461">
        <f>'Datu ievade'!U221</f>
        <v>864</v>
      </c>
      <c r="V52" s="461">
        <f>'Datu ievade'!V221</f>
        <v>882</v>
      </c>
      <c r="W52" s="461">
        <f>'Datu ievade'!W221</f>
        <v>900</v>
      </c>
      <c r="X52" s="461">
        <f>'Datu ievade'!X221</f>
        <v>918</v>
      </c>
      <c r="Y52" s="461">
        <f>'Datu ievade'!Y221</f>
        <v>936</v>
      </c>
      <c r="Z52" s="461">
        <f>'Datu ievade'!Z221</f>
        <v>954</v>
      </c>
      <c r="AA52" s="461">
        <f>'Datu ievade'!AA221</f>
        <v>972</v>
      </c>
      <c r="AB52" s="461">
        <f>'Datu ievade'!AB221</f>
        <v>990</v>
      </c>
      <c r="AC52" s="461">
        <f>'Datu ievade'!AC221</f>
        <v>1008</v>
      </c>
      <c r="AD52" s="461">
        <f>'Datu ievade'!AD221</f>
        <v>1026</v>
      </c>
      <c r="AE52" s="461">
        <f>'Datu ievade'!AE221</f>
        <v>1044</v>
      </c>
      <c r="AF52" s="461">
        <f>'Datu ievade'!AF221</f>
        <v>1062</v>
      </c>
      <c r="AG52" s="461">
        <f>'Datu ievade'!AG221</f>
        <v>1086</v>
      </c>
    </row>
    <row r="53" spans="1:33" s="328" customFormat="1" ht="12.75">
      <c r="A53" s="458" t="s">
        <v>159</v>
      </c>
      <c r="B53" s="461">
        <f>'Datu ievade'!B222</f>
        <v>100</v>
      </c>
      <c r="C53" s="461">
        <f>'Datu ievade'!C222</f>
        <v>102</v>
      </c>
      <c r="D53" s="461">
        <f>'Datu ievade'!D222</f>
        <v>104</v>
      </c>
      <c r="E53" s="461">
        <f>'Datu ievade'!E222</f>
        <v>106</v>
      </c>
      <c r="F53" s="461">
        <f>'Datu ievade'!F222</f>
        <v>108</v>
      </c>
      <c r="G53" s="461">
        <f>'Datu ievade'!G222</f>
        <v>110.00000000000001</v>
      </c>
      <c r="H53" s="461">
        <f>'Datu ievade'!H222</f>
        <v>112.00000000000001</v>
      </c>
      <c r="I53" s="461">
        <f>'Datu ievade'!I222</f>
        <v>113.99999999999999</v>
      </c>
      <c r="J53" s="461">
        <f>'Datu ievade'!J222</f>
        <v>115.99999999999999</v>
      </c>
      <c r="K53" s="461">
        <f>'Datu ievade'!K222</f>
        <v>118</v>
      </c>
      <c r="L53" s="461">
        <f>'Datu ievade'!L222</f>
        <v>120</v>
      </c>
      <c r="M53" s="461">
        <f>'Datu ievade'!M222</f>
        <v>122</v>
      </c>
      <c r="N53" s="461">
        <f>'Datu ievade'!N222</f>
        <v>124</v>
      </c>
      <c r="O53" s="461">
        <f>'Datu ievade'!O222</f>
        <v>126</v>
      </c>
      <c r="P53" s="461">
        <f>'Datu ievade'!P222</f>
        <v>129</v>
      </c>
      <c r="Q53" s="461">
        <f>'Datu ievade'!Q222</f>
        <v>132</v>
      </c>
      <c r="R53" s="461">
        <f>'Datu ievade'!R222</f>
        <v>135</v>
      </c>
      <c r="S53" s="461">
        <f>'Datu ievade'!S222</f>
        <v>138</v>
      </c>
      <c r="T53" s="461">
        <f>'Datu ievade'!T222</f>
        <v>141</v>
      </c>
      <c r="U53" s="461">
        <f>'Datu ievade'!U222</f>
        <v>144</v>
      </c>
      <c r="V53" s="461">
        <f>'Datu ievade'!V222</f>
        <v>147</v>
      </c>
      <c r="W53" s="461">
        <f>'Datu ievade'!W222</f>
        <v>150</v>
      </c>
      <c r="X53" s="461">
        <f>'Datu ievade'!X222</f>
        <v>153</v>
      </c>
      <c r="Y53" s="461">
        <f>'Datu ievade'!Y222</f>
        <v>156</v>
      </c>
      <c r="Z53" s="461">
        <f>'Datu ievade'!Z222</f>
        <v>159</v>
      </c>
      <c r="AA53" s="461">
        <f>'Datu ievade'!AA222</f>
        <v>162</v>
      </c>
      <c r="AB53" s="461">
        <f>'Datu ievade'!AB222</f>
        <v>165</v>
      </c>
      <c r="AC53" s="461">
        <f>'Datu ievade'!AC222</f>
        <v>168</v>
      </c>
      <c r="AD53" s="461">
        <f>'Datu ievade'!AD222</f>
        <v>171</v>
      </c>
      <c r="AE53" s="461">
        <f>'Datu ievade'!AE222</f>
        <v>174</v>
      </c>
      <c r="AF53" s="461">
        <f>'Datu ievade'!AF222</f>
        <v>177</v>
      </c>
      <c r="AG53" s="461">
        <f>'Datu ievade'!AG222</f>
        <v>181</v>
      </c>
    </row>
    <row r="54" spans="1:33" s="328" customFormat="1" ht="12.75">
      <c r="A54" s="458" t="s">
        <v>160</v>
      </c>
      <c r="B54" s="461">
        <f>'Datu ievade'!B223</f>
        <v>0</v>
      </c>
      <c r="C54" s="461">
        <f>'Datu ievade'!C223</f>
        <v>0</v>
      </c>
      <c r="D54" s="461">
        <f>'Datu ievade'!D223</f>
        <v>-50</v>
      </c>
      <c r="E54" s="461">
        <f>'Datu ievade'!E223</f>
        <v>-400</v>
      </c>
      <c r="F54" s="461">
        <f>'Datu ievade'!F223</f>
        <v>-432</v>
      </c>
      <c r="G54" s="461">
        <f>'Datu ievade'!G223</f>
        <v>-440.00000000000006</v>
      </c>
      <c r="H54" s="461">
        <f>'Datu ievade'!H223</f>
        <v>-448.00000000000006</v>
      </c>
      <c r="I54" s="461">
        <f>'Datu ievade'!I223</f>
        <v>-455.99999999999994</v>
      </c>
      <c r="J54" s="461">
        <f>'Datu ievade'!J223</f>
        <v>-463.99999999999994</v>
      </c>
      <c r="K54" s="461">
        <f>'Datu ievade'!K223</f>
        <v>-472</v>
      </c>
      <c r="L54" s="461">
        <f>'Datu ievade'!L223</f>
        <v>-480</v>
      </c>
      <c r="M54" s="461">
        <f>'Datu ievade'!M223</f>
        <v>-488</v>
      </c>
      <c r="N54" s="461">
        <f>'Datu ievade'!N223</f>
        <v>-496</v>
      </c>
      <c r="O54" s="461">
        <f>'Datu ievade'!O223</f>
        <v>-504</v>
      </c>
      <c r="P54" s="461">
        <f>'Datu ievade'!P223</f>
        <v>-516</v>
      </c>
      <c r="Q54" s="461">
        <f>'Datu ievade'!Q223</f>
        <v>-528</v>
      </c>
      <c r="R54" s="461">
        <f>'Datu ievade'!R223</f>
        <v>-540</v>
      </c>
      <c r="S54" s="461">
        <f>'Datu ievade'!S223</f>
        <v>-552</v>
      </c>
      <c r="T54" s="461">
        <f>'Datu ievade'!T223</f>
        <v>-564</v>
      </c>
      <c r="U54" s="461">
        <f>'Datu ievade'!U223</f>
        <v>-576</v>
      </c>
      <c r="V54" s="461">
        <f>'Datu ievade'!V223</f>
        <v>-588</v>
      </c>
      <c r="W54" s="461">
        <f>'Datu ievade'!W223</f>
        <v>-600</v>
      </c>
      <c r="X54" s="461">
        <f>'Datu ievade'!X223</f>
        <v>-612</v>
      </c>
      <c r="Y54" s="461">
        <f>'Datu ievade'!Y223</f>
        <v>-624</v>
      </c>
      <c r="Z54" s="461">
        <f>'Datu ievade'!Z223</f>
        <v>-636</v>
      </c>
      <c r="AA54" s="461">
        <f>'Datu ievade'!AA223</f>
        <v>-648</v>
      </c>
      <c r="AB54" s="461">
        <f>'Datu ievade'!AB223</f>
        <v>-660</v>
      </c>
      <c r="AC54" s="461">
        <f>'Datu ievade'!AC223</f>
        <v>-672</v>
      </c>
      <c r="AD54" s="461">
        <f>'Datu ievade'!AD223</f>
        <v>-684</v>
      </c>
      <c r="AE54" s="461">
        <f>'Datu ievade'!AE223</f>
        <v>-696</v>
      </c>
      <c r="AF54" s="461">
        <f>'Datu ievade'!AF223</f>
        <v>-708</v>
      </c>
      <c r="AG54" s="461">
        <f>'Datu ievade'!AG223</f>
        <v>-724</v>
      </c>
    </row>
    <row r="55" spans="1:33" s="328" customFormat="1" ht="12.75">
      <c r="A55" s="459" t="s">
        <v>161</v>
      </c>
      <c r="B55" s="462">
        <f>SUM(B44:B54)</f>
        <v>20370</v>
      </c>
      <c r="C55" s="462">
        <f aca="true" t="shared" si="9" ref="C55:AG55">SUM(C44:C54)</f>
        <v>20777.4</v>
      </c>
      <c r="D55" s="462">
        <f t="shared" si="9"/>
        <v>18434.8</v>
      </c>
      <c r="E55" s="462">
        <f t="shared" si="9"/>
        <v>11892.2</v>
      </c>
      <c r="F55" s="462">
        <f t="shared" si="9"/>
        <v>11433.6</v>
      </c>
      <c r="G55" s="462">
        <f t="shared" si="9"/>
        <v>11647</v>
      </c>
      <c r="H55" s="462">
        <f t="shared" si="9"/>
        <v>11860.400000000001</v>
      </c>
      <c r="I55" s="462">
        <f t="shared" si="9"/>
        <v>12073.8</v>
      </c>
      <c r="J55" s="462">
        <f t="shared" si="9"/>
        <v>12287.199999999999</v>
      </c>
      <c r="K55" s="462">
        <f t="shared" si="9"/>
        <v>12500.599999999999</v>
      </c>
      <c r="L55" s="462">
        <f t="shared" si="9"/>
        <v>12714</v>
      </c>
      <c r="M55" s="462">
        <f t="shared" si="9"/>
        <v>12927.4</v>
      </c>
      <c r="N55" s="462">
        <f t="shared" si="9"/>
        <v>13140.8</v>
      </c>
      <c r="O55" s="462">
        <f t="shared" si="9"/>
        <v>13309.2</v>
      </c>
      <c r="P55" s="462">
        <f t="shared" si="9"/>
        <v>13629.3</v>
      </c>
      <c r="Q55" s="462">
        <f t="shared" si="9"/>
        <v>13949.400000000001</v>
      </c>
      <c r="R55" s="462">
        <f t="shared" si="9"/>
        <v>14269.500000000004</v>
      </c>
      <c r="S55" s="462">
        <f t="shared" si="9"/>
        <v>14589.599999999999</v>
      </c>
      <c r="T55" s="462">
        <f t="shared" si="9"/>
        <v>14909.7</v>
      </c>
      <c r="U55" s="462">
        <f t="shared" si="9"/>
        <v>15229.8</v>
      </c>
      <c r="V55" s="462">
        <f t="shared" si="9"/>
        <v>15549.9</v>
      </c>
      <c r="W55" s="462">
        <f t="shared" si="9"/>
        <v>15870</v>
      </c>
      <c r="X55" s="462">
        <f t="shared" si="9"/>
        <v>16190.099999999999</v>
      </c>
      <c r="Y55" s="462">
        <f t="shared" si="9"/>
        <v>16510.2</v>
      </c>
      <c r="Z55" s="462">
        <f t="shared" si="9"/>
        <v>16830.300000000003</v>
      </c>
      <c r="AA55" s="462">
        <f t="shared" si="9"/>
        <v>17150.4</v>
      </c>
      <c r="AB55" s="462">
        <f t="shared" si="9"/>
        <v>17470.5</v>
      </c>
      <c r="AC55" s="462">
        <f t="shared" si="9"/>
        <v>17790.6</v>
      </c>
      <c r="AD55" s="462">
        <f t="shared" si="9"/>
        <v>18110.699999999997</v>
      </c>
      <c r="AE55" s="462">
        <f t="shared" si="9"/>
        <v>18430.8</v>
      </c>
      <c r="AF55" s="462">
        <f t="shared" si="9"/>
        <v>18705.9</v>
      </c>
      <c r="AG55" s="462">
        <f t="shared" si="9"/>
        <v>19132.7</v>
      </c>
    </row>
    <row r="56" spans="1:33" s="328" customFormat="1" ht="12.75">
      <c r="A56" s="417" t="s">
        <v>162</v>
      </c>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row>
    <row r="57" spans="1:33" s="328" customFormat="1" ht="12.75">
      <c r="A57" s="458" t="s">
        <v>163</v>
      </c>
      <c r="B57" s="461">
        <f>'Datu ievade'!B214</f>
        <v>2750</v>
      </c>
      <c r="C57" s="461">
        <f>'Datu ievade'!C214</f>
        <v>2832.5</v>
      </c>
      <c r="D57" s="461">
        <f>'Datu ievade'!D214</f>
        <v>2942.5</v>
      </c>
      <c r="E57" s="461">
        <f>'Datu ievade'!E214</f>
        <v>3302.5000000000005</v>
      </c>
      <c r="F57" s="461">
        <f>'Datu ievade'!F214</f>
        <v>3432.4999999999995</v>
      </c>
      <c r="G57" s="461">
        <f>'Datu ievade'!G214</f>
        <v>3520</v>
      </c>
      <c r="H57" s="461">
        <f>'Datu ievade'!H214</f>
        <v>3607.5</v>
      </c>
      <c r="I57" s="461">
        <f>'Datu ievade'!I214</f>
        <v>3695</v>
      </c>
      <c r="J57" s="461">
        <f>'Datu ievade'!J214</f>
        <v>3782.5</v>
      </c>
      <c r="K57" s="461">
        <f>'Datu ievade'!K214</f>
        <v>3870</v>
      </c>
      <c r="L57" s="461">
        <f>'Datu ievade'!L214</f>
        <v>3957.5</v>
      </c>
      <c r="M57" s="461">
        <f>'Datu ievade'!M214</f>
        <v>4045.0000000000005</v>
      </c>
      <c r="N57" s="461">
        <f>'Datu ievade'!N214</f>
        <v>4132.5</v>
      </c>
      <c r="O57" s="461">
        <f>'Datu ievade'!O214</f>
        <v>4220</v>
      </c>
      <c r="P57" s="461">
        <f>'Datu ievade'!P214</f>
        <v>4310</v>
      </c>
      <c r="Q57" s="461">
        <f>'Datu ievade'!Q214</f>
        <v>4400</v>
      </c>
      <c r="R57" s="461">
        <f>'Datu ievade'!R214</f>
        <v>4490</v>
      </c>
      <c r="S57" s="461">
        <f>'Datu ievade'!S214</f>
        <v>4580</v>
      </c>
      <c r="T57" s="461">
        <f>'Datu ievade'!T214</f>
        <v>4670</v>
      </c>
      <c r="U57" s="461">
        <f>'Datu ievade'!U214</f>
        <v>4760</v>
      </c>
      <c r="V57" s="461">
        <f>'Datu ievade'!V214</f>
        <v>4877.5</v>
      </c>
      <c r="W57" s="461">
        <f>'Datu ievade'!W214</f>
        <v>4995</v>
      </c>
      <c r="X57" s="461">
        <f>'Datu ievade'!X214</f>
        <v>5112.5</v>
      </c>
      <c r="Y57" s="461">
        <f>'Datu ievade'!Y214</f>
        <v>5230</v>
      </c>
      <c r="Z57" s="461">
        <f>'Datu ievade'!Z214</f>
        <v>5347.5</v>
      </c>
      <c r="AA57" s="461">
        <f>'Datu ievade'!AA214</f>
        <v>5465</v>
      </c>
      <c r="AB57" s="461">
        <f>'Datu ievade'!AB214</f>
        <v>5582.5</v>
      </c>
      <c r="AC57" s="461">
        <f>'Datu ievade'!AC214</f>
        <v>5700</v>
      </c>
      <c r="AD57" s="461">
        <f>'Datu ievade'!AD214</f>
        <v>5817.5</v>
      </c>
      <c r="AE57" s="461">
        <f>'Datu ievade'!AE214</f>
        <v>5935</v>
      </c>
      <c r="AF57" s="461">
        <f>'Datu ievade'!AF214</f>
        <v>6052.5</v>
      </c>
      <c r="AG57" s="461">
        <f>'Datu ievade'!AG214</f>
        <v>6172.5</v>
      </c>
    </row>
    <row r="58" spans="1:33" s="328" customFormat="1" ht="12.75">
      <c r="A58" s="458" t="s">
        <v>164</v>
      </c>
      <c r="B58" s="461">
        <f>'Datu ievade'!B215</f>
        <v>662.475</v>
      </c>
      <c r="C58" s="461">
        <f>'Datu ievade'!C215</f>
        <v>682.34925</v>
      </c>
      <c r="D58" s="461">
        <f>'Datu ievade'!D215</f>
        <v>708.84825</v>
      </c>
      <c r="E58" s="461">
        <f>'Datu ievade'!E215</f>
        <v>795.5722500000002</v>
      </c>
      <c r="F58" s="461">
        <f>'Datu ievade'!F215</f>
        <v>826.88925</v>
      </c>
      <c r="G58" s="461">
        <f>'Datu ievade'!G215</f>
        <v>847.9680000000001</v>
      </c>
      <c r="H58" s="461">
        <f>'Datu ievade'!H215</f>
        <v>869.04675</v>
      </c>
      <c r="I58" s="461">
        <f>'Datu ievade'!I215</f>
        <v>890.1255000000001</v>
      </c>
      <c r="J58" s="461">
        <f>'Datu ievade'!J215</f>
        <v>911.20425</v>
      </c>
      <c r="K58" s="461">
        <f>'Datu ievade'!K215</f>
        <v>932.283</v>
      </c>
      <c r="L58" s="461">
        <f>'Datu ievade'!L215</f>
        <v>953.36175</v>
      </c>
      <c r="M58" s="461">
        <f>'Datu ievade'!M215</f>
        <v>974.4405000000002</v>
      </c>
      <c r="N58" s="461">
        <f>'Datu ievade'!N215</f>
        <v>995.5192499999998</v>
      </c>
      <c r="O58" s="461">
        <f>'Datu ievade'!O215</f>
        <v>1016.5980000000001</v>
      </c>
      <c r="P58" s="461">
        <f>'Datu ievade'!P215</f>
        <v>1038.279</v>
      </c>
      <c r="Q58" s="461">
        <f>'Datu ievade'!Q215</f>
        <v>1059.96</v>
      </c>
      <c r="R58" s="461">
        <f>'Datu ievade'!R215</f>
        <v>1081.641</v>
      </c>
      <c r="S58" s="461">
        <f>'Datu ievade'!S215</f>
        <v>1103.3220000000001</v>
      </c>
      <c r="T58" s="461">
        <f>'Datu ievade'!T215</f>
        <v>1125.003</v>
      </c>
      <c r="U58" s="461">
        <f>'Datu ievade'!U215</f>
        <v>1146.684</v>
      </c>
      <c r="V58" s="461">
        <f>'Datu ievade'!V215</f>
        <v>1174.98975</v>
      </c>
      <c r="W58" s="461">
        <f>'Datu ievade'!W215</f>
        <v>1203.2955000000002</v>
      </c>
      <c r="X58" s="461">
        <f>'Datu ievade'!X215</f>
        <v>1231.6012500000002</v>
      </c>
      <c r="Y58" s="461">
        <f>'Datu ievade'!Y215</f>
        <v>1259.907</v>
      </c>
      <c r="Z58" s="461">
        <f>'Datu ievade'!Z215</f>
        <v>1288.21275</v>
      </c>
      <c r="AA58" s="461">
        <f>'Datu ievade'!AA215</f>
        <v>1316.5185</v>
      </c>
      <c r="AB58" s="461">
        <f>'Datu ievade'!AB215</f>
        <v>1344.82425</v>
      </c>
      <c r="AC58" s="461">
        <f>'Datu ievade'!AC215</f>
        <v>1373.13</v>
      </c>
      <c r="AD58" s="461">
        <f>'Datu ievade'!AD215</f>
        <v>1401.43575</v>
      </c>
      <c r="AE58" s="461">
        <f>'Datu ievade'!AE215</f>
        <v>1429.7415</v>
      </c>
      <c r="AF58" s="461">
        <f>'Datu ievade'!AF215</f>
        <v>1458.04725</v>
      </c>
      <c r="AG58" s="461">
        <f>'Datu ievade'!AG215</f>
        <v>1486.95525</v>
      </c>
    </row>
    <row r="59" spans="1:33" s="328" customFormat="1" ht="12.75">
      <c r="A59" s="458" t="s">
        <v>165</v>
      </c>
      <c r="B59" s="461">
        <f>'Datu ievade'!B216</f>
        <v>0</v>
      </c>
      <c r="C59" s="461">
        <f>'Datu ievade'!C216</f>
        <v>0</v>
      </c>
      <c r="D59" s="461">
        <f>'Datu ievade'!D216</f>
        <v>0</v>
      </c>
      <c r="E59" s="461">
        <f>'Datu ievade'!E216</f>
        <v>0</v>
      </c>
      <c r="F59" s="461">
        <f>'Datu ievade'!F216</f>
        <v>0</v>
      </c>
      <c r="G59" s="461">
        <f>'Datu ievade'!G216</f>
        <v>0</v>
      </c>
      <c r="H59" s="461">
        <f>'Datu ievade'!H216</f>
        <v>0</v>
      </c>
      <c r="I59" s="461">
        <f>'Datu ievade'!I216</f>
        <v>0</v>
      </c>
      <c r="J59" s="461">
        <f>'Datu ievade'!J216</f>
        <v>0</v>
      </c>
      <c r="K59" s="461">
        <f>'Datu ievade'!K216</f>
        <v>0</v>
      </c>
      <c r="L59" s="461">
        <f>'Datu ievade'!L216</f>
        <v>0</v>
      </c>
      <c r="M59" s="461">
        <f>'Datu ievade'!M216</f>
        <v>0</v>
      </c>
      <c r="N59" s="461">
        <f>'Datu ievade'!N216</f>
        <v>0</v>
      </c>
      <c r="O59" s="461">
        <f>'Datu ievade'!O216</f>
        <v>0</v>
      </c>
      <c r="P59" s="461">
        <f>'Datu ievade'!P216</f>
        <v>0</v>
      </c>
      <c r="Q59" s="461">
        <f>'Datu ievade'!Q216</f>
        <v>0</v>
      </c>
      <c r="R59" s="461">
        <f>'Datu ievade'!R216</f>
        <v>0</v>
      </c>
      <c r="S59" s="461">
        <f>'Datu ievade'!S216</f>
        <v>0</v>
      </c>
      <c r="T59" s="461">
        <f>'Datu ievade'!T216</f>
        <v>0</v>
      </c>
      <c r="U59" s="461">
        <f>'Datu ievade'!U216</f>
        <v>0</v>
      </c>
      <c r="V59" s="461">
        <f>'Datu ievade'!V216</f>
        <v>0</v>
      </c>
      <c r="W59" s="461">
        <f>'Datu ievade'!W216</f>
        <v>0</v>
      </c>
      <c r="X59" s="461">
        <f>'Datu ievade'!X216</f>
        <v>0</v>
      </c>
      <c r="Y59" s="461">
        <f>'Datu ievade'!Y216</f>
        <v>0</v>
      </c>
      <c r="Z59" s="461">
        <f>'Datu ievade'!Z216</f>
        <v>0</v>
      </c>
      <c r="AA59" s="461">
        <f>'Datu ievade'!AA216</f>
        <v>0</v>
      </c>
      <c r="AB59" s="461">
        <f>'Datu ievade'!AB216</f>
        <v>0</v>
      </c>
      <c r="AC59" s="461">
        <f>'Datu ievade'!AC216</f>
        <v>0</v>
      </c>
      <c r="AD59" s="461">
        <f>'Datu ievade'!AD216</f>
        <v>0</v>
      </c>
      <c r="AE59" s="461">
        <f>'Datu ievade'!AE216</f>
        <v>0</v>
      </c>
      <c r="AF59" s="461">
        <f>'Datu ievade'!AF216</f>
        <v>0</v>
      </c>
      <c r="AG59" s="461">
        <f>'Datu ievade'!AG216</f>
        <v>0</v>
      </c>
    </row>
    <row r="60" spans="1:33" s="328" customFormat="1" ht="12.75">
      <c r="A60" s="459" t="s">
        <v>166</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row>
    <row r="61" spans="1:33" s="328" customFormat="1" ht="12.75">
      <c r="A61" s="458" t="s">
        <v>167</v>
      </c>
      <c r="B61" s="461">
        <f>'Datu ievade'!B225</f>
        <v>2850</v>
      </c>
      <c r="C61" s="461">
        <f>'Datu ievade'!C225</f>
        <v>2935.5</v>
      </c>
      <c r="D61" s="461">
        <f>'Datu ievade'!D225</f>
        <v>3049.5</v>
      </c>
      <c r="E61" s="461">
        <f>'Datu ievade'!E225</f>
        <v>3413.5000000000005</v>
      </c>
      <c r="F61" s="461">
        <f>'Datu ievade'!F225</f>
        <v>3547.4999999999995</v>
      </c>
      <c r="G61" s="461">
        <f>'Datu ievade'!G225</f>
        <v>3638</v>
      </c>
      <c r="H61" s="461">
        <f>'Datu ievade'!H225</f>
        <v>3728.5</v>
      </c>
      <c r="I61" s="461">
        <f>'Datu ievade'!I225</f>
        <v>3819</v>
      </c>
      <c r="J61" s="461">
        <f>'Datu ievade'!J225</f>
        <v>3909.5</v>
      </c>
      <c r="K61" s="461">
        <f>'Datu ievade'!K225</f>
        <v>4000</v>
      </c>
      <c r="L61" s="461">
        <f>'Datu ievade'!L225</f>
        <v>4090.5</v>
      </c>
      <c r="M61" s="461">
        <f>'Datu ievade'!M225</f>
        <v>4181</v>
      </c>
      <c r="N61" s="461">
        <f>'Datu ievade'!N225</f>
        <v>4271.5</v>
      </c>
      <c r="O61" s="461">
        <f>'Datu ievade'!O225</f>
        <v>4362</v>
      </c>
      <c r="P61" s="461">
        <f>'Datu ievade'!P225</f>
        <v>4455</v>
      </c>
      <c r="Q61" s="461">
        <f>'Datu ievade'!Q225</f>
        <v>4548</v>
      </c>
      <c r="R61" s="461">
        <f>'Datu ievade'!R225</f>
        <v>4641</v>
      </c>
      <c r="S61" s="461">
        <f>'Datu ievade'!S225</f>
        <v>4734</v>
      </c>
      <c r="T61" s="461">
        <f>'Datu ievade'!T225</f>
        <v>4827</v>
      </c>
      <c r="U61" s="461">
        <f>'Datu ievade'!U225</f>
        <v>4920</v>
      </c>
      <c r="V61" s="461">
        <f>'Datu ievade'!V225</f>
        <v>5041.5</v>
      </c>
      <c r="W61" s="461">
        <f>'Datu ievade'!W225</f>
        <v>5163</v>
      </c>
      <c r="X61" s="461">
        <f>'Datu ievade'!X225</f>
        <v>5284.5</v>
      </c>
      <c r="Y61" s="461">
        <f>'Datu ievade'!Y225</f>
        <v>5406</v>
      </c>
      <c r="Z61" s="461">
        <f>'Datu ievade'!Z225</f>
        <v>5527.5</v>
      </c>
      <c r="AA61" s="461">
        <f>'Datu ievade'!AA225</f>
        <v>5649</v>
      </c>
      <c r="AB61" s="461">
        <f>'Datu ievade'!AB225</f>
        <v>5770.5</v>
      </c>
      <c r="AC61" s="461">
        <f>'Datu ievade'!AC225</f>
        <v>5892</v>
      </c>
      <c r="AD61" s="461">
        <f>'Datu ievade'!AD225</f>
        <v>6013.5</v>
      </c>
      <c r="AE61" s="461">
        <f>'Datu ievade'!AE225</f>
        <v>6135</v>
      </c>
      <c r="AF61" s="461">
        <f>'Datu ievade'!AF225</f>
        <v>6256.5</v>
      </c>
      <c r="AG61" s="461">
        <f>'Datu ievade'!AG225</f>
        <v>6380.5</v>
      </c>
    </row>
    <row r="62" spans="1:33" s="328" customFormat="1" ht="12.75">
      <c r="A62" s="458" t="s">
        <v>168</v>
      </c>
      <c r="B62" s="461">
        <f>'Datu ievade'!B226</f>
        <v>686.565</v>
      </c>
      <c r="C62" s="461">
        <f>'Datu ievade'!C226</f>
        <v>707.16195</v>
      </c>
      <c r="D62" s="461">
        <f>'Datu ievade'!D226</f>
        <v>734.62455</v>
      </c>
      <c r="E62" s="461">
        <f>'Datu ievade'!E226</f>
        <v>822.3121500000001</v>
      </c>
      <c r="F62" s="461">
        <f>'Datu ievade'!F226</f>
        <v>854.5927499999999</v>
      </c>
      <c r="G62" s="461">
        <f>'Datu ievade'!G226</f>
        <v>876.3942</v>
      </c>
      <c r="H62" s="461">
        <f>'Datu ievade'!H226</f>
        <v>898.19565</v>
      </c>
      <c r="I62" s="461">
        <f>'Datu ievade'!I226</f>
        <v>919.9971</v>
      </c>
      <c r="J62" s="461">
        <f>'Datu ievade'!J226</f>
        <v>941.79855</v>
      </c>
      <c r="K62" s="461">
        <f>'Datu ievade'!K226</f>
        <v>963.6</v>
      </c>
      <c r="L62" s="461">
        <f>'Datu ievade'!L226</f>
        <v>985.40145</v>
      </c>
      <c r="M62" s="461">
        <f>'Datu ievade'!M226</f>
        <v>1007.2029000000001</v>
      </c>
      <c r="N62" s="461">
        <f>'Datu ievade'!N226</f>
        <v>1029.00435</v>
      </c>
      <c r="O62" s="461">
        <f>'Datu ievade'!O226</f>
        <v>1050.8058</v>
      </c>
      <c r="P62" s="461">
        <f>'Datu ievade'!P226</f>
        <v>1073.2095000000002</v>
      </c>
      <c r="Q62" s="461">
        <f>'Datu ievade'!Q226</f>
        <v>1095.6132</v>
      </c>
      <c r="R62" s="461">
        <f>'Datu ievade'!R226</f>
        <v>1118.0169</v>
      </c>
      <c r="S62" s="461">
        <f>'Datu ievade'!S226</f>
        <v>1140.4206</v>
      </c>
      <c r="T62" s="461">
        <f>'Datu ievade'!T226</f>
        <v>1162.8243</v>
      </c>
      <c r="U62" s="461">
        <f>'Datu ievade'!U226</f>
        <v>1185.2279999999998</v>
      </c>
      <c r="V62" s="461">
        <f>'Datu ievade'!V226</f>
        <v>1214.4973499999999</v>
      </c>
      <c r="W62" s="461">
        <f>'Datu ievade'!W226</f>
        <v>1243.7667000000001</v>
      </c>
      <c r="X62" s="461">
        <f>'Datu ievade'!X226</f>
        <v>1273.0360500000002</v>
      </c>
      <c r="Y62" s="461">
        <f>'Datu ievade'!Y226</f>
        <v>1302.3054</v>
      </c>
      <c r="Z62" s="461">
        <f>'Datu ievade'!Z226</f>
        <v>1331.57475</v>
      </c>
      <c r="AA62" s="461">
        <f>'Datu ievade'!AA226</f>
        <v>1360.8441</v>
      </c>
      <c r="AB62" s="461">
        <f>'Datu ievade'!AB226</f>
        <v>1390.1134499999998</v>
      </c>
      <c r="AC62" s="461">
        <f>'Datu ievade'!AC226</f>
        <v>1419.3827999999999</v>
      </c>
      <c r="AD62" s="461">
        <f>'Datu ievade'!AD226</f>
        <v>1448.6521500000001</v>
      </c>
      <c r="AE62" s="461">
        <f>'Datu ievade'!AE226</f>
        <v>1477.9215000000002</v>
      </c>
      <c r="AF62" s="461">
        <f>'Datu ievade'!AF226</f>
        <v>1507.19085</v>
      </c>
      <c r="AG62" s="461">
        <f>'Datu ievade'!AG226</f>
        <v>1537.06245</v>
      </c>
    </row>
    <row r="63" spans="1:33" s="328" customFormat="1" ht="12.75">
      <c r="A63" s="458" t="s">
        <v>169</v>
      </c>
      <c r="B63" s="461">
        <f>'Datu ievade'!B227</f>
        <v>0</v>
      </c>
      <c r="C63" s="461">
        <f>'Datu ievade'!C227</f>
        <v>0</v>
      </c>
      <c r="D63" s="461">
        <f>'Datu ievade'!D227</f>
        <v>0</v>
      </c>
      <c r="E63" s="461">
        <f>'Datu ievade'!E227</f>
        <v>0</v>
      </c>
      <c r="F63" s="461">
        <f>'Datu ievade'!F227</f>
        <v>0</v>
      </c>
      <c r="G63" s="461">
        <f>'Datu ievade'!G227</f>
        <v>0</v>
      </c>
      <c r="H63" s="461">
        <f>'Datu ievade'!H227</f>
        <v>0</v>
      </c>
      <c r="I63" s="461">
        <f>'Datu ievade'!I227</f>
        <v>0</v>
      </c>
      <c r="J63" s="461">
        <f>'Datu ievade'!J227</f>
        <v>0</v>
      </c>
      <c r="K63" s="461">
        <f>'Datu ievade'!K227</f>
        <v>0</v>
      </c>
      <c r="L63" s="461">
        <f>'Datu ievade'!L227</f>
        <v>0</v>
      </c>
      <c r="M63" s="461">
        <f>'Datu ievade'!M227</f>
        <v>0</v>
      </c>
      <c r="N63" s="461">
        <f>'Datu ievade'!N227</f>
        <v>0</v>
      </c>
      <c r="O63" s="461">
        <f>'Datu ievade'!O227</f>
        <v>0</v>
      </c>
      <c r="P63" s="461">
        <f>'Datu ievade'!P227</f>
        <v>0</v>
      </c>
      <c r="Q63" s="461">
        <f>'Datu ievade'!Q227</f>
        <v>0</v>
      </c>
      <c r="R63" s="461">
        <f>'Datu ievade'!R227</f>
        <v>0</v>
      </c>
      <c r="S63" s="461">
        <f>'Datu ievade'!S227</f>
        <v>0</v>
      </c>
      <c r="T63" s="461">
        <f>'Datu ievade'!T227</f>
        <v>0</v>
      </c>
      <c r="U63" s="461">
        <f>'Datu ievade'!U227</f>
        <v>0</v>
      </c>
      <c r="V63" s="461">
        <f>'Datu ievade'!V227</f>
        <v>0</v>
      </c>
      <c r="W63" s="461">
        <f>'Datu ievade'!W227</f>
        <v>0</v>
      </c>
      <c r="X63" s="461">
        <f>'Datu ievade'!X227</f>
        <v>0</v>
      </c>
      <c r="Y63" s="461">
        <f>'Datu ievade'!Y227</f>
        <v>0</v>
      </c>
      <c r="Z63" s="461">
        <f>'Datu ievade'!Z227</f>
        <v>0</v>
      </c>
      <c r="AA63" s="461">
        <f>'Datu ievade'!AA227</f>
        <v>0</v>
      </c>
      <c r="AB63" s="461">
        <f>'Datu ievade'!AB227</f>
        <v>0</v>
      </c>
      <c r="AC63" s="461">
        <f>'Datu ievade'!AC227</f>
        <v>0</v>
      </c>
      <c r="AD63" s="461">
        <f>'Datu ievade'!AD227</f>
        <v>0</v>
      </c>
      <c r="AE63" s="461">
        <f>'Datu ievade'!AE227</f>
        <v>0</v>
      </c>
      <c r="AF63" s="461">
        <f>'Datu ievade'!AF227</f>
        <v>0</v>
      </c>
      <c r="AG63" s="461">
        <f>'Datu ievade'!AG227</f>
        <v>0</v>
      </c>
    </row>
    <row r="64" spans="1:33" s="328" customFormat="1" ht="12.75">
      <c r="A64" s="459" t="s">
        <v>170</v>
      </c>
      <c r="B64" s="460">
        <f>SUM(B57:B63)</f>
        <v>6949.040000000001</v>
      </c>
      <c r="C64" s="460">
        <f aca="true" t="shared" si="10" ref="C64:AG64">SUM(C57:C63)</f>
        <v>7157.5112</v>
      </c>
      <c r="D64" s="460">
        <f t="shared" si="10"/>
        <v>7435.4728</v>
      </c>
      <c r="E64" s="460">
        <f t="shared" si="10"/>
        <v>8333.8844</v>
      </c>
      <c r="F64" s="460">
        <f t="shared" si="10"/>
        <v>8661.481999999998</v>
      </c>
      <c r="G64" s="460">
        <f t="shared" si="10"/>
        <v>8882.3622</v>
      </c>
      <c r="H64" s="460">
        <f t="shared" si="10"/>
        <v>9103.2424</v>
      </c>
      <c r="I64" s="460">
        <f t="shared" si="10"/>
        <v>9324.1226</v>
      </c>
      <c r="J64" s="460">
        <f t="shared" si="10"/>
        <v>9545.002799999998</v>
      </c>
      <c r="K64" s="460">
        <f t="shared" si="10"/>
        <v>9765.883</v>
      </c>
      <c r="L64" s="460">
        <f t="shared" si="10"/>
        <v>9986.7632</v>
      </c>
      <c r="M64" s="460">
        <f t="shared" si="10"/>
        <v>10207.6434</v>
      </c>
      <c r="N64" s="460">
        <f t="shared" si="10"/>
        <v>10428.523599999999</v>
      </c>
      <c r="O64" s="460">
        <f t="shared" si="10"/>
        <v>10649.4038</v>
      </c>
      <c r="P64" s="460">
        <f t="shared" si="10"/>
        <v>10876.488500000001</v>
      </c>
      <c r="Q64" s="460">
        <f t="shared" si="10"/>
        <v>11103.573199999999</v>
      </c>
      <c r="R64" s="460">
        <f t="shared" si="10"/>
        <v>11330.6579</v>
      </c>
      <c r="S64" s="460">
        <f t="shared" si="10"/>
        <v>11557.7426</v>
      </c>
      <c r="T64" s="460">
        <f t="shared" si="10"/>
        <v>11784.8273</v>
      </c>
      <c r="U64" s="460">
        <f t="shared" si="10"/>
        <v>12011.912</v>
      </c>
      <c r="V64" s="460">
        <f t="shared" si="10"/>
        <v>12308.4871</v>
      </c>
      <c r="W64" s="460">
        <f t="shared" si="10"/>
        <v>12605.0622</v>
      </c>
      <c r="X64" s="460">
        <f t="shared" si="10"/>
        <v>12901.6373</v>
      </c>
      <c r="Y64" s="460">
        <f t="shared" si="10"/>
        <v>13198.212399999999</v>
      </c>
      <c r="Z64" s="460">
        <f t="shared" si="10"/>
        <v>13494.787499999999</v>
      </c>
      <c r="AA64" s="460">
        <f t="shared" si="10"/>
        <v>13791.3626</v>
      </c>
      <c r="AB64" s="460">
        <f t="shared" si="10"/>
        <v>14087.937699999999</v>
      </c>
      <c r="AC64" s="460">
        <f t="shared" si="10"/>
        <v>14384.5128</v>
      </c>
      <c r="AD64" s="460">
        <f t="shared" si="10"/>
        <v>14681.0879</v>
      </c>
      <c r="AE64" s="460">
        <f t="shared" si="10"/>
        <v>14977.663</v>
      </c>
      <c r="AF64" s="460">
        <f t="shared" si="10"/>
        <v>15274.238099999999</v>
      </c>
      <c r="AG64" s="460">
        <f t="shared" si="10"/>
        <v>15577.017699999999</v>
      </c>
    </row>
    <row r="65" spans="1:33" s="514" customFormat="1" ht="25.5">
      <c r="A65" s="601" t="s">
        <v>171</v>
      </c>
      <c r="B65" s="602">
        <f>B64+B55</f>
        <v>27319.04</v>
      </c>
      <c r="C65" s="602">
        <f aca="true" t="shared" si="11" ref="C65:AG65">C64+C55</f>
        <v>27934.911200000002</v>
      </c>
      <c r="D65" s="602">
        <f t="shared" si="11"/>
        <v>25870.2728</v>
      </c>
      <c r="E65" s="602">
        <f t="shared" si="11"/>
        <v>20226.0844</v>
      </c>
      <c r="F65" s="602">
        <f t="shared" si="11"/>
        <v>20095.082</v>
      </c>
      <c r="G65" s="602">
        <f t="shared" si="11"/>
        <v>20529.3622</v>
      </c>
      <c r="H65" s="602">
        <f t="shared" si="11"/>
        <v>20963.6424</v>
      </c>
      <c r="I65" s="602">
        <f t="shared" si="11"/>
        <v>21397.922599999998</v>
      </c>
      <c r="J65" s="602">
        <f t="shared" si="11"/>
        <v>21832.2028</v>
      </c>
      <c r="K65" s="602">
        <f t="shared" si="11"/>
        <v>22266.483</v>
      </c>
      <c r="L65" s="602">
        <f t="shared" si="11"/>
        <v>22700.7632</v>
      </c>
      <c r="M65" s="602">
        <f t="shared" si="11"/>
        <v>23135.043400000002</v>
      </c>
      <c r="N65" s="602">
        <f t="shared" si="11"/>
        <v>23569.323599999996</v>
      </c>
      <c r="O65" s="602">
        <f t="shared" si="11"/>
        <v>23958.6038</v>
      </c>
      <c r="P65" s="602">
        <f t="shared" si="11"/>
        <v>24505.788500000002</v>
      </c>
      <c r="Q65" s="602">
        <f t="shared" si="11"/>
        <v>25052.9732</v>
      </c>
      <c r="R65" s="602">
        <f t="shared" si="11"/>
        <v>25600.157900000006</v>
      </c>
      <c r="S65" s="602">
        <f t="shared" si="11"/>
        <v>26147.342599999996</v>
      </c>
      <c r="T65" s="602">
        <f t="shared" si="11"/>
        <v>26694.5273</v>
      </c>
      <c r="U65" s="602">
        <f t="shared" si="11"/>
        <v>27241.712</v>
      </c>
      <c r="V65" s="602">
        <f t="shared" si="11"/>
        <v>27858.3871</v>
      </c>
      <c r="W65" s="602">
        <f t="shared" si="11"/>
        <v>28475.0622</v>
      </c>
      <c r="X65" s="602">
        <f t="shared" si="11"/>
        <v>29091.7373</v>
      </c>
      <c r="Y65" s="602">
        <f t="shared" si="11"/>
        <v>29708.4124</v>
      </c>
      <c r="Z65" s="602">
        <f t="shared" si="11"/>
        <v>30325.0875</v>
      </c>
      <c r="AA65" s="602">
        <f t="shared" si="11"/>
        <v>30941.762600000002</v>
      </c>
      <c r="AB65" s="602">
        <f t="shared" si="11"/>
        <v>31558.4377</v>
      </c>
      <c r="AC65" s="602">
        <f t="shared" si="11"/>
        <v>32175.1128</v>
      </c>
      <c r="AD65" s="602">
        <f t="shared" si="11"/>
        <v>32791.787899999996</v>
      </c>
      <c r="AE65" s="602">
        <f t="shared" si="11"/>
        <v>33408.463</v>
      </c>
      <c r="AF65" s="602">
        <f t="shared" si="11"/>
        <v>33980.1381</v>
      </c>
      <c r="AG65" s="602">
        <f t="shared" si="11"/>
        <v>34709.7177</v>
      </c>
    </row>
    <row r="66" spans="1:33" s="514" customFormat="1" ht="12.75">
      <c r="A66" s="517" t="s">
        <v>172</v>
      </c>
      <c r="B66" s="516">
        <f>'Datu ievade'!E237*'Datu ievade'!B376</f>
        <v>9033.75</v>
      </c>
      <c r="C66" s="516">
        <f>'Datu ievade'!F237*'Datu ievade'!C376</f>
        <v>9033.75</v>
      </c>
      <c r="D66" s="516">
        <f>'Datu ievade'!G237*'Datu ievade'!D376</f>
        <v>10454.5125</v>
      </c>
      <c r="E66" s="516">
        <f>'Datu ievade'!H237*'Datu ievade'!E376</f>
        <v>16019.85</v>
      </c>
      <c r="F66" s="516">
        <f>'Datu ievade'!I237*'Datu ievade'!F376</f>
        <v>16279.9125</v>
      </c>
      <c r="G66" s="516">
        <f>'Datu ievade'!J237*'Datu ievade'!G376</f>
        <v>16331.925</v>
      </c>
      <c r="H66" s="516">
        <f>'Datu ievade'!K237*'Datu ievade'!H376</f>
        <v>16435.95</v>
      </c>
      <c r="I66" s="516">
        <f>'Datu ievade'!L237*'Datu ievade'!I376</f>
        <v>16696.0125</v>
      </c>
      <c r="J66" s="516">
        <f>'Datu ievade'!M237*'Datu ievade'!J376</f>
        <v>16956.075</v>
      </c>
      <c r="K66" s="516">
        <f>'Datu ievade'!N237*'Datu ievade'!K376</f>
        <v>17060.1</v>
      </c>
      <c r="L66" s="516">
        <f>'Datu ievade'!O237*'Datu ievade'!L376</f>
        <v>17476.199999999997</v>
      </c>
      <c r="M66" s="516">
        <f>'Datu ievade'!P237*'Datu ievade'!M376</f>
        <v>17684.25</v>
      </c>
      <c r="N66" s="516">
        <f>'Datu ievade'!Q237*'Datu ievade'!N376</f>
        <v>17944.3125</v>
      </c>
      <c r="O66" s="516">
        <f>'Datu ievade'!R237*'Datu ievade'!O376</f>
        <v>18048.337499999998</v>
      </c>
      <c r="P66" s="516">
        <f>'Datu ievade'!S237*'Datu ievade'!P376</f>
        <v>18204.375</v>
      </c>
      <c r="Q66" s="516">
        <f>'Datu ievade'!T237*'Datu ievade'!Q376</f>
        <v>18464.437499999996</v>
      </c>
      <c r="R66" s="516">
        <f>'Datu ievade'!U237*'Datu ievade'!R376</f>
        <v>18724.499999999996</v>
      </c>
      <c r="S66" s="516">
        <f>'Datu ievade'!V237*'Datu ievade'!S376</f>
        <v>19296.637499999997</v>
      </c>
      <c r="T66" s="516">
        <f>'Datu ievade'!W237*'Datu ievade'!T376</f>
        <v>19556.7</v>
      </c>
      <c r="U66" s="516">
        <f>'Datu ievade'!X237*'Datu ievade'!U376</f>
        <v>19660.725</v>
      </c>
      <c r="V66" s="516">
        <f>'Datu ievade'!Y237*'Datu ievade'!V376</f>
        <v>19816.762499999997</v>
      </c>
      <c r="W66" s="516">
        <f>'Datu ievade'!Z237*'Datu ievade'!W376</f>
        <v>19920.7875</v>
      </c>
      <c r="X66" s="516">
        <f>'Datu ievade'!AA237*'Datu ievade'!X376</f>
        <v>20024.812500000004</v>
      </c>
      <c r="Y66" s="516">
        <f>'Datu ievade'!AB237*'Datu ievade'!Y376</f>
        <v>20180.850000000002</v>
      </c>
      <c r="Z66" s="516">
        <f>'Datu ievade'!AC237*'Datu ievade'!Z376</f>
        <v>20284.875000000004</v>
      </c>
      <c r="AA66" s="516">
        <f>'Datu ievade'!AD237*'Datu ievade'!AA376</f>
        <v>20440.912500000002</v>
      </c>
      <c r="AB66" s="516">
        <f>'Datu ievade'!AE237*'Datu ievade'!AB376</f>
        <v>20752.987500000003</v>
      </c>
      <c r="AC66" s="516">
        <f>'Datu ievade'!AF237*'Datu ievade'!AC376</f>
        <v>20909.025</v>
      </c>
      <c r="AD66" s="516">
        <f>'Datu ievade'!AG237*'Datu ievade'!AD376</f>
        <v>20805.000000000004</v>
      </c>
      <c r="AE66" s="516">
        <f>'Datu ievade'!AH237*'Datu ievade'!AE376</f>
        <v>21169.087499999998</v>
      </c>
      <c r="AF66" s="516">
        <f>'Datu ievade'!AI237*'Datu ievade'!AF376</f>
        <v>21533.175</v>
      </c>
      <c r="AG66" s="516">
        <f>'Datu ievade'!AJ237*'Datu ievade'!AG376</f>
        <v>21741.225</v>
      </c>
    </row>
    <row r="67" spans="1:33" s="514" customFormat="1" ht="12.75">
      <c r="A67" s="517" t="s">
        <v>173</v>
      </c>
      <c r="B67" s="516">
        <f>'Datu ievade'!B376*'Datu ievade'!E246</f>
        <v>700</v>
      </c>
      <c r="C67" s="516">
        <f>'Datu ievade'!C376*'Datu ievade'!F246</f>
        <v>700</v>
      </c>
      <c r="D67" s="516">
        <f>'Datu ievade'!D376*'Datu ievade'!G246</f>
        <v>703.5</v>
      </c>
      <c r="E67" s="516">
        <f>'Datu ievade'!E376*'Datu ievade'!H246</f>
        <v>1078</v>
      </c>
      <c r="F67" s="516">
        <f>'Datu ievade'!F376*'Datu ievade'!I246</f>
        <v>1095.5</v>
      </c>
      <c r="G67" s="516">
        <f>'Datu ievade'!G376*'Datu ievade'!J246</f>
        <v>1099</v>
      </c>
      <c r="H67" s="516">
        <f>'Datu ievade'!H376*'Datu ievade'!K246</f>
        <v>1106</v>
      </c>
      <c r="I67" s="516">
        <f>'Datu ievade'!I376*'Datu ievade'!L246</f>
        <v>1123.5</v>
      </c>
      <c r="J67" s="516">
        <f>'Datu ievade'!J376*'Datu ievade'!M246</f>
        <v>1141</v>
      </c>
      <c r="K67" s="516">
        <f>'Datu ievade'!K376*'Datu ievade'!N246</f>
        <v>1147.9999999999998</v>
      </c>
      <c r="L67" s="516">
        <f>'Datu ievade'!L376*'Datu ievade'!O246</f>
        <v>1175.9999999999998</v>
      </c>
      <c r="M67" s="516">
        <f>'Datu ievade'!M376*'Datu ievade'!P246</f>
        <v>1190</v>
      </c>
      <c r="N67" s="516">
        <f>'Datu ievade'!N376*'Datu ievade'!Q246</f>
        <v>1207.5</v>
      </c>
      <c r="O67" s="516">
        <f>'Datu ievade'!O376*'Datu ievade'!R246</f>
        <v>1214.5</v>
      </c>
      <c r="P67" s="516">
        <f>'Datu ievade'!P376*'Datu ievade'!S246</f>
        <v>1225</v>
      </c>
      <c r="Q67" s="516">
        <f>'Datu ievade'!Q376*'Datu ievade'!T246</f>
        <v>1242.4999999999998</v>
      </c>
      <c r="R67" s="516">
        <f>'Datu ievade'!R376*'Datu ievade'!U246</f>
        <v>1259.9999999999998</v>
      </c>
      <c r="S67" s="516">
        <f>'Datu ievade'!S376*'Datu ievade'!V246</f>
        <v>1298.4999999999998</v>
      </c>
      <c r="T67" s="516">
        <f>'Datu ievade'!T376*'Datu ievade'!W246</f>
        <v>1316</v>
      </c>
      <c r="U67" s="516">
        <f>'Datu ievade'!U376*'Datu ievade'!X246</f>
        <v>1322.9999999999998</v>
      </c>
      <c r="V67" s="516">
        <f>'Datu ievade'!V376*'Datu ievade'!Y246</f>
        <v>1333.4999999999998</v>
      </c>
      <c r="W67" s="516">
        <f>'Datu ievade'!W376*'Datu ievade'!Z246</f>
        <v>1340.4999999999998</v>
      </c>
      <c r="X67" s="516">
        <f>'Datu ievade'!X376*'Datu ievade'!AA246</f>
        <v>1347.5000000000002</v>
      </c>
      <c r="Y67" s="516">
        <f>'Datu ievade'!Y376*'Datu ievade'!AB246</f>
        <v>1358.0000000000002</v>
      </c>
      <c r="Z67" s="516">
        <f>'Datu ievade'!Z376*'Datu ievade'!AC246</f>
        <v>1365.0000000000002</v>
      </c>
      <c r="AA67" s="516">
        <f>'Datu ievade'!AA376*'Datu ievade'!AD246</f>
        <v>1375.5000000000002</v>
      </c>
      <c r="AB67" s="516">
        <f>'Datu ievade'!AB376*'Datu ievade'!AE246</f>
        <v>1396.5</v>
      </c>
      <c r="AC67" s="516">
        <f>'Datu ievade'!AC376*'Datu ievade'!AF246</f>
        <v>1407</v>
      </c>
      <c r="AD67" s="516">
        <f>'Datu ievade'!AD376*'Datu ievade'!AG246</f>
        <v>1400.0000000000002</v>
      </c>
      <c r="AE67" s="516">
        <f>'Datu ievade'!AE376*'Datu ievade'!AH246</f>
        <v>1424.5</v>
      </c>
      <c r="AF67" s="516">
        <f>'Datu ievade'!AF376*'Datu ievade'!AI246</f>
        <v>1449</v>
      </c>
      <c r="AG67" s="516">
        <f>'Datu ievade'!AG376*'Datu ievade'!AJ246</f>
        <v>1463</v>
      </c>
    </row>
    <row r="68" spans="1:33" s="514" customFormat="1" ht="12.75">
      <c r="A68" s="517" t="s">
        <v>174</v>
      </c>
      <c r="B68" s="516">
        <f>'Datu ievade'!E253*'Datu ievade'!B376</f>
        <v>5000</v>
      </c>
      <c r="C68" s="516">
        <f>'Datu ievade'!F253*'Datu ievade'!C376</f>
        <v>5000</v>
      </c>
      <c r="D68" s="516">
        <f>'Datu ievade'!G253*'Datu ievade'!D376</f>
        <v>5025</v>
      </c>
      <c r="E68" s="516">
        <f>'Datu ievade'!H253*'Datu ievade'!E376</f>
        <v>7700</v>
      </c>
      <c r="F68" s="516">
        <f>'Datu ievade'!I253*'Datu ievade'!F376</f>
        <v>7825</v>
      </c>
      <c r="G68" s="516">
        <f>'Datu ievade'!J253*'Datu ievade'!G376</f>
        <v>7850</v>
      </c>
      <c r="H68" s="516">
        <f>'Datu ievade'!K253*'Datu ievade'!H376</f>
        <v>7900</v>
      </c>
      <c r="I68" s="516">
        <f>'Datu ievade'!L253*'Datu ievade'!I376</f>
        <v>8025</v>
      </c>
      <c r="J68" s="516">
        <f>'Datu ievade'!M253*'Datu ievade'!J376</f>
        <v>8150</v>
      </c>
      <c r="K68" s="516">
        <f>'Datu ievade'!N253*'Datu ievade'!K376</f>
        <v>8199.999999999998</v>
      </c>
      <c r="L68" s="516">
        <f>'Datu ievade'!O253*'Datu ievade'!L376</f>
        <v>8400</v>
      </c>
      <c r="M68" s="516">
        <f>'Datu ievade'!P253*'Datu ievade'!M376</f>
        <v>8500</v>
      </c>
      <c r="N68" s="516">
        <f>'Datu ievade'!Q253*'Datu ievade'!N376</f>
        <v>8625</v>
      </c>
      <c r="O68" s="516">
        <f>'Datu ievade'!R253*'Datu ievade'!O376</f>
        <v>8675</v>
      </c>
      <c r="P68" s="516">
        <f>'Datu ievade'!S253*'Datu ievade'!P376</f>
        <v>8750</v>
      </c>
      <c r="Q68" s="516">
        <f>'Datu ievade'!T253*'Datu ievade'!Q376</f>
        <v>8874.999999999998</v>
      </c>
      <c r="R68" s="516">
        <f>'Datu ievade'!U253*'Datu ievade'!R376</f>
        <v>8999.999999999998</v>
      </c>
      <c r="S68" s="516">
        <f>'Datu ievade'!V253*'Datu ievade'!S376</f>
        <v>9274.999999999998</v>
      </c>
      <c r="T68" s="516">
        <f>'Datu ievade'!W253*'Datu ievade'!T376</f>
        <v>9400</v>
      </c>
      <c r="U68" s="516">
        <f>'Datu ievade'!X253*'Datu ievade'!U376</f>
        <v>9449.999999999998</v>
      </c>
      <c r="V68" s="516">
        <f>'Datu ievade'!Y253*'Datu ievade'!V376</f>
        <v>9524.999999999998</v>
      </c>
      <c r="W68" s="516">
        <f>'Datu ievade'!Z253*'Datu ievade'!W376</f>
        <v>9574.999999999998</v>
      </c>
      <c r="X68" s="516">
        <f>'Datu ievade'!AA253*'Datu ievade'!X376</f>
        <v>9625.000000000002</v>
      </c>
      <c r="Y68" s="516">
        <f>'Datu ievade'!AB253*'Datu ievade'!Y376</f>
        <v>9700.000000000002</v>
      </c>
      <c r="Z68" s="516">
        <f>'Datu ievade'!AC253*'Datu ievade'!Z376</f>
        <v>9750.000000000002</v>
      </c>
      <c r="AA68" s="516">
        <f>'Datu ievade'!AD253*'Datu ievade'!AA376</f>
        <v>9825.000000000002</v>
      </c>
      <c r="AB68" s="516">
        <f>'Datu ievade'!AE253*'Datu ievade'!AB376</f>
        <v>9975</v>
      </c>
      <c r="AC68" s="516">
        <f>'Datu ievade'!AF253*'Datu ievade'!AC376</f>
        <v>10050</v>
      </c>
      <c r="AD68" s="516">
        <f>'Datu ievade'!AG253*'Datu ievade'!AD376</f>
        <v>10000.000000000002</v>
      </c>
      <c r="AE68" s="516">
        <f>'Datu ievade'!AH253*'Datu ievade'!AE376</f>
        <v>10175</v>
      </c>
      <c r="AF68" s="516">
        <f>'Datu ievade'!AI253*'Datu ievade'!AF376</f>
        <v>10350</v>
      </c>
      <c r="AG68" s="516">
        <f>'Datu ievade'!AJ253*'Datu ievade'!AG376</f>
        <v>10450</v>
      </c>
    </row>
    <row r="69" spans="1:33" s="514" customFormat="1" ht="12.75">
      <c r="A69" s="518" t="s">
        <v>175</v>
      </c>
      <c r="B69" s="519">
        <f>SUM(B66:B68)</f>
        <v>14733.75</v>
      </c>
      <c r="C69" s="519">
        <f aca="true" t="shared" si="12" ref="C69:AG69">SUM(C66:C68)</f>
        <v>14733.75</v>
      </c>
      <c r="D69" s="519">
        <f t="shared" si="12"/>
        <v>16183.0125</v>
      </c>
      <c r="E69" s="519">
        <f t="shared" si="12"/>
        <v>24797.85</v>
      </c>
      <c r="F69" s="519">
        <f t="shared" si="12"/>
        <v>25200.4125</v>
      </c>
      <c r="G69" s="519">
        <f t="shared" si="12"/>
        <v>25280.925</v>
      </c>
      <c r="H69" s="519">
        <f t="shared" si="12"/>
        <v>25441.95</v>
      </c>
      <c r="I69" s="519">
        <f t="shared" si="12"/>
        <v>25844.5125</v>
      </c>
      <c r="J69" s="519">
        <f t="shared" si="12"/>
        <v>26247.075</v>
      </c>
      <c r="K69" s="519">
        <f t="shared" si="12"/>
        <v>26408.1</v>
      </c>
      <c r="L69" s="519">
        <f t="shared" si="12"/>
        <v>27052.199999999997</v>
      </c>
      <c r="M69" s="519">
        <f t="shared" si="12"/>
        <v>27374.25</v>
      </c>
      <c r="N69" s="519">
        <f t="shared" si="12"/>
        <v>27776.8125</v>
      </c>
      <c r="O69" s="519">
        <f t="shared" si="12"/>
        <v>27937.837499999998</v>
      </c>
      <c r="P69" s="519">
        <f t="shared" si="12"/>
        <v>28179.375</v>
      </c>
      <c r="Q69" s="519">
        <f t="shared" si="12"/>
        <v>28581.937499999993</v>
      </c>
      <c r="R69" s="519">
        <f t="shared" si="12"/>
        <v>28984.499999999993</v>
      </c>
      <c r="S69" s="519">
        <f t="shared" si="12"/>
        <v>29870.137499999997</v>
      </c>
      <c r="T69" s="519">
        <f t="shared" si="12"/>
        <v>30272.7</v>
      </c>
      <c r="U69" s="519">
        <f t="shared" si="12"/>
        <v>30433.725</v>
      </c>
      <c r="V69" s="519">
        <f t="shared" si="12"/>
        <v>30675.262499999997</v>
      </c>
      <c r="W69" s="519">
        <f t="shared" si="12"/>
        <v>30836.2875</v>
      </c>
      <c r="X69" s="519">
        <f t="shared" si="12"/>
        <v>30997.312500000007</v>
      </c>
      <c r="Y69" s="519">
        <f t="shared" si="12"/>
        <v>31238.850000000006</v>
      </c>
      <c r="Z69" s="519">
        <f t="shared" si="12"/>
        <v>31399.875000000007</v>
      </c>
      <c r="AA69" s="519">
        <f t="shared" si="12"/>
        <v>31641.412500000006</v>
      </c>
      <c r="AB69" s="519">
        <f t="shared" si="12"/>
        <v>32124.487500000003</v>
      </c>
      <c r="AC69" s="519">
        <f t="shared" si="12"/>
        <v>32366.025</v>
      </c>
      <c r="AD69" s="519">
        <f t="shared" si="12"/>
        <v>32205.000000000007</v>
      </c>
      <c r="AE69" s="519">
        <f t="shared" si="12"/>
        <v>32768.587499999994</v>
      </c>
      <c r="AF69" s="519">
        <f t="shared" si="12"/>
        <v>33332.175</v>
      </c>
      <c r="AG69" s="519">
        <f t="shared" si="12"/>
        <v>33654.225</v>
      </c>
    </row>
    <row r="70" spans="1:33" s="514" customFormat="1" ht="12.75">
      <c r="A70" s="517" t="s">
        <v>176</v>
      </c>
      <c r="B70" s="516">
        <f>'Datu ievade'!B383*'Datu ievade'!E271</f>
        <v>12165.449999999999</v>
      </c>
      <c r="C70" s="516">
        <f>'Datu ievade'!C383*'Datu ievade'!F271</f>
        <v>12165.449999999999</v>
      </c>
      <c r="D70" s="516">
        <f>'Datu ievade'!D383*'Datu ievade'!G271</f>
        <v>14532.84</v>
      </c>
      <c r="E70" s="516">
        <f>'Datu ievade'!E383*'Datu ievade'!H271</f>
        <v>19591.739999999998</v>
      </c>
      <c r="F70" s="516">
        <f>'Datu ievade'!F383*'Datu ievade'!I271</f>
        <v>19683.72</v>
      </c>
      <c r="G70" s="516">
        <f>'Datu ievade'!G383*'Datu ievade'!J271</f>
        <v>19913.67</v>
      </c>
      <c r="H70" s="516">
        <f>'Datu ievade'!H383*'Datu ievade'!K271</f>
        <v>20235.6</v>
      </c>
      <c r="I70" s="516">
        <f>'Datu ievade'!I383*'Datu ievade'!L271</f>
        <v>20557.53</v>
      </c>
      <c r="J70" s="516">
        <f>'Datu ievade'!J383*'Datu ievade'!M271</f>
        <v>20603.519999999997</v>
      </c>
      <c r="K70" s="516">
        <f>'Datu ievade'!K383*'Datu ievade'!N271</f>
        <v>20925.449999999997</v>
      </c>
      <c r="L70" s="516">
        <f>'Datu ievade'!L383*'Datu ievade'!O271</f>
        <v>21063.42</v>
      </c>
      <c r="M70" s="516">
        <f>'Datu ievade'!M383*'Datu ievade'!P271</f>
        <v>21385.350000000002</v>
      </c>
      <c r="N70" s="516">
        <f>'Datu ievade'!N383*'Datu ievade'!Q271</f>
        <v>21707.279999999995</v>
      </c>
      <c r="O70" s="516">
        <f>'Datu ievade'!O383*'Datu ievade'!R271</f>
        <v>21753.269999999997</v>
      </c>
      <c r="P70" s="516">
        <f>'Datu ievade'!P383*'Datu ievade'!S271</f>
        <v>22075.199999999997</v>
      </c>
      <c r="Q70" s="516">
        <f>'Datu ievade'!Q383*'Datu ievade'!T271</f>
        <v>22397.129999999997</v>
      </c>
      <c r="R70" s="516">
        <f>'Datu ievade'!R383*'Datu ievade'!U271</f>
        <v>22765.05</v>
      </c>
      <c r="S70" s="516">
        <f>'Datu ievade'!S383*'Datu ievade'!V271</f>
        <v>23086.98</v>
      </c>
      <c r="T70" s="516">
        <f>'Datu ievade'!T383*'Datu ievade'!W271</f>
        <v>23592.87</v>
      </c>
      <c r="U70" s="516">
        <f>'Datu ievade'!U383*'Datu ievade'!X271</f>
        <v>23730.84</v>
      </c>
      <c r="V70" s="516">
        <f>'Datu ievade'!V383*'Datu ievade'!Y271</f>
        <v>24144.75</v>
      </c>
      <c r="W70" s="516">
        <f>'Datu ievade'!W383*'Datu ievade'!Z271</f>
        <v>24328.710000000003</v>
      </c>
      <c r="X70" s="516">
        <f>'Datu ievade'!X383*'Datu ievade'!AA271</f>
        <v>24512.669999999995</v>
      </c>
      <c r="Y70" s="516">
        <f>'Datu ievade'!Y383*'Datu ievade'!AB271</f>
        <v>24696.629999999997</v>
      </c>
      <c r="Z70" s="516">
        <f>'Datu ievade'!Z383*'Datu ievade'!AC271</f>
        <v>24880.589999999997</v>
      </c>
      <c r="AA70" s="516">
        <f>'Datu ievade'!AA383*'Datu ievade'!AD271</f>
        <v>25018.55999999999</v>
      </c>
      <c r="AB70" s="516">
        <f>'Datu ievade'!AB383*'Datu ievade'!AE271</f>
        <v>25202.52</v>
      </c>
      <c r="AC70" s="516">
        <f>'Datu ievade'!AC383*'Datu ievade'!AF271</f>
        <v>25386.480000000003</v>
      </c>
      <c r="AD70" s="516">
        <f>'Datu ievade'!AD383*'Datu ievade'!AG271</f>
        <v>25570.44</v>
      </c>
      <c r="AE70" s="516">
        <f>'Datu ievade'!AE383*'Datu ievade'!AH271</f>
        <v>25754.399999999998</v>
      </c>
      <c r="AF70" s="516">
        <f>'Datu ievade'!AF383*'Datu ievade'!AI271</f>
        <v>26076.33</v>
      </c>
      <c r="AG70" s="516">
        <f>'Datu ievade'!AG383*'Datu ievade'!AJ271</f>
        <v>26398.25999999999</v>
      </c>
    </row>
    <row r="71" spans="1:33" s="514" customFormat="1" ht="12.75">
      <c r="A71" s="517" t="s">
        <v>177</v>
      </c>
      <c r="B71" s="516">
        <f>'Datu ievade'!E280*'Datu ievade'!B383</f>
        <v>1350</v>
      </c>
      <c r="C71" s="516">
        <f>'Datu ievade'!F280*'Datu ievade'!C383</f>
        <v>1350</v>
      </c>
      <c r="D71" s="516">
        <f>'Datu ievade'!G280*'Datu ievade'!D383</f>
        <v>1422</v>
      </c>
      <c r="E71" s="516">
        <f>'Datu ievade'!H280*'Datu ievade'!E383</f>
        <v>1917</v>
      </c>
      <c r="F71" s="516">
        <f>'Datu ievade'!I280*'Datu ievade'!F383</f>
        <v>1926</v>
      </c>
      <c r="G71" s="516">
        <f>'Datu ievade'!J280*'Datu ievade'!G383</f>
        <v>1948.5</v>
      </c>
      <c r="H71" s="516">
        <f>'Datu ievade'!K280*'Datu ievade'!H383</f>
        <v>1979.9999999999998</v>
      </c>
      <c r="I71" s="516">
        <f>'Datu ievade'!L280*'Datu ievade'!I383</f>
        <v>2011.4999999999998</v>
      </c>
      <c r="J71" s="516">
        <f>'Datu ievade'!M280*'Datu ievade'!J383</f>
        <v>2015.9999999999998</v>
      </c>
      <c r="K71" s="516">
        <f>'Datu ievade'!N280*'Datu ievade'!K383</f>
        <v>2047.4999999999998</v>
      </c>
      <c r="L71" s="516">
        <f>'Datu ievade'!O280*'Datu ievade'!L383</f>
        <v>2061</v>
      </c>
      <c r="M71" s="516">
        <f>'Datu ievade'!P280*'Datu ievade'!M383</f>
        <v>2092.5</v>
      </c>
      <c r="N71" s="516">
        <f>'Datu ievade'!Q280*'Datu ievade'!N383</f>
        <v>2123.9999999999995</v>
      </c>
      <c r="O71" s="516">
        <f>'Datu ievade'!R280*'Datu ievade'!O383</f>
        <v>2128.4999999999995</v>
      </c>
      <c r="P71" s="516">
        <f>'Datu ievade'!S280*'Datu ievade'!P383</f>
        <v>2159.9999999999995</v>
      </c>
      <c r="Q71" s="516">
        <f>'Datu ievade'!T280*'Datu ievade'!Q383</f>
        <v>2191.4999999999995</v>
      </c>
      <c r="R71" s="516">
        <f>'Datu ievade'!U280*'Datu ievade'!R383</f>
        <v>2227.5</v>
      </c>
      <c r="S71" s="516">
        <f>'Datu ievade'!V280*'Datu ievade'!S383</f>
        <v>2259</v>
      </c>
      <c r="T71" s="516">
        <f>'Datu ievade'!W280*'Datu ievade'!T383</f>
        <v>2308.5</v>
      </c>
      <c r="U71" s="516">
        <f>'Datu ievade'!X280*'Datu ievade'!U383</f>
        <v>2322</v>
      </c>
      <c r="V71" s="516">
        <f>'Datu ievade'!Y280*'Datu ievade'!V383</f>
        <v>2362.5</v>
      </c>
      <c r="W71" s="516">
        <f>'Datu ievade'!Z280*'Datu ievade'!W383</f>
        <v>2380.5</v>
      </c>
      <c r="X71" s="516">
        <f>'Datu ievade'!AA280*'Datu ievade'!X383</f>
        <v>2398.4999999999995</v>
      </c>
      <c r="Y71" s="516">
        <f>'Datu ievade'!AB280*'Datu ievade'!Y383</f>
        <v>2416.4999999999995</v>
      </c>
      <c r="Z71" s="516">
        <f>'Datu ievade'!AC280*'Datu ievade'!Z383</f>
        <v>2434.4999999999995</v>
      </c>
      <c r="AA71" s="516">
        <f>'Datu ievade'!AD280*'Datu ievade'!AA383</f>
        <v>2447.999999999999</v>
      </c>
      <c r="AB71" s="516">
        <f>'Datu ievade'!AE280*'Datu ievade'!AB383</f>
        <v>2466</v>
      </c>
      <c r="AC71" s="516">
        <f>'Datu ievade'!AF280*'Datu ievade'!AC383</f>
        <v>2484</v>
      </c>
      <c r="AD71" s="516">
        <f>'Datu ievade'!AG280*'Datu ievade'!AD383</f>
        <v>2501.9999999999995</v>
      </c>
      <c r="AE71" s="516">
        <f>'Datu ievade'!AH280*'Datu ievade'!AE383</f>
        <v>2519.9999999999995</v>
      </c>
      <c r="AF71" s="516">
        <f>'Datu ievade'!AI280*'Datu ievade'!AF383</f>
        <v>2551.5000000000005</v>
      </c>
      <c r="AG71" s="516">
        <f>'Datu ievade'!AJ280*'Datu ievade'!AG383</f>
        <v>2582.999999999999</v>
      </c>
    </row>
    <row r="72" spans="1:33" s="514" customFormat="1" ht="12.75">
      <c r="A72" s="517" t="s">
        <v>178</v>
      </c>
      <c r="B72" s="516">
        <f>'Datu ievade'!B383*'Datu ievade'!E287</f>
        <v>960</v>
      </c>
      <c r="C72" s="516">
        <f>'Datu ievade'!C383*'Datu ievade'!F287</f>
        <v>960</v>
      </c>
      <c r="D72" s="516">
        <f>'Datu ievade'!D383*'Datu ievade'!G287</f>
        <v>1011.2</v>
      </c>
      <c r="E72" s="516">
        <f>'Datu ievade'!E383*'Datu ievade'!H287</f>
        <v>1363.2</v>
      </c>
      <c r="F72" s="516">
        <f>'Datu ievade'!F383*'Datu ievade'!I287</f>
        <v>1369.6</v>
      </c>
      <c r="G72" s="516">
        <f>'Datu ievade'!G383*'Datu ievade'!J287</f>
        <v>1385.6</v>
      </c>
      <c r="H72" s="516">
        <f>'Datu ievade'!H383*'Datu ievade'!K287</f>
        <v>1407.9999999999998</v>
      </c>
      <c r="I72" s="516">
        <f>'Datu ievade'!I383*'Datu ievade'!L287</f>
        <v>1430.3999999999999</v>
      </c>
      <c r="J72" s="516">
        <f>'Datu ievade'!J383*'Datu ievade'!M287</f>
        <v>1433.6</v>
      </c>
      <c r="K72" s="516">
        <f>'Datu ievade'!K383*'Datu ievade'!N287</f>
        <v>1455.9999999999998</v>
      </c>
      <c r="L72" s="516">
        <f>'Datu ievade'!L383*'Datu ievade'!O287</f>
        <v>1465.6</v>
      </c>
      <c r="M72" s="516">
        <f>'Datu ievade'!M383*'Datu ievade'!P287</f>
        <v>1488</v>
      </c>
      <c r="N72" s="516">
        <f>'Datu ievade'!N383*'Datu ievade'!Q287</f>
        <v>1510.3999999999996</v>
      </c>
      <c r="O72" s="516">
        <f>'Datu ievade'!O383*'Datu ievade'!R287</f>
        <v>1513.5999999999997</v>
      </c>
      <c r="P72" s="516">
        <f>'Datu ievade'!P383*'Datu ievade'!S287</f>
        <v>1535.9999999999998</v>
      </c>
      <c r="Q72" s="516">
        <f>'Datu ievade'!Q383*'Datu ievade'!T287</f>
        <v>1558.3999999999999</v>
      </c>
      <c r="R72" s="516">
        <f>'Datu ievade'!R383*'Datu ievade'!U287</f>
        <v>1584</v>
      </c>
      <c r="S72" s="516">
        <f>'Datu ievade'!S383*'Datu ievade'!V287</f>
        <v>1606.4</v>
      </c>
      <c r="T72" s="516">
        <f>'Datu ievade'!T383*'Datu ievade'!W287</f>
        <v>1641.6000000000001</v>
      </c>
      <c r="U72" s="516">
        <f>'Datu ievade'!U383*'Datu ievade'!X287</f>
        <v>1651.2</v>
      </c>
      <c r="V72" s="516">
        <f>'Datu ievade'!V383*'Datu ievade'!Y287</f>
        <v>1680</v>
      </c>
      <c r="W72" s="516">
        <f>'Datu ievade'!W383*'Datu ievade'!Z287</f>
        <v>1692.8000000000002</v>
      </c>
      <c r="X72" s="516">
        <f>'Datu ievade'!X383*'Datu ievade'!AA287</f>
        <v>1705.5999999999997</v>
      </c>
      <c r="Y72" s="516">
        <f>'Datu ievade'!Y383*'Datu ievade'!AB287</f>
        <v>1718.3999999999996</v>
      </c>
      <c r="Z72" s="516">
        <f>'Datu ievade'!Z383*'Datu ievade'!AC287</f>
        <v>1731.1999999999998</v>
      </c>
      <c r="AA72" s="516">
        <f>'Datu ievade'!AA383*'Datu ievade'!AD287</f>
        <v>1740.7999999999995</v>
      </c>
      <c r="AB72" s="516">
        <f>'Datu ievade'!AB383*'Datu ievade'!AE287</f>
        <v>1753.6000000000001</v>
      </c>
      <c r="AC72" s="516">
        <f>'Datu ievade'!AC383*'Datu ievade'!AF287</f>
        <v>1766.4</v>
      </c>
      <c r="AD72" s="516">
        <f>'Datu ievade'!AD383*'Datu ievade'!AG287</f>
        <v>1779.1999999999998</v>
      </c>
      <c r="AE72" s="516">
        <f>'Datu ievade'!AE383*'Datu ievade'!AH287</f>
        <v>1791.9999999999998</v>
      </c>
      <c r="AF72" s="516">
        <f>'Datu ievade'!AF383*'Datu ievade'!AI287</f>
        <v>1814.4</v>
      </c>
      <c r="AG72" s="516">
        <f>'Datu ievade'!AG383*'Datu ievade'!AJ287</f>
        <v>1836.7999999999995</v>
      </c>
    </row>
    <row r="73" spans="1:35" s="443" customFormat="1" ht="12.75">
      <c r="A73" s="518" t="s">
        <v>179</v>
      </c>
      <c r="B73" s="520">
        <f>SUM(B70:B72)</f>
        <v>14475.449999999999</v>
      </c>
      <c r="C73" s="520">
        <f aca="true" t="shared" si="13" ref="C73:AG73">SUM(C70:C72)</f>
        <v>14475.449999999999</v>
      </c>
      <c r="D73" s="520">
        <f t="shared" si="13"/>
        <v>16966.04</v>
      </c>
      <c r="E73" s="520">
        <f t="shared" si="13"/>
        <v>22871.94</v>
      </c>
      <c r="F73" s="520">
        <f t="shared" si="13"/>
        <v>22979.32</v>
      </c>
      <c r="G73" s="520">
        <f t="shared" si="13"/>
        <v>23247.769999999997</v>
      </c>
      <c r="H73" s="520">
        <f t="shared" si="13"/>
        <v>23623.6</v>
      </c>
      <c r="I73" s="520">
        <f t="shared" si="13"/>
        <v>23999.43</v>
      </c>
      <c r="J73" s="520">
        <f t="shared" si="13"/>
        <v>24053.119999999995</v>
      </c>
      <c r="K73" s="520">
        <f t="shared" si="13"/>
        <v>24428.949999999997</v>
      </c>
      <c r="L73" s="520">
        <f t="shared" si="13"/>
        <v>24590.019999999997</v>
      </c>
      <c r="M73" s="520">
        <f t="shared" si="13"/>
        <v>24965.850000000002</v>
      </c>
      <c r="N73" s="520">
        <f t="shared" si="13"/>
        <v>25341.679999999993</v>
      </c>
      <c r="O73" s="520">
        <f t="shared" si="13"/>
        <v>25395.369999999995</v>
      </c>
      <c r="P73" s="520">
        <f t="shared" si="13"/>
        <v>25771.199999999997</v>
      </c>
      <c r="Q73" s="520">
        <f t="shared" si="13"/>
        <v>26147.03</v>
      </c>
      <c r="R73" s="520">
        <f t="shared" si="13"/>
        <v>26576.55</v>
      </c>
      <c r="S73" s="520">
        <f t="shared" si="13"/>
        <v>26952.38</v>
      </c>
      <c r="T73" s="520">
        <f t="shared" si="13"/>
        <v>27542.969999999998</v>
      </c>
      <c r="U73" s="520">
        <f t="shared" si="13"/>
        <v>27704.04</v>
      </c>
      <c r="V73" s="520">
        <f t="shared" si="13"/>
        <v>28187.25</v>
      </c>
      <c r="W73" s="520">
        <f t="shared" si="13"/>
        <v>28402.010000000002</v>
      </c>
      <c r="X73" s="520">
        <f t="shared" si="13"/>
        <v>28616.769999999993</v>
      </c>
      <c r="Y73" s="520">
        <f t="shared" si="13"/>
        <v>28831.53</v>
      </c>
      <c r="Z73" s="520">
        <f t="shared" si="13"/>
        <v>29046.289999999997</v>
      </c>
      <c r="AA73" s="520">
        <f t="shared" si="13"/>
        <v>29207.35999999999</v>
      </c>
      <c r="AB73" s="520">
        <f t="shared" si="13"/>
        <v>29422.12</v>
      </c>
      <c r="AC73" s="520">
        <f t="shared" si="13"/>
        <v>29636.880000000005</v>
      </c>
      <c r="AD73" s="520">
        <f t="shared" si="13"/>
        <v>29851.64</v>
      </c>
      <c r="AE73" s="520">
        <f t="shared" si="13"/>
        <v>30066.399999999998</v>
      </c>
      <c r="AF73" s="520">
        <f t="shared" si="13"/>
        <v>30442.230000000003</v>
      </c>
      <c r="AG73" s="520">
        <f t="shared" si="13"/>
        <v>30818.05999999999</v>
      </c>
      <c r="AH73" s="155"/>
      <c r="AI73" s="155"/>
    </row>
    <row r="74" spans="1:35" s="443" customFormat="1" ht="12.75">
      <c r="A74" s="601" t="s">
        <v>180</v>
      </c>
      <c r="B74" s="520">
        <f>B73+B69</f>
        <v>29209.199999999997</v>
      </c>
      <c r="C74" s="520">
        <f aca="true" t="shared" si="14" ref="C74:AG74">C73+C69</f>
        <v>29209.199999999997</v>
      </c>
      <c r="D74" s="520">
        <f t="shared" si="14"/>
        <v>33149.052500000005</v>
      </c>
      <c r="E74" s="520">
        <f t="shared" si="14"/>
        <v>47669.78999999999</v>
      </c>
      <c r="F74" s="520">
        <f t="shared" si="14"/>
        <v>48179.7325</v>
      </c>
      <c r="G74" s="520">
        <f t="shared" si="14"/>
        <v>48528.69499999999</v>
      </c>
      <c r="H74" s="520">
        <f t="shared" si="14"/>
        <v>49065.55</v>
      </c>
      <c r="I74" s="520">
        <f t="shared" si="14"/>
        <v>49843.942500000005</v>
      </c>
      <c r="J74" s="520">
        <f t="shared" si="14"/>
        <v>50300.19499999999</v>
      </c>
      <c r="K74" s="520">
        <f t="shared" si="14"/>
        <v>50837.049999999996</v>
      </c>
      <c r="L74" s="520">
        <f t="shared" si="14"/>
        <v>51642.219999999994</v>
      </c>
      <c r="M74" s="520">
        <f t="shared" si="14"/>
        <v>52340.100000000006</v>
      </c>
      <c r="N74" s="520">
        <f t="shared" si="14"/>
        <v>53118.49249999999</v>
      </c>
      <c r="O74" s="520">
        <f t="shared" si="14"/>
        <v>53333.20749999999</v>
      </c>
      <c r="P74" s="520">
        <f t="shared" si="14"/>
        <v>53950.575</v>
      </c>
      <c r="Q74" s="520">
        <f t="shared" si="14"/>
        <v>54728.96749999999</v>
      </c>
      <c r="R74" s="520">
        <f t="shared" si="14"/>
        <v>55561.04999999999</v>
      </c>
      <c r="S74" s="520">
        <f t="shared" si="14"/>
        <v>56822.5175</v>
      </c>
      <c r="T74" s="520">
        <f t="shared" si="14"/>
        <v>57815.67</v>
      </c>
      <c r="U74" s="520">
        <f t="shared" si="14"/>
        <v>58137.765</v>
      </c>
      <c r="V74" s="520">
        <f t="shared" si="14"/>
        <v>58862.5125</v>
      </c>
      <c r="W74" s="520">
        <f t="shared" si="14"/>
        <v>59238.2975</v>
      </c>
      <c r="X74" s="520">
        <f t="shared" si="14"/>
        <v>59614.082500000004</v>
      </c>
      <c r="Y74" s="520">
        <f t="shared" si="14"/>
        <v>60070.380000000005</v>
      </c>
      <c r="Z74" s="520">
        <f t="shared" si="14"/>
        <v>60446.16500000001</v>
      </c>
      <c r="AA74" s="520">
        <f t="shared" si="14"/>
        <v>60848.77249999999</v>
      </c>
      <c r="AB74" s="520">
        <f t="shared" si="14"/>
        <v>61546.6075</v>
      </c>
      <c r="AC74" s="520">
        <f t="shared" si="14"/>
        <v>62002.905000000006</v>
      </c>
      <c r="AD74" s="520">
        <f t="shared" si="14"/>
        <v>62056.64000000001</v>
      </c>
      <c r="AE74" s="520">
        <f t="shared" si="14"/>
        <v>62834.98749999999</v>
      </c>
      <c r="AF74" s="520">
        <f t="shared" si="14"/>
        <v>63774.405000000006</v>
      </c>
      <c r="AG74" s="520">
        <f t="shared" si="14"/>
        <v>64472.28499999999</v>
      </c>
      <c r="AH74" s="155"/>
      <c r="AI74" s="155"/>
    </row>
    <row r="75" spans="1:35" s="443" customFormat="1" ht="12.75">
      <c r="A75" s="601" t="s">
        <v>181</v>
      </c>
      <c r="B75" s="520">
        <f>B74-B65</f>
        <v>1890.1599999999962</v>
      </c>
      <c r="C75" s="520">
        <f aca="true" t="shared" si="15" ref="C75:AG75">C74-C65</f>
        <v>1274.2887999999948</v>
      </c>
      <c r="D75" s="520">
        <f t="shared" si="15"/>
        <v>7278.779700000006</v>
      </c>
      <c r="E75" s="520">
        <f t="shared" si="15"/>
        <v>27443.705599999994</v>
      </c>
      <c r="F75" s="520">
        <f t="shared" si="15"/>
        <v>28084.6505</v>
      </c>
      <c r="G75" s="520">
        <f t="shared" si="15"/>
        <v>27999.332799999993</v>
      </c>
      <c r="H75" s="520">
        <f t="shared" si="15"/>
        <v>28101.907600000002</v>
      </c>
      <c r="I75" s="520">
        <f t="shared" si="15"/>
        <v>28446.019900000007</v>
      </c>
      <c r="J75" s="520">
        <f t="shared" si="15"/>
        <v>28467.992199999993</v>
      </c>
      <c r="K75" s="520">
        <f t="shared" si="15"/>
        <v>28570.566999999995</v>
      </c>
      <c r="L75" s="520">
        <f t="shared" si="15"/>
        <v>28941.456799999993</v>
      </c>
      <c r="M75" s="520">
        <f t="shared" si="15"/>
        <v>29205.056600000004</v>
      </c>
      <c r="N75" s="520">
        <f t="shared" si="15"/>
        <v>29549.168899999997</v>
      </c>
      <c r="O75" s="520">
        <f t="shared" si="15"/>
        <v>29374.60369999999</v>
      </c>
      <c r="P75" s="520">
        <f t="shared" si="15"/>
        <v>29444.786499999995</v>
      </c>
      <c r="Q75" s="520">
        <f t="shared" si="15"/>
        <v>29675.99429999999</v>
      </c>
      <c r="R75" s="520">
        <f t="shared" si="15"/>
        <v>29960.892099999983</v>
      </c>
      <c r="S75" s="520">
        <f t="shared" si="15"/>
        <v>30675.174900000005</v>
      </c>
      <c r="T75" s="520">
        <f t="shared" si="15"/>
        <v>31121.142699999997</v>
      </c>
      <c r="U75" s="520">
        <f t="shared" si="15"/>
        <v>30896.053</v>
      </c>
      <c r="V75" s="520">
        <f t="shared" si="15"/>
        <v>31004.125399999997</v>
      </c>
      <c r="W75" s="520">
        <f t="shared" si="15"/>
        <v>30763.2353</v>
      </c>
      <c r="X75" s="520">
        <f t="shared" si="15"/>
        <v>30522.345200000003</v>
      </c>
      <c r="Y75" s="520">
        <f t="shared" si="15"/>
        <v>30361.967600000004</v>
      </c>
      <c r="Z75" s="520">
        <f t="shared" si="15"/>
        <v>30121.077500000007</v>
      </c>
      <c r="AA75" s="520">
        <f t="shared" si="15"/>
        <v>29907.00989999999</v>
      </c>
      <c r="AB75" s="520">
        <f t="shared" si="15"/>
        <v>29988.1698</v>
      </c>
      <c r="AC75" s="520">
        <f t="shared" si="15"/>
        <v>29827.792200000007</v>
      </c>
      <c r="AD75" s="520">
        <f t="shared" si="15"/>
        <v>29264.85210000001</v>
      </c>
      <c r="AE75" s="520">
        <f t="shared" si="15"/>
        <v>29426.524499999985</v>
      </c>
      <c r="AF75" s="520">
        <f t="shared" si="15"/>
        <v>29794.26690000001</v>
      </c>
      <c r="AG75" s="520">
        <f t="shared" si="15"/>
        <v>29762.567299999988</v>
      </c>
      <c r="AH75" s="155"/>
      <c r="AI75" s="155"/>
    </row>
    <row r="76" s="155" customFormat="1" ht="11.25"/>
    <row r="77" spans="1:254" s="209" customFormat="1" ht="31.5">
      <c r="A77" s="447" t="s">
        <v>427</v>
      </c>
      <c r="B77" s="315"/>
      <c r="C77" s="315"/>
      <c r="D77" s="315"/>
      <c r="E77" s="316"/>
      <c r="F77" s="316"/>
      <c r="G77" s="316"/>
      <c r="H77" s="316"/>
      <c r="I77" s="316"/>
      <c r="J77" s="316"/>
      <c r="K77" s="316"/>
      <c r="L77" s="316"/>
      <c r="M77" s="316"/>
      <c r="N77" s="316"/>
      <c r="O77" s="316"/>
      <c r="P77" s="316"/>
      <c r="Q77" s="316"/>
      <c r="R77" s="316"/>
      <c r="S77" s="317"/>
      <c r="T77" s="317"/>
      <c r="U77" s="317"/>
      <c r="V77" s="317"/>
      <c r="W77" s="317"/>
      <c r="X77" s="317"/>
      <c r="Y77" s="317"/>
      <c r="Z77" s="317"/>
      <c r="AA77" s="317"/>
      <c r="AB77" s="317"/>
      <c r="AC77" s="317"/>
      <c r="AD77" s="317"/>
      <c r="AE77" s="317"/>
      <c r="AF77" s="317"/>
      <c r="AG77" s="317"/>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c r="IQ77" s="208"/>
      <c r="IR77" s="208"/>
      <c r="IS77" s="208"/>
      <c r="IT77" s="208"/>
    </row>
    <row r="78" spans="1:254" s="209" customFormat="1" ht="12.75">
      <c r="A78" s="329"/>
      <c r="B78" s="330"/>
      <c r="C78" s="330"/>
      <c r="D78" s="330"/>
      <c r="E78" s="331"/>
      <c r="F78" s="331"/>
      <c r="G78" s="331"/>
      <c r="H78" s="331"/>
      <c r="I78" s="331"/>
      <c r="J78" s="331"/>
      <c r="K78" s="331" t="s">
        <v>25</v>
      </c>
      <c r="L78" s="331"/>
      <c r="M78" s="331"/>
      <c r="N78" s="331"/>
      <c r="O78" s="331"/>
      <c r="P78" s="331"/>
      <c r="Q78" s="331"/>
      <c r="R78" s="331"/>
      <c r="S78" s="330"/>
      <c r="T78" s="330"/>
      <c r="U78" s="287"/>
      <c r="V78" s="287"/>
      <c r="W78" s="287"/>
      <c r="X78" s="287"/>
      <c r="Y78" s="287"/>
      <c r="Z78" s="287"/>
      <c r="AA78" s="287"/>
      <c r="AB78" s="287"/>
      <c r="AC78" s="287"/>
      <c r="AD78" s="287"/>
      <c r="AE78" s="287"/>
      <c r="AF78" s="287"/>
      <c r="AG78" s="287"/>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c r="CO78" s="208"/>
      <c r="CP78" s="208"/>
      <c r="CQ78" s="208"/>
      <c r="CR78" s="208"/>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c r="IQ78" s="208"/>
      <c r="IR78" s="208"/>
      <c r="IS78" s="208"/>
      <c r="IT78" s="208"/>
    </row>
    <row r="79" spans="1:33" s="328" customFormat="1" ht="12.75">
      <c r="A79" s="332"/>
      <c r="B79" s="321">
        <f>'Saimnieciskas pamatdarbibas NP'!B5</f>
        <v>2011</v>
      </c>
      <c r="C79" s="321">
        <f aca="true" t="shared" si="16" ref="C79:AG79">B79+1</f>
        <v>2012</v>
      </c>
      <c r="D79" s="321">
        <f t="shared" si="16"/>
        <v>2013</v>
      </c>
      <c r="E79" s="321">
        <f t="shared" si="16"/>
        <v>2014</v>
      </c>
      <c r="F79" s="321">
        <f t="shared" si="16"/>
        <v>2015</v>
      </c>
      <c r="G79" s="321">
        <f t="shared" si="16"/>
        <v>2016</v>
      </c>
      <c r="H79" s="321">
        <f t="shared" si="16"/>
        <v>2017</v>
      </c>
      <c r="I79" s="321">
        <f t="shared" si="16"/>
        <v>2018</v>
      </c>
      <c r="J79" s="321">
        <f t="shared" si="16"/>
        <v>2019</v>
      </c>
      <c r="K79" s="321">
        <f t="shared" si="16"/>
        <v>2020</v>
      </c>
      <c r="L79" s="321">
        <f t="shared" si="16"/>
        <v>2021</v>
      </c>
      <c r="M79" s="321">
        <f t="shared" si="16"/>
        <v>2022</v>
      </c>
      <c r="N79" s="321">
        <f t="shared" si="16"/>
        <v>2023</v>
      </c>
      <c r="O79" s="321">
        <f t="shared" si="16"/>
        <v>2024</v>
      </c>
      <c r="P79" s="321">
        <f t="shared" si="16"/>
        <v>2025</v>
      </c>
      <c r="Q79" s="321">
        <f t="shared" si="16"/>
        <v>2026</v>
      </c>
      <c r="R79" s="321">
        <f t="shared" si="16"/>
        <v>2027</v>
      </c>
      <c r="S79" s="321">
        <f t="shared" si="16"/>
        <v>2028</v>
      </c>
      <c r="T79" s="321">
        <f t="shared" si="16"/>
        <v>2029</v>
      </c>
      <c r="U79" s="321">
        <f t="shared" si="16"/>
        <v>2030</v>
      </c>
      <c r="V79" s="321">
        <f t="shared" si="16"/>
        <v>2031</v>
      </c>
      <c r="W79" s="321">
        <f t="shared" si="16"/>
        <v>2032</v>
      </c>
      <c r="X79" s="321">
        <f t="shared" si="16"/>
        <v>2033</v>
      </c>
      <c r="Y79" s="321">
        <f t="shared" si="16"/>
        <v>2034</v>
      </c>
      <c r="Z79" s="321">
        <f t="shared" si="16"/>
        <v>2035</v>
      </c>
      <c r="AA79" s="321">
        <f t="shared" si="16"/>
        <v>2036</v>
      </c>
      <c r="AB79" s="321">
        <f t="shared" si="16"/>
        <v>2037</v>
      </c>
      <c r="AC79" s="321">
        <f t="shared" si="16"/>
        <v>2038</v>
      </c>
      <c r="AD79" s="321">
        <f t="shared" si="16"/>
        <v>2039</v>
      </c>
      <c r="AE79" s="321">
        <f t="shared" si="16"/>
        <v>2040</v>
      </c>
      <c r="AF79" s="321">
        <f t="shared" si="16"/>
        <v>2041</v>
      </c>
      <c r="AG79" s="321">
        <f t="shared" si="16"/>
        <v>2042</v>
      </c>
    </row>
    <row r="80" spans="1:33" s="328" customFormat="1" ht="12.75">
      <c r="A80" s="333" t="s">
        <v>149</v>
      </c>
      <c r="B80" s="334"/>
      <c r="C80" s="334"/>
      <c r="D80" s="334"/>
      <c r="E80" s="334"/>
      <c r="F80" s="334"/>
      <c r="G80" s="334"/>
      <c r="H80" s="334"/>
      <c r="I80" s="334"/>
      <c r="J80" s="334"/>
      <c r="K80" s="334"/>
      <c r="L80" s="334"/>
      <c r="M80" s="334"/>
      <c r="N80" s="334"/>
      <c r="O80" s="334"/>
      <c r="P80" s="334"/>
      <c r="Q80" s="334"/>
      <c r="R80" s="334"/>
      <c r="S80" s="334"/>
      <c r="T80" s="334"/>
      <c r="U80" s="327"/>
      <c r="V80" s="327"/>
      <c r="W80" s="327"/>
      <c r="X80" s="327"/>
      <c r="Y80" s="327"/>
      <c r="Z80" s="322"/>
      <c r="AA80" s="322"/>
      <c r="AB80" s="322"/>
      <c r="AC80" s="322"/>
      <c r="AD80" s="322"/>
      <c r="AE80" s="322"/>
      <c r="AF80" s="322"/>
      <c r="AG80" s="322"/>
    </row>
    <row r="81" spans="1:33" s="328" customFormat="1" ht="12.75">
      <c r="A81" s="335" t="s">
        <v>150</v>
      </c>
      <c r="B81" s="336">
        <f aca="true" t="shared" si="17" ref="B81:B100">B44-B7</f>
        <v>0</v>
      </c>
      <c r="C81" s="336">
        <f aca="true" t="shared" si="18" ref="C81:AG89">C44-C7</f>
        <v>0</v>
      </c>
      <c r="D81" s="336">
        <f t="shared" si="18"/>
        <v>-1500</v>
      </c>
      <c r="E81" s="336">
        <f t="shared" si="18"/>
        <v>-4500</v>
      </c>
      <c r="F81" s="336">
        <f t="shared" si="18"/>
        <v>-4950</v>
      </c>
      <c r="G81" s="336">
        <f t="shared" si="18"/>
        <v>-5040.000000000001</v>
      </c>
      <c r="H81" s="336">
        <f t="shared" si="18"/>
        <v>-5130</v>
      </c>
      <c r="I81" s="336">
        <f t="shared" si="18"/>
        <v>-5220</v>
      </c>
      <c r="J81" s="336">
        <f t="shared" si="18"/>
        <v>-5310</v>
      </c>
      <c r="K81" s="336">
        <f t="shared" si="18"/>
        <v>-5400</v>
      </c>
      <c r="L81" s="336">
        <f t="shared" si="18"/>
        <v>-5490</v>
      </c>
      <c r="M81" s="336">
        <f t="shared" si="18"/>
        <v>-5580</v>
      </c>
      <c r="N81" s="336">
        <f t="shared" si="18"/>
        <v>-5670</v>
      </c>
      <c r="O81" s="336">
        <f t="shared" si="18"/>
        <v>-5805</v>
      </c>
      <c r="P81" s="336">
        <f t="shared" si="18"/>
        <v>-5940</v>
      </c>
      <c r="Q81" s="336">
        <f t="shared" si="18"/>
        <v>-6075</v>
      </c>
      <c r="R81" s="336">
        <f t="shared" si="18"/>
        <v>-6209.999999999999</v>
      </c>
      <c r="S81" s="336">
        <f t="shared" si="18"/>
        <v>-6345</v>
      </c>
      <c r="T81" s="336">
        <f t="shared" si="18"/>
        <v>-6480</v>
      </c>
      <c r="U81" s="336">
        <f t="shared" si="18"/>
        <v>-6615</v>
      </c>
      <c r="V81" s="336">
        <f t="shared" si="18"/>
        <v>-6750</v>
      </c>
      <c r="W81" s="336">
        <f t="shared" si="18"/>
        <v>-6885</v>
      </c>
      <c r="X81" s="336">
        <f t="shared" si="18"/>
        <v>-7020</v>
      </c>
      <c r="Y81" s="336">
        <f t="shared" si="18"/>
        <v>-7155</v>
      </c>
      <c r="Z81" s="336">
        <f t="shared" si="18"/>
        <v>-7290.000000000001</v>
      </c>
      <c r="AA81" s="336">
        <f t="shared" si="18"/>
        <v>-7425</v>
      </c>
      <c r="AB81" s="336">
        <f t="shared" si="18"/>
        <v>-7560</v>
      </c>
      <c r="AC81" s="336">
        <f t="shared" si="18"/>
        <v>-7695</v>
      </c>
      <c r="AD81" s="336">
        <f t="shared" si="18"/>
        <v>-7830</v>
      </c>
      <c r="AE81" s="336">
        <f t="shared" si="18"/>
        <v>-7965</v>
      </c>
      <c r="AF81" s="336">
        <f t="shared" si="18"/>
        <v>-8145</v>
      </c>
      <c r="AG81" s="336">
        <f t="shared" si="18"/>
        <v>-8325</v>
      </c>
    </row>
    <row r="82" spans="1:33" s="328" customFormat="1" ht="12.75">
      <c r="A82" s="337" t="s">
        <v>151</v>
      </c>
      <c r="B82" s="336">
        <f t="shared" si="17"/>
        <v>0</v>
      </c>
      <c r="C82" s="336">
        <f aca="true" t="shared" si="19" ref="C82:Q82">C45-C8</f>
        <v>0</v>
      </c>
      <c r="D82" s="336">
        <f t="shared" si="19"/>
        <v>0</v>
      </c>
      <c r="E82" s="336">
        <f t="shared" si="19"/>
        <v>100</v>
      </c>
      <c r="F82" s="336">
        <f t="shared" si="19"/>
        <v>108</v>
      </c>
      <c r="G82" s="336">
        <f t="shared" si="19"/>
        <v>110</v>
      </c>
      <c r="H82" s="336">
        <f t="shared" si="19"/>
        <v>112</v>
      </c>
      <c r="I82" s="336">
        <f t="shared" si="19"/>
        <v>113.99999999999955</v>
      </c>
      <c r="J82" s="336">
        <f t="shared" si="19"/>
        <v>115.99999999999955</v>
      </c>
      <c r="K82" s="336">
        <f t="shared" si="19"/>
        <v>118</v>
      </c>
      <c r="L82" s="336">
        <f t="shared" si="19"/>
        <v>120</v>
      </c>
      <c r="M82" s="336">
        <f t="shared" si="19"/>
        <v>122</v>
      </c>
      <c r="N82" s="336">
        <f t="shared" si="19"/>
        <v>124</v>
      </c>
      <c r="O82" s="336">
        <f t="shared" si="19"/>
        <v>126</v>
      </c>
      <c r="P82" s="336">
        <f t="shared" si="19"/>
        <v>129</v>
      </c>
      <c r="Q82" s="336">
        <f t="shared" si="19"/>
        <v>132</v>
      </c>
      <c r="R82" s="336">
        <f t="shared" si="18"/>
        <v>135</v>
      </c>
      <c r="S82" s="336">
        <f t="shared" si="18"/>
        <v>138</v>
      </c>
      <c r="T82" s="336">
        <f t="shared" si="18"/>
        <v>141</v>
      </c>
      <c r="U82" s="336">
        <f t="shared" si="18"/>
        <v>144</v>
      </c>
      <c r="V82" s="336">
        <f t="shared" si="18"/>
        <v>147</v>
      </c>
      <c r="W82" s="336">
        <f t="shared" si="18"/>
        <v>150</v>
      </c>
      <c r="X82" s="336">
        <f t="shared" si="18"/>
        <v>153</v>
      </c>
      <c r="Y82" s="336">
        <f t="shared" si="18"/>
        <v>156</v>
      </c>
      <c r="Z82" s="336">
        <f t="shared" si="18"/>
        <v>159</v>
      </c>
      <c r="AA82" s="336">
        <f t="shared" si="18"/>
        <v>162</v>
      </c>
      <c r="AB82" s="336">
        <f t="shared" si="18"/>
        <v>165</v>
      </c>
      <c r="AC82" s="336">
        <f t="shared" si="18"/>
        <v>168</v>
      </c>
      <c r="AD82" s="336">
        <f t="shared" si="18"/>
        <v>171</v>
      </c>
      <c r="AE82" s="336">
        <f t="shared" si="18"/>
        <v>174</v>
      </c>
      <c r="AF82" s="336">
        <f t="shared" si="18"/>
        <v>177</v>
      </c>
      <c r="AG82" s="336">
        <f t="shared" si="18"/>
        <v>181</v>
      </c>
    </row>
    <row r="83" spans="1:33" s="328" customFormat="1" ht="12.75">
      <c r="A83" s="337" t="s">
        <v>152</v>
      </c>
      <c r="B83" s="336">
        <f t="shared" si="17"/>
        <v>0</v>
      </c>
      <c r="C83" s="336">
        <f t="shared" si="18"/>
        <v>0</v>
      </c>
      <c r="D83" s="336">
        <f t="shared" si="18"/>
        <v>0</v>
      </c>
      <c r="E83" s="336">
        <f t="shared" si="18"/>
        <v>250</v>
      </c>
      <c r="F83" s="336">
        <f t="shared" si="18"/>
        <v>270</v>
      </c>
      <c r="G83" s="336">
        <f t="shared" si="18"/>
        <v>274.9999999999999</v>
      </c>
      <c r="H83" s="336">
        <f t="shared" si="18"/>
        <v>279.9999999999999</v>
      </c>
      <c r="I83" s="336">
        <f t="shared" si="18"/>
        <v>285.0000000000001</v>
      </c>
      <c r="J83" s="336">
        <f t="shared" si="18"/>
        <v>290.0000000000001</v>
      </c>
      <c r="K83" s="336">
        <f t="shared" si="18"/>
        <v>295</v>
      </c>
      <c r="L83" s="336">
        <f t="shared" si="18"/>
        <v>300</v>
      </c>
      <c r="M83" s="336">
        <f t="shared" si="18"/>
        <v>305</v>
      </c>
      <c r="N83" s="336">
        <f t="shared" si="18"/>
        <v>310</v>
      </c>
      <c r="O83" s="336">
        <f t="shared" si="18"/>
        <v>315</v>
      </c>
      <c r="P83" s="336">
        <f t="shared" si="18"/>
        <v>322.5</v>
      </c>
      <c r="Q83" s="336">
        <f t="shared" si="18"/>
        <v>330</v>
      </c>
      <c r="R83" s="336">
        <f t="shared" si="18"/>
        <v>337.4999999999999</v>
      </c>
      <c r="S83" s="336">
        <f t="shared" si="18"/>
        <v>345</v>
      </c>
      <c r="T83" s="336">
        <f t="shared" si="18"/>
        <v>352.5</v>
      </c>
      <c r="U83" s="336">
        <f t="shared" si="18"/>
        <v>360</v>
      </c>
      <c r="V83" s="336">
        <f t="shared" si="18"/>
        <v>367.5</v>
      </c>
      <c r="W83" s="336">
        <f t="shared" si="18"/>
        <v>375</v>
      </c>
      <c r="X83" s="336">
        <f t="shared" si="18"/>
        <v>382.5</v>
      </c>
      <c r="Y83" s="336">
        <f t="shared" si="18"/>
        <v>390</v>
      </c>
      <c r="Z83" s="336">
        <f t="shared" si="18"/>
        <v>397.5</v>
      </c>
      <c r="AA83" s="336">
        <f t="shared" si="18"/>
        <v>405</v>
      </c>
      <c r="AB83" s="336">
        <f t="shared" si="18"/>
        <v>412.5</v>
      </c>
      <c r="AC83" s="336">
        <f t="shared" si="18"/>
        <v>420</v>
      </c>
      <c r="AD83" s="336">
        <f t="shared" si="18"/>
        <v>427.5</v>
      </c>
      <c r="AE83" s="336">
        <f t="shared" si="18"/>
        <v>435</v>
      </c>
      <c r="AF83" s="336">
        <f t="shared" si="18"/>
        <v>442.5</v>
      </c>
      <c r="AG83" s="336">
        <f t="shared" si="18"/>
        <v>452.5</v>
      </c>
    </row>
    <row r="84" spans="1:33" s="328" customFormat="1" ht="12.75">
      <c r="A84" s="337" t="s">
        <v>153</v>
      </c>
      <c r="B84" s="336">
        <f t="shared" si="17"/>
        <v>0</v>
      </c>
      <c r="C84" s="336">
        <f t="shared" si="18"/>
        <v>0</v>
      </c>
      <c r="D84" s="336">
        <f t="shared" si="18"/>
        <v>0</v>
      </c>
      <c r="E84" s="336">
        <f t="shared" si="18"/>
        <v>0</v>
      </c>
      <c r="F84" s="336">
        <f t="shared" si="18"/>
        <v>0</v>
      </c>
      <c r="G84" s="336">
        <f t="shared" si="18"/>
        <v>0</v>
      </c>
      <c r="H84" s="336">
        <f t="shared" si="18"/>
        <v>0</v>
      </c>
      <c r="I84" s="336">
        <f t="shared" si="18"/>
        <v>0</v>
      </c>
      <c r="J84" s="336">
        <f t="shared" si="18"/>
        <v>0</v>
      </c>
      <c r="K84" s="336">
        <f t="shared" si="18"/>
        <v>0</v>
      </c>
      <c r="L84" s="336">
        <f t="shared" si="18"/>
        <v>0</v>
      </c>
      <c r="M84" s="336">
        <f t="shared" si="18"/>
        <v>0</v>
      </c>
      <c r="N84" s="336">
        <f t="shared" si="18"/>
        <v>0</v>
      </c>
      <c r="O84" s="336">
        <f t="shared" si="18"/>
        <v>0</v>
      </c>
      <c r="P84" s="336">
        <f t="shared" si="18"/>
        <v>0</v>
      </c>
      <c r="Q84" s="336">
        <f t="shared" si="18"/>
        <v>0</v>
      </c>
      <c r="R84" s="336">
        <f t="shared" si="18"/>
        <v>0</v>
      </c>
      <c r="S84" s="336">
        <f t="shared" si="18"/>
        <v>0</v>
      </c>
      <c r="T84" s="336">
        <f t="shared" si="18"/>
        <v>0</v>
      </c>
      <c r="U84" s="336">
        <f t="shared" si="18"/>
        <v>0</v>
      </c>
      <c r="V84" s="336">
        <f t="shared" si="18"/>
        <v>0</v>
      </c>
      <c r="W84" s="336">
        <f t="shared" si="18"/>
        <v>0</v>
      </c>
      <c r="X84" s="336">
        <f t="shared" si="18"/>
        <v>0</v>
      </c>
      <c r="Y84" s="336">
        <f t="shared" si="18"/>
        <v>0</v>
      </c>
      <c r="Z84" s="336">
        <f t="shared" si="18"/>
        <v>0</v>
      </c>
      <c r="AA84" s="336">
        <f t="shared" si="18"/>
        <v>0</v>
      </c>
      <c r="AB84" s="336">
        <f t="shared" si="18"/>
        <v>0</v>
      </c>
      <c r="AC84" s="336">
        <f t="shared" si="18"/>
        <v>0</v>
      </c>
      <c r="AD84" s="336">
        <f t="shared" si="18"/>
        <v>0</v>
      </c>
      <c r="AE84" s="336">
        <f t="shared" si="18"/>
        <v>0</v>
      </c>
      <c r="AF84" s="336">
        <f t="shared" si="18"/>
        <v>0</v>
      </c>
      <c r="AG84" s="336">
        <f t="shared" si="18"/>
        <v>0</v>
      </c>
    </row>
    <row r="85" spans="1:33" s="328" customFormat="1" ht="12.75">
      <c r="A85" s="337" t="s">
        <v>154</v>
      </c>
      <c r="B85" s="336">
        <f t="shared" si="17"/>
        <v>0</v>
      </c>
      <c r="C85" s="336">
        <f t="shared" si="18"/>
        <v>0</v>
      </c>
      <c r="D85" s="336">
        <f t="shared" si="18"/>
        <v>-200</v>
      </c>
      <c r="E85" s="336">
        <f t="shared" si="18"/>
        <v>-400</v>
      </c>
      <c r="F85" s="336">
        <f t="shared" si="18"/>
        <v>-432</v>
      </c>
      <c r="G85" s="336">
        <f t="shared" si="18"/>
        <v>-440.00000000000006</v>
      </c>
      <c r="H85" s="336">
        <f t="shared" si="18"/>
        <v>-448.00000000000006</v>
      </c>
      <c r="I85" s="336">
        <f t="shared" si="18"/>
        <v>-455.99999999999994</v>
      </c>
      <c r="J85" s="336">
        <f t="shared" si="18"/>
        <v>-463.99999999999994</v>
      </c>
      <c r="K85" s="336">
        <f t="shared" si="18"/>
        <v>-472</v>
      </c>
      <c r="L85" s="336">
        <f t="shared" si="18"/>
        <v>-480</v>
      </c>
      <c r="M85" s="336">
        <f t="shared" si="18"/>
        <v>-488</v>
      </c>
      <c r="N85" s="336">
        <f t="shared" si="18"/>
        <v>-496</v>
      </c>
      <c r="O85" s="336">
        <f t="shared" si="18"/>
        <v>-504</v>
      </c>
      <c r="P85" s="336">
        <f t="shared" si="18"/>
        <v>-516</v>
      </c>
      <c r="Q85" s="336">
        <f t="shared" si="18"/>
        <v>-528</v>
      </c>
      <c r="R85" s="336">
        <f t="shared" si="18"/>
        <v>-540</v>
      </c>
      <c r="S85" s="336">
        <f t="shared" si="18"/>
        <v>-552</v>
      </c>
      <c r="T85" s="336">
        <f t="shared" si="18"/>
        <v>-564</v>
      </c>
      <c r="U85" s="336">
        <f t="shared" si="18"/>
        <v>-576</v>
      </c>
      <c r="V85" s="336">
        <f t="shared" si="18"/>
        <v>-588</v>
      </c>
      <c r="W85" s="336">
        <f t="shared" si="18"/>
        <v>-600</v>
      </c>
      <c r="X85" s="336">
        <f t="shared" si="18"/>
        <v>-612</v>
      </c>
      <c r="Y85" s="336">
        <f t="shared" si="18"/>
        <v>-624</v>
      </c>
      <c r="Z85" s="336">
        <f t="shared" si="18"/>
        <v>-636</v>
      </c>
      <c r="AA85" s="336">
        <f t="shared" si="18"/>
        <v>-648</v>
      </c>
      <c r="AB85" s="336">
        <f t="shared" si="18"/>
        <v>-660</v>
      </c>
      <c r="AC85" s="336">
        <f t="shared" si="18"/>
        <v>-672</v>
      </c>
      <c r="AD85" s="336">
        <f t="shared" si="18"/>
        <v>-684</v>
      </c>
      <c r="AE85" s="336">
        <f t="shared" si="18"/>
        <v>-696</v>
      </c>
      <c r="AF85" s="336">
        <f t="shared" si="18"/>
        <v>-708</v>
      </c>
      <c r="AG85" s="336">
        <f t="shared" si="18"/>
        <v>-724</v>
      </c>
    </row>
    <row r="86" spans="1:33" s="328" customFormat="1" ht="12.75">
      <c r="A86" s="338" t="s">
        <v>155</v>
      </c>
      <c r="B86" s="336">
        <f t="shared" si="17"/>
        <v>0</v>
      </c>
      <c r="C86" s="336">
        <f t="shared" si="18"/>
        <v>0</v>
      </c>
      <c r="D86" s="336">
        <f t="shared" si="18"/>
        <v>0</v>
      </c>
      <c r="E86" s="336">
        <f t="shared" si="18"/>
        <v>0</v>
      </c>
      <c r="F86" s="336">
        <f t="shared" si="18"/>
        <v>0</v>
      </c>
      <c r="G86" s="336">
        <f t="shared" si="18"/>
        <v>0</v>
      </c>
      <c r="H86" s="336">
        <f t="shared" si="18"/>
        <v>0</v>
      </c>
      <c r="I86" s="336">
        <f t="shared" si="18"/>
        <v>0</v>
      </c>
      <c r="J86" s="336">
        <f t="shared" si="18"/>
        <v>0</v>
      </c>
      <c r="K86" s="336">
        <f t="shared" si="18"/>
        <v>0</v>
      </c>
      <c r="L86" s="336">
        <f t="shared" si="18"/>
        <v>0</v>
      </c>
      <c r="M86" s="336">
        <f t="shared" si="18"/>
        <v>0</v>
      </c>
      <c r="N86" s="336">
        <f t="shared" si="18"/>
        <v>0</v>
      </c>
      <c r="O86" s="336">
        <f t="shared" si="18"/>
        <v>0</v>
      </c>
      <c r="P86" s="336">
        <f t="shared" si="18"/>
        <v>0</v>
      </c>
      <c r="Q86" s="336">
        <f t="shared" si="18"/>
        <v>0</v>
      </c>
      <c r="R86" s="336">
        <f t="shared" si="18"/>
        <v>0</v>
      </c>
      <c r="S86" s="336">
        <f t="shared" si="18"/>
        <v>0</v>
      </c>
      <c r="T86" s="336">
        <f t="shared" si="18"/>
        <v>0</v>
      </c>
      <c r="U86" s="336">
        <f t="shared" si="18"/>
        <v>0</v>
      </c>
      <c r="V86" s="336">
        <f t="shared" si="18"/>
        <v>0</v>
      </c>
      <c r="W86" s="336">
        <f t="shared" si="18"/>
        <v>0</v>
      </c>
      <c r="X86" s="336">
        <f t="shared" si="18"/>
        <v>0</v>
      </c>
      <c r="Y86" s="336">
        <f t="shared" si="18"/>
        <v>0</v>
      </c>
      <c r="Z86" s="336">
        <f t="shared" si="18"/>
        <v>0</v>
      </c>
      <c r="AA86" s="336">
        <f t="shared" si="18"/>
        <v>0</v>
      </c>
      <c r="AB86" s="336">
        <f t="shared" si="18"/>
        <v>0</v>
      </c>
      <c r="AC86" s="336">
        <f t="shared" si="18"/>
        <v>0</v>
      </c>
      <c r="AD86" s="336">
        <f t="shared" si="18"/>
        <v>0</v>
      </c>
      <c r="AE86" s="336">
        <f t="shared" si="18"/>
        <v>0</v>
      </c>
      <c r="AF86" s="336">
        <f t="shared" si="18"/>
        <v>0</v>
      </c>
      <c r="AG86" s="336">
        <f t="shared" si="18"/>
        <v>0</v>
      </c>
    </row>
    <row r="87" spans="1:33" s="328" customFormat="1" ht="12.75">
      <c r="A87" s="335" t="s">
        <v>156</v>
      </c>
      <c r="B87" s="336">
        <f t="shared" si="17"/>
        <v>0</v>
      </c>
      <c r="C87" s="336">
        <f t="shared" si="18"/>
        <v>0</v>
      </c>
      <c r="D87" s="336">
        <f t="shared" si="18"/>
        <v>-1000</v>
      </c>
      <c r="E87" s="336">
        <f t="shared" si="18"/>
        <v>-5000</v>
      </c>
      <c r="F87" s="336">
        <f t="shared" si="18"/>
        <v>-5400</v>
      </c>
      <c r="G87" s="336">
        <f t="shared" si="18"/>
        <v>-5500</v>
      </c>
      <c r="H87" s="336">
        <f t="shared" si="18"/>
        <v>-5600.000000000001</v>
      </c>
      <c r="I87" s="336">
        <f t="shared" si="18"/>
        <v>-5699.999999999999</v>
      </c>
      <c r="J87" s="336">
        <f t="shared" si="18"/>
        <v>-5800</v>
      </c>
      <c r="K87" s="336">
        <f t="shared" si="18"/>
        <v>-5900</v>
      </c>
      <c r="L87" s="336">
        <f t="shared" si="18"/>
        <v>-6000</v>
      </c>
      <c r="M87" s="336">
        <f t="shared" si="18"/>
        <v>-6100</v>
      </c>
      <c r="N87" s="336">
        <f t="shared" si="18"/>
        <v>-6200</v>
      </c>
      <c r="O87" s="336">
        <f t="shared" si="18"/>
        <v>-6300</v>
      </c>
      <c r="P87" s="336">
        <f t="shared" si="18"/>
        <v>-6450</v>
      </c>
      <c r="Q87" s="336">
        <f t="shared" si="18"/>
        <v>-6600</v>
      </c>
      <c r="R87" s="336">
        <f t="shared" si="18"/>
        <v>-6750</v>
      </c>
      <c r="S87" s="336">
        <f t="shared" si="18"/>
        <v>-6899.999999999999</v>
      </c>
      <c r="T87" s="336">
        <f t="shared" si="18"/>
        <v>-7050</v>
      </c>
      <c r="U87" s="336">
        <f t="shared" si="18"/>
        <v>-7200</v>
      </c>
      <c r="V87" s="336">
        <f t="shared" si="18"/>
        <v>-7350</v>
      </c>
      <c r="W87" s="336">
        <f t="shared" si="18"/>
        <v>-7500</v>
      </c>
      <c r="X87" s="336">
        <f t="shared" si="18"/>
        <v>-7650</v>
      </c>
      <c r="Y87" s="336">
        <f t="shared" si="18"/>
        <v>-7800</v>
      </c>
      <c r="Z87" s="336">
        <f t="shared" si="18"/>
        <v>-7950</v>
      </c>
      <c r="AA87" s="336">
        <f t="shared" si="18"/>
        <v>-8100.000000000001</v>
      </c>
      <c r="AB87" s="336">
        <f t="shared" si="18"/>
        <v>-8250</v>
      </c>
      <c r="AC87" s="336">
        <f t="shared" si="18"/>
        <v>-8400</v>
      </c>
      <c r="AD87" s="336">
        <f t="shared" si="18"/>
        <v>-8550</v>
      </c>
      <c r="AE87" s="336">
        <f t="shared" si="18"/>
        <v>-8700</v>
      </c>
      <c r="AF87" s="336">
        <f t="shared" si="18"/>
        <v>-8850</v>
      </c>
      <c r="AG87" s="336">
        <f t="shared" si="18"/>
        <v>-9050</v>
      </c>
    </row>
    <row r="88" spans="1:33" s="328" customFormat="1" ht="12.75">
      <c r="A88" s="337" t="s">
        <v>157</v>
      </c>
      <c r="B88" s="336">
        <f t="shared" si="17"/>
        <v>0</v>
      </c>
      <c r="C88" s="336">
        <f t="shared" si="18"/>
        <v>0</v>
      </c>
      <c r="D88" s="336">
        <f t="shared" si="18"/>
        <v>0</v>
      </c>
      <c r="E88" s="336">
        <f t="shared" si="18"/>
        <v>100</v>
      </c>
      <c r="F88" s="336">
        <f t="shared" si="18"/>
        <v>108</v>
      </c>
      <c r="G88" s="336">
        <f t="shared" si="18"/>
        <v>110</v>
      </c>
      <c r="H88" s="336">
        <f t="shared" si="18"/>
        <v>112</v>
      </c>
      <c r="I88" s="336">
        <f t="shared" si="18"/>
        <v>114</v>
      </c>
      <c r="J88" s="336">
        <f t="shared" si="18"/>
        <v>116</v>
      </c>
      <c r="K88" s="336">
        <f t="shared" si="18"/>
        <v>118</v>
      </c>
      <c r="L88" s="336">
        <f t="shared" si="18"/>
        <v>120</v>
      </c>
      <c r="M88" s="336">
        <f t="shared" si="18"/>
        <v>122</v>
      </c>
      <c r="N88" s="336">
        <f t="shared" si="18"/>
        <v>124</v>
      </c>
      <c r="O88" s="336">
        <f t="shared" si="18"/>
        <v>126</v>
      </c>
      <c r="P88" s="336">
        <f t="shared" si="18"/>
        <v>129</v>
      </c>
      <c r="Q88" s="336">
        <f t="shared" si="18"/>
        <v>132</v>
      </c>
      <c r="R88" s="336">
        <f t="shared" si="18"/>
        <v>135</v>
      </c>
      <c r="S88" s="336">
        <f t="shared" si="18"/>
        <v>138</v>
      </c>
      <c r="T88" s="336">
        <f t="shared" si="18"/>
        <v>141</v>
      </c>
      <c r="U88" s="336">
        <f t="shared" si="18"/>
        <v>144</v>
      </c>
      <c r="V88" s="336">
        <f t="shared" si="18"/>
        <v>147</v>
      </c>
      <c r="W88" s="336">
        <f t="shared" si="18"/>
        <v>150</v>
      </c>
      <c r="X88" s="336">
        <f t="shared" si="18"/>
        <v>153</v>
      </c>
      <c r="Y88" s="336">
        <f t="shared" si="18"/>
        <v>156</v>
      </c>
      <c r="Z88" s="336">
        <f t="shared" si="18"/>
        <v>159</v>
      </c>
      <c r="AA88" s="336">
        <f t="shared" si="18"/>
        <v>162</v>
      </c>
      <c r="AB88" s="336">
        <f t="shared" si="18"/>
        <v>165</v>
      </c>
      <c r="AC88" s="336">
        <f t="shared" si="18"/>
        <v>168</v>
      </c>
      <c r="AD88" s="336">
        <f t="shared" si="18"/>
        <v>171</v>
      </c>
      <c r="AE88" s="336">
        <f t="shared" si="18"/>
        <v>174</v>
      </c>
      <c r="AF88" s="336">
        <f t="shared" si="18"/>
        <v>177</v>
      </c>
      <c r="AG88" s="336">
        <f t="shared" si="18"/>
        <v>181</v>
      </c>
    </row>
    <row r="89" spans="1:33" s="328" customFormat="1" ht="12.75">
      <c r="A89" s="337" t="s">
        <v>158</v>
      </c>
      <c r="B89" s="336">
        <f t="shared" si="17"/>
        <v>0</v>
      </c>
      <c r="C89" s="336">
        <f t="shared" si="18"/>
        <v>0</v>
      </c>
      <c r="D89" s="336">
        <f t="shared" si="18"/>
        <v>0</v>
      </c>
      <c r="E89" s="336">
        <f t="shared" si="18"/>
        <v>150</v>
      </c>
      <c r="F89" s="336">
        <f t="shared" si="18"/>
        <v>161.99999999999994</v>
      </c>
      <c r="G89" s="336">
        <f t="shared" si="18"/>
        <v>164.99999999999994</v>
      </c>
      <c r="H89" s="336">
        <f t="shared" si="18"/>
        <v>168.00000000000006</v>
      </c>
      <c r="I89" s="336">
        <f t="shared" si="18"/>
        <v>171</v>
      </c>
      <c r="J89" s="336">
        <f t="shared" si="18"/>
        <v>174</v>
      </c>
      <c r="K89" s="336">
        <f t="shared" si="18"/>
        <v>177</v>
      </c>
      <c r="L89" s="336">
        <f t="shared" si="18"/>
        <v>180</v>
      </c>
      <c r="M89" s="336">
        <f t="shared" si="18"/>
        <v>183</v>
      </c>
      <c r="N89" s="336">
        <f t="shared" si="18"/>
        <v>186</v>
      </c>
      <c r="O89" s="336">
        <f t="shared" si="18"/>
        <v>189</v>
      </c>
      <c r="P89" s="336">
        <f t="shared" si="18"/>
        <v>193.5</v>
      </c>
      <c r="Q89" s="336">
        <f t="shared" si="18"/>
        <v>198</v>
      </c>
      <c r="R89" s="336">
        <f t="shared" si="18"/>
        <v>202.5</v>
      </c>
      <c r="S89" s="336">
        <f t="shared" si="18"/>
        <v>207</v>
      </c>
      <c r="T89" s="336">
        <f t="shared" si="18"/>
        <v>211.5</v>
      </c>
      <c r="U89" s="336">
        <f t="shared" si="18"/>
        <v>216</v>
      </c>
      <c r="V89" s="336">
        <f t="shared" si="18"/>
        <v>220.5</v>
      </c>
      <c r="W89" s="336">
        <f t="shared" si="18"/>
        <v>225</v>
      </c>
      <c r="X89" s="336">
        <f t="shared" si="18"/>
        <v>229.5</v>
      </c>
      <c r="Y89" s="336">
        <f aca="true" t="shared" si="20" ref="C89:AG97">Y52-Y15</f>
        <v>234</v>
      </c>
      <c r="Z89" s="336">
        <f t="shared" si="20"/>
        <v>238.5</v>
      </c>
      <c r="AA89" s="336">
        <f t="shared" si="20"/>
        <v>243</v>
      </c>
      <c r="AB89" s="336">
        <f t="shared" si="20"/>
        <v>247.5</v>
      </c>
      <c r="AC89" s="336">
        <f t="shared" si="20"/>
        <v>252</v>
      </c>
      <c r="AD89" s="336">
        <f t="shared" si="20"/>
        <v>256.5</v>
      </c>
      <c r="AE89" s="336">
        <f t="shared" si="20"/>
        <v>261</v>
      </c>
      <c r="AF89" s="336">
        <f t="shared" si="20"/>
        <v>265.5</v>
      </c>
      <c r="AG89" s="336">
        <f t="shared" si="20"/>
        <v>271.5</v>
      </c>
    </row>
    <row r="90" spans="1:33" s="328" customFormat="1" ht="12.75">
      <c r="A90" s="337" t="s">
        <v>159</v>
      </c>
      <c r="B90" s="336">
        <f t="shared" si="17"/>
        <v>0</v>
      </c>
      <c r="C90" s="336">
        <f t="shared" si="20"/>
        <v>0</v>
      </c>
      <c r="D90" s="336">
        <f t="shared" si="20"/>
        <v>0</v>
      </c>
      <c r="E90" s="336">
        <f t="shared" si="20"/>
        <v>0</v>
      </c>
      <c r="F90" s="336">
        <f t="shared" si="20"/>
        <v>0</v>
      </c>
      <c r="G90" s="336">
        <f t="shared" si="20"/>
        <v>0</v>
      </c>
      <c r="H90" s="336">
        <f t="shared" si="20"/>
        <v>0</v>
      </c>
      <c r="I90" s="336">
        <f t="shared" si="20"/>
        <v>0</v>
      </c>
      <c r="J90" s="336">
        <f t="shared" si="20"/>
        <v>0</v>
      </c>
      <c r="K90" s="336">
        <f t="shared" si="20"/>
        <v>0</v>
      </c>
      <c r="L90" s="336">
        <f t="shared" si="20"/>
        <v>0</v>
      </c>
      <c r="M90" s="336">
        <f t="shared" si="20"/>
        <v>0</v>
      </c>
      <c r="N90" s="336">
        <f t="shared" si="20"/>
        <v>0</v>
      </c>
      <c r="O90" s="336">
        <f t="shared" si="20"/>
        <v>0</v>
      </c>
      <c r="P90" s="336">
        <f t="shared" si="20"/>
        <v>0</v>
      </c>
      <c r="Q90" s="336">
        <f t="shared" si="20"/>
        <v>0</v>
      </c>
      <c r="R90" s="336">
        <f t="shared" si="20"/>
        <v>0</v>
      </c>
      <c r="S90" s="336">
        <f t="shared" si="20"/>
        <v>0</v>
      </c>
      <c r="T90" s="336">
        <f t="shared" si="20"/>
        <v>0</v>
      </c>
      <c r="U90" s="336">
        <f t="shared" si="20"/>
        <v>0</v>
      </c>
      <c r="V90" s="336">
        <f t="shared" si="20"/>
        <v>0</v>
      </c>
      <c r="W90" s="336">
        <f t="shared" si="20"/>
        <v>0</v>
      </c>
      <c r="X90" s="336">
        <f t="shared" si="20"/>
        <v>0</v>
      </c>
      <c r="Y90" s="336">
        <f t="shared" si="20"/>
        <v>0</v>
      </c>
      <c r="Z90" s="336">
        <f t="shared" si="20"/>
        <v>0</v>
      </c>
      <c r="AA90" s="336">
        <f t="shared" si="20"/>
        <v>0</v>
      </c>
      <c r="AB90" s="336">
        <f t="shared" si="20"/>
        <v>0</v>
      </c>
      <c r="AC90" s="336">
        <f t="shared" si="20"/>
        <v>0</v>
      </c>
      <c r="AD90" s="336">
        <f t="shared" si="20"/>
        <v>0</v>
      </c>
      <c r="AE90" s="336">
        <f t="shared" si="20"/>
        <v>0</v>
      </c>
      <c r="AF90" s="336">
        <f t="shared" si="20"/>
        <v>0</v>
      </c>
      <c r="AG90" s="336">
        <f t="shared" si="20"/>
        <v>0</v>
      </c>
    </row>
    <row r="91" spans="1:33" s="328" customFormat="1" ht="12.75">
      <c r="A91" s="337" t="s">
        <v>160</v>
      </c>
      <c r="B91" s="336">
        <f t="shared" si="17"/>
        <v>0</v>
      </c>
      <c r="C91" s="336">
        <f t="shared" si="20"/>
        <v>0</v>
      </c>
      <c r="D91" s="336">
        <f t="shared" si="20"/>
        <v>-50</v>
      </c>
      <c r="E91" s="336">
        <f t="shared" si="20"/>
        <v>-400</v>
      </c>
      <c r="F91" s="336">
        <f t="shared" si="20"/>
        <v>-432</v>
      </c>
      <c r="G91" s="336">
        <f t="shared" si="20"/>
        <v>-440.00000000000006</v>
      </c>
      <c r="H91" s="336">
        <f t="shared" si="20"/>
        <v>-448.00000000000006</v>
      </c>
      <c r="I91" s="336">
        <f t="shared" si="20"/>
        <v>-455.99999999999994</v>
      </c>
      <c r="J91" s="336">
        <f t="shared" si="20"/>
        <v>-463.99999999999994</v>
      </c>
      <c r="K91" s="336">
        <f t="shared" si="20"/>
        <v>-472</v>
      </c>
      <c r="L91" s="336">
        <f t="shared" si="20"/>
        <v>-480</v>
      </c>
      <c r="M91" s="336">
        <f t="shared" si="20"/>
        <v>-488</v>
      </c>
      <c r="N91" s="336">
        <f t="shared" si="20"/>
        <v>-496</v>
      </c>
      <c r="O91" s="336">
        <f t="shared" si="20"/>
        <v>-504</v>
      </c>
      <c r="P91" s="336">
        <f t="shared" si="20"/>
        <v>-516</v>
      </c>
      <c r="Q91" s="336">
        <f t="shared" si="20"/>
        <v>-528</v>
      </c>
      <c r="R91" s="336">
        <f t="shared" si="20"/>
        <v>-540</v>
      </c>
      <c r="S91" s="336">
        <f t="shared" si="20"/>
        <v>-552</v>
      </c>
      <c r="T91" s="336">
        <f t="shared" si="20"/>
        <v>-564</v>
      </c>
      <c r="U91" s="336">
        <f t="shared" si="20"/>
        <v>-576</v>
      </c>
      <c r="V91" s="336">
        <f t="shared" si="20"/>
        <v>-588</v>
      </c>
      <c r="W91" s="336">
        <f t="shared" si="20"/>
        <v>-600</v>
      </c>
      <c r="X91" s="336">
        <f t="shared" si="20"/>
        <v>-612</v>
      </c>
      <c r="Y91" s="336">
        <f t="shared" si="20"/>
        <v>-624</v>
      </c>
      <c r="Z91" s="336">
        <f t="shared" si="20"/>
        <v>-636</v>
      </c>
      <c r="AA91" s="336">
        <f t="shared" si="20"/>
        <v>-648</v>
      </c>
      <c r="AB91" s="336">
        <f t="shared" si="20"/>
        <v>-660</v>
      </c>
      <c r="AC91" s="336">
        <f t="shared" si="20"/>
        <v>-672</v>
      </c>
      <c r="AD91" s="336">
        <f t="shared" si="20"/>
        <v>-684</v>
      </c>
      <c r="AE91" s="336">
        <f t="shared" si="20"/>
        <v>-696</v>
      </c>
      <c r="AF91" s="336">
        <f t="shared" si="20"/>
        <v>-708</v>
      </c>
      <c r="AG91" s="336">
        <f t="shared" si="20"/>
        <v>-724</v>
      </c>
    </row>
    <row r="92" spans="1:33" s="328" customFormat="1" ht="12.75">
      <c r="A92" s="338" t="s">
        <v>161</v>
      </c>
      <c r="B92" s="336">
        <f t="shared" si="17"/>
        <v>0</v>
      </c>
      <c r="C92" s="336">
        <f t="shared" si="20"/>
        <v>0</v>
      </c>
      <c r="D92" s="336">
        <f t="shared" si="20"/>
        <v>-2750</v>
      </c>
      <c r="E92" s="336">
        <f t="shared" si="20"/>
        <v>-9700</v>
      </c>
      <c r="F92" s="336">
        <f t="shared" si="20"/>
        <v>-10565.999999999998</v>
      </c>
      <c r="G92" s="336">
        <f t="shared" si="20"/>
        <v>-10760.000000000004</v>
      </c>
      <c r="H92" s="336">
        <f t="shared" si="20"/>
        <v>-10954</v>
      </c>
      <c r="I92" s="336">
        <f t="shared" si="20"/>
        <v>-11147.999999999996</v>
      </c>
      <c r="J92" s="336">
        <f t="shared" si="20"/>
        <v>-11342.000000000002</v>
      </c>
      <c r="K92" s="336">
        <f t="shared" si="20"/>
        <v>-11536</v>
      </c>
      <c r="L92" s="336">
        <f t="shared" si="20"/>
        <v>-11730</v>
      </c>
      <c r="M92" s="336">
        <f t="shared" si="20"/>
        <v>-11924.000000000002</v>
      </c>
      <c r="N92" s="336">
        <f t="shared" si="20"/>
        <v>-12118</v>
      </c>
      <c r="O92" s="336">
        <f t="shared" si="20"/>
        <v>-12357</v>
      </c>
      <c r="P92" s="336">
        <f t="shared" si="20"/>
        <v>-12648</v>
      </c>
      <c r="Q92" s="336">
        <f t="shared" si="20"/>
        <v>-12939</v>
      </c>
      <c r="R92" s="336">
        <f t="shared" si="20"/>
        <v>-13229.999999999996</v>
      </c>
      <c r="S92" s="336">
        <f t="shared" si="20"/>
        <v>-13521</v>
      </c>
      <c r="T92" s="336">
        <f t="shared" si="20"/>
        <v>-13812</v>
      </c>
      <c r="U92" s="336">
        <f t="shared" si="20"/>
        <v>-14103</v>
      </c>
      <c r="V92" s="336">
        <f t="shared" si="20"/>
        <v>-14394.000000000002</v>
      </c>
      <c r="W92" s="336">
        <f t="shared" si="20"/>
        <v>-14685</v>
      </c>
      <c r="X92" s="336">
        <f t="shared" si="20"/>
        <v>-14976</v>
      </c>
      <c r="Y92" s="336">
        <f t="shared" si="20"/>
        <v>-15267</v>
      </c>
      <c r="Z92" s="336">
        <f t="shared" si="20"/>
        <v>-15558</v>
      </c>
      <c r="AA92" s="336">
        <f t="shared" si="20"/>
        <v>-15849</v>
      </c>
      <c r="AB92" s="336">
        <f t="shared" si="20"/>
        <v>-16140</v>
      </c>
      <c r="AC92" s="336">
        <f t="shared" si="20"/>
        <v>-16431</v>
      </c>
      <c r="AD92" s="336">
        <f t="shared" si="20"/>
        <v>-16722</v>
      </c>
      <c r="AE92" s="336">
        <f t="shared" si="20"/>
        <v>-17013.000000000004</v>
      </c>
      <c r="AF92" s="336">
        <f t="shared" si="20"/>
        <v>-17349</v>
      </c>
      <c r="AG92" s="336">
        <f t="shared" si="20"/>
        <v>-17736.999999999996</v>
      </c>
    </row>
    <row r="93" spans="1:33" s="328" customFormat="1" ht="12.75">
      <c r="A93" s="339" t="s">
        <v>162</v>
      </c>
      <c r="B93" s="336">
        <f t="shared" si="17"/>
        <v>0</v>
      </c>
      <c r="C93" s="336">
        <f t="shared" si="20"/>
        <v>0</v>
      </c>
      <c r="D93" s="336">
        <f t="shared" si="20"/>
        <v>0</v>
      </c>
      <c r="E93" s="336">
        <f t="shared" si="20"/>
        <v>0</v>
      </c>
      <c r="F93" s="336">
        <f t="shared" si="20"/>
        <v>0</v>
      </c>
      <c r="G93" s="336">
        <f t="shared" si="20"/>
        <v>0</v>
      </c>
      <c r="H93" s="336">
        <f t="shared" si="20"/>
        <v>0</v>
      </c>
      <c r="I93" s="336">
        <f t="shared" si="20"/>
        <v>0</v>
      </c>
      <c r="J93" s="336">
        <f t="shared" si="20"/>
        <v>0</v>
      </c>
      <c r="K93" s="336">
        <f t="shared" si="20"/>
        <v>0</v>
      </c>
      <c r="L93" s="336">
        <f t="shared" si="20"/>
        <v>0</v>
      </c>
      <c r="M93" s="336">
        <f t="shared" si="20"/>
        <v>0</v>
      </c>
      <c r="N93" s="336">
        <f t="shared" si="20"/>
        <v>0</v>
      </c>
      <c r="O93" s="336">
        <f t="shared" si="20"/>
        <v>0</v>
      </c>
      <c r="P93" s="336">
        <f t="shared" si="20"/>
        <v>0</v>
      </c>
      <c r="Q93" s="336">
        <f t="shared" si="20"/>
        <v>0</v>
      </c>
      <c r="R93" s="336">
        <f t="shared" si="20"/>
        <v>0</v>
      </c>
      <c r="S93" s="336">
        <f t="shared" si="20"/>
        <v>0</v>
      </c>
      <c r="T93" s="336">
        <f t="shared" si="20"/>
        <v>0</v>
      </c>
      <c r="U93" s="336">
        <f t="shared" si="20"/>
        <v>0</v>
      </c>
      <c r="V93" s="336">
        <f t="shared" si="20"/>
        <v>0</v>
      </c>
      <c r="W93" s="336">
        <f t="shared" si="20"/>
        <v>0</v>
      </c>
      <c r="X93" s="336">
        <f t="shared" si="20"/>
        <v>0</v>
      </c>
      <c r="Y93" s="336">
        <f t="shared" si="20"/>
        <v>0</v>
      </c>
      <c r="Z93" s="336">
        <f t="shared" si="20"/>
        <v>0</v>
      </c>
      <c r="AA93" s="336">
        <f t="shared" si="20"/>
        <v>0</v>
      </c>
      <c r="AB93" s="336">
        <f t="shared" si="20"/>
        <v>0</v>
      </c>
      <c r="AC93" s="336">
        <f t="shared" si="20"/>
        <v>0</v>
      </c>
      <c r="AD93" s="336">
        <f t="shared" si="20"/>
        <v>0</v>
      </c>
      <c r="AE93" s="336">
        <f t="shared" si="20"/>
        <v>0</v>
      </c>
      <c r="AF93" s="336">
        <f t="shared" si="20"/>
        <v>0</v>
      </c>
      <c r="AG93" s="336">
        <f t="shared" si="20"/>
        <v>0</v>
      </c>
    </row>
    <row r="94" spans="1:33" s="328" customFormat="1" ht="12.75">
      <c r="A94" s="337" t="s">
        <v>163</v>
      </c>
      <c r="B94" s="336">
        <f t="shared" si="17"/>
        <v>0</v>
      </c>
      <c r="C94" s="336">
        <f t="shared" si="20"/>
        <v>0</v>
      </c>
      <c r="D94" s="336">
        <f t="shared" si="20"/>
        <v>0</v>
      </c>
      <c r="E94" s="336">
        <f t="shared" si="20"/>
        <v>250</v>
      </c>
      <c r="F94" s="336">
        <f t="shared" si="20"/>
        <v>270</v>
      </c>
      <c r="G94" s="336">
        <f t="shared" si="20"/>
        <v>275</v>
      </c>
      <c r="H94" s="336">
        <f t="shared" si="20"/>
        <v>280</v>
      </c>
      <c r="I94" s="336">
        <f t="shared" si="20"/>
        <v>285</v>
      </c>
      <c r="J94" s="336">
        <f t="shared" si="20"/>
        <v>290</v>
      </c>
      <c r="K94" s="336">
        <f t="shared" si="20"/>
        <v>295</v>
      </c>
      <c r="L94" s="336">
        <f t="shared" si="20"/>
        <v>300</v>
      </c>
      <c r="M94" s="336">
        <f t="shared" si="20"/>
        <v>305</v>
      </c>
      <c r="N94" s="336">
        <f t="shared" si="20"/>
        <v>310.00000000000045</v>
      </c>
      <c r="O94" s="336">
        <f t="shared" si="20"/>
        <v>315</v>
      </c>
      <c r="P94" s="336">
        <f t="shared" si="20"/>
        <v>322.5</v>
      </c>
      <c r="Q94" s="336">
        <f t="shared" si="20"/>
        <v>330</v>
      </c>
      <c r="R94" s="336">
        <f t="shared" si="20"/>
        <v>337.5</v>
      </c>
      <c r="S94" s="336">
        <f t="shared" si="20"/>
        <v>345</v>
      </c>
      <c r="T94" s="336">
        <f t="shared" si="20"/>
        <v>352.5</v>
      </c>
      <c r="U94" s="336">
        <f t="shared" si="20"/>
        <v>360</v>
      </c>
      <c r="V94" s="336">
        <f t="shared" si="20"/>
        <v>367.5</v>
      </c>
      <c r="W94" s="336">
        <f t="shared" si="20"/>
        <v>375</v>
      </c>
      <c r="X94" s="336">
        <f t="shared" si="20"/>
        <v>382.5</v>
      </c>
      <c r="Y94" s="336">
        <f t="shared" si="20"/>
        <v>390</v>
      </c>
      <c r="Z94" s="336">
        <f t="shared" si="20"/>
        <v>397.5</v>
      </c>
      <c r="AA94" s="336">
        <f t="shared" si="20"/>
        <v>405</v>
      </c>
      <c r="AB94" s="336">
        <f t="shared" si="20"/>
        <v>412.5</v>
      </c>
      <c r="AC94" s="336">
        <f t="shared" si="20"/>
        <v>420</v>
      </c>
      <c r="AD94" s="336">
        <f t="shared" si="20"/>
        <v>427.5</v>
      </c>
      <c r="AE94" s="336">
        <f t="shared" si="20"/>
        <v>435</v>
      </c>
      <c r="AF94" s="336">
        <f t="shared" si="20"/>
        <v>442.5</v>
      </c>
      <c r="AG94" s="336">
        <f t="shared" si="20"/>
        <v>452.5</v>
      </c>
    </row>
    <row r="95" spans="1:33" s="328" customFormat="1" ht="12.75">
      <c r="A95" s="337" t="s">
        <v>164</v>
      </c>
      <c r="B95" s="336">
        <f t="shared" si="17"/>
        <v>0</v>
      </c>
      <c r="C95" s="336">
        <f t="shared" si="20"/>
        <v>0</v>
      </c>
      <c r="D95" s="336">
        <f t="shared" si="20"/>
        <v>0</v>
      </c>
      <c r="E95" s="336">
        <f t="shared" si="20"/>
        <v>60.22500000000002</v>
      </c>
      <c r="F95" s="336">
        <f t="shared" si="20"/>
        <v>65.043</v>
      </c>
      <c r="G95" s="336">
        <f t="shared" si="20"/>
        <v>66.24750000000006</v>
      </c>
      <c r="H95" s="336">
        <f t="shared" si="20"/>
        <v>67.452</v>
      </c>
      <c r="I95" s="336">
        <f t="shared" si="20"/>
        <v>68.65650000000005</v>
      </c>
      <c r="J95" s="336">
        <f t="shared" si="20"/>
        <v>69.86099999999999</v>
      </c>
      <c r="K95" s="336">
        <f t="shared" si="20"/>
        <v>71.06550000000004</v>
      </c>
      <c r="L95" s="336">
        <f t="shared" si="20"/>
        <v>72.26999999999998</v>
      </c>
      <c r="M95" s="336">
        <f t="shared" si="20"/>
        <v>73.47450000000003</v>
      </c>
      <c r="N95" s="336">
        <f t="shared" si="20"/>
        <v>74.67899999999997</v>
      </c>
      <c r="O95" s="336">
        <f t="shared" si="20"/>
        <v>75.88350000000003</v>
      </c>
      <c r="P95" s="336">
        <f t="shared" si="20"/>
        <v>77.69024999999999</v>
      </c>
      <c r="Q95" s="336">
        <f t="shared" si="20"/>
        <v>79.49700000000007</v>
      </c>
      <c r="R95" s="336">
        <f t="shared" si="20"/>
        <v>81.30375000000004</v>
      </c>
      <c r="S95" s="336">
        <f t="shared" si="20"/>
        <v>83.11050000000012</v>
      </c>
      <c r="T95" s="336">
        <f t="shared" si="20"/>
        <v>84.91724999999997</v>
      </c>
      <c r="U95" s="336">
        <f t="shared" si="20"/>
        <v>86.72399999999993</v>
      </c>
      <c r="V95" s="336">
        <f t="shared" si="20"/>
        <v>88.5307499999999</v>
      </c>
      <c r="W95" s="336">
        <f t="shared" si="20"/>
        <v>90.33750000000009</v>
      </c>
      <c r="X95" s="336">
        <f t="shared" si="20"/>
        <v>92.14425000000006</v>
      </c>
      <c r="Y95" s="336">
        <f t="shared" si="20"/>
        <v>93.95100000000002</v>
      </c>
      <c r="Z95" s="336">
        <f t="shared" si="20"/>
        <v>95.75774999999999</v>
      </c>
      <c r="AA95" s="336">
        <f t="shared" si="20"/>
        <v>97.56449999999995</v>
      </c>
      <c r="AB95" s="336">
        <f t="shared" si="20"/>
        <v>99.37124999999992</v>
      </c>
      <c r="AC95" s="336">
        <f t="shared" si="20"/>
        <v>101.17800000000011</v>
      </c>
      <c r="AD95" s="336">
        <f t="shared" si="20"/>
        <v>102.98475000000008</v>
      </c>
      <c r="AE95" s="336">
        <f t="shared" si="20"/>
        <v>104.79150000000004</v>
      </c>
      <c r="AF95" s="336">
        <f t="shared" si="20"/>
        <v>106.59825000000001</v>
      </c>
      <c r="AG95" s="336">
        <f t="shared" si="20"/>
        <v>109.00724999999989</v>
      </c>
    </row>
    <row r="96" spans="1:33" s="328" customFormat="1" ht="12.75">
      <c r="A96" s="337" t="s">
        <v>165</v>
      </c>
      <c r="B96" s="336">
        <f t="shared" si="17"/>
        <v>0</v>
      </c>
      <c r="C96" s="336">
        <f t="shared" si="20"/>
        <v>0</v>
      </c>
      <c r="D96" s="336">
        <f t="shared" si="20"/>
        <v>0</v>
      </c>
      <c r="E96" s="336">
        <f t="shared" si="20"/>
        <v>0</v>
      </c>
      <c r="F96" s="336">
        <f t="shared" si="20"/>
        <v>0</v>
      </c>
      <c r="G96" s="336">
        <f t="shared" si="20"/>
        <v>0</v>
      </c>
      <c r="H96" s="336">
        <f t="shared" si="20"/>
        <v>0</v>
      </c>
      <c r="I96" s="336">
        <f t="shared" si="20"/>
        <v>0</v>
      </c>
      <c r="J96" s="336">
        <f t="shared" si="20"/>
        <v>0</v>
      </c>
      <c r="K96" s="336">
        <f t="shared" si="20"/>
        <v>0</v>
      </c>
      <c r="L96" s="336">
        <f t="shared" si="20"/>
        <v>0</v>
      </c>
      <c r="M96" s="336">
        <f t="shared" si="20"/>
        <v>0</v>
      </c>
      <c r="N96" s="336">
        <f t="shared" si="20"/>
        <v>0</v>
      </c>
      <c r="O96" s="336">
        <f t="shared" si="20"/>
        <v>0</v>
      </c>
      <c r="P96" s="336">
        <f t="shared" si="20"/>
        <v>0</v>
      </c>
      <c r="Q96" s="336">
        <f t="shared" si="20"/>
        <v>0</v>
      </c>
      <c r="R96" s="336">
        <f t="shared" si="20"/>
        <v>0</v>
      </c>
      <c r="S96" s="336">
        <f t="shared" si="20"/>
        <v>0</v>
      </c>
      <c r="T96" s="336">
        <f t="shared" si="20"/>
        <v>0</v>
      </c>
      <c r="U96" s="336">
        <f t="shared" si="20"/>
        <v>0</v>
      </c>
      <c r="V96" s="336">
        <f t="shared" si="20"/>
        <v>0</v>
      </c>
      <c r="W96" s="336">
        <f t="shared" si="20"/>
        <v>0</v>
      </c>
      <c r="X96" s="336">
        <f t="shared" si="20"/>
        <v>0</v>
      </c>
      <c r="Y96" s="336">
        <f t="shared" si="20"/>
        <v>0</v>
      </c>
      <c r="Z96" s="336">
        <f t="shared" si="20"/>
        <v>0</v>
      </c>
      <c r="AA96" s="336">
        <f t="shared" si="20"/>
        <v>0</v>
      </c>
      <c r="AB96" s="336">
        <f t="shared" si="20"/>
        <v>0</v>
      </c>
      <c r="AC96" s="336">
        <f t="shared" si="20"/>
        <v>0</v>
      </c>
      <c r="AD96" s="336">
        <f t="shared" si="20"/>
        <v>0</v>
      </c>
      <c r="AE96" s="336">
        <f t="shared" si="20"/>
        <v>0</v>
      </c>
      <c r="AF96" s="336">
        <f t="shared" si="20"/>
        <v>0</v>
      </c>
      <c r="AG96" s="336">
        <f t="shared" si="20"/>
        <v>0</v>
      </c>
    </row>
    <row r="97" spans="1:33" s="328" customFormat="1" ht="12.75">
      <c r="A97" s="338" t="s">
        <v>166</v>
      </c>
      <c r="B97" s="336">
        <f t="shared" si="17"/>
        <v>0</v>
      </c>
      <c r="C97" s="336">
        <f t="shared" si="20"/>
        <v>0</v>
      </c>
      <c r="D97" s="336">
        <f t="shared" si="20"/>
        <v>0</v>
      </c>
      <c r="E97" s="336">
        <f t="shared" si="20"/>
        <v>0</v>
      </c>
      <c r="F97" s="336">
        <f t="shared" si="20"/>
        <v>0</v>
      </c>
      <c r="G97" s="336">
        <f t="shared" si="20"/>
        <v>0</v>
      </c>
      <c r="H97" s="336">
        <f t="shared" si="20"/>
        <v>0</v>
      </c>
      <c r="I97" s="336">
        <f t="shared" si="20"/>
        <v>0</v>
      </c>
      <c r="J97" s="336">
        <f t="shared" si="20"/>
        <v>0</v>
      </c>
      <c r="K97" s="336">
        <f t="shared" si="20"/>
        <v>0</v>
      </c>
      <c r="L97" s="336">
        <f t="shared" si="20"/>
        <v>0</v>
      </c>
      <c r="M97" s="336">
        <f t="shared" si="20"/>
        <v>0</v>
      </c>
      <c r="N97" s="336">
        <f t="shared" si="20"/>
        <v>0</v>
      </c>
      <c r="O97" s="336">
        <f t="shared" si="20"/>
        <v>0</v>
      </c>
      <c r="P97" s="336">
        <f t="shared" si="20"/>
        <v>0</v>
      </c>
      <c r="Q97" s="336">
        <f t="shared" si="20"/>
        <v>0</v>
      </c>
      <c r="R97" s="336">
        <f t="shared" si="20"/>
        <v>0</v>
      </c>
      <c r="S97" s="336">
        <f t="shared" si="20"/>
        <v>0</v>
      </c>
      <c r="T97" s="336">
        <f t="shared" si="20"/>
        <v>0</v>
      </c>
      <c r="U97" s="336">
        <f t="shared" si="20"/>
        <v>0</v>
      </c>
      <c r="V97" s="336">
        <f t="shared" si="20"/>
        <v>0</v>
      </c>
      <c r="W97" s="336">
        <f t="shared" si="20"/>
        <v>0</v>
      </c>
      <c r="X97" s="336">
        <f t="shared" si="20"/>
        <v>0</v>
      </c>
      <c r="Y97" s="336">
        <f t="shared" si="20"/>
        <v>0</v>
      </c>
      <c r="Z97" s="336">
        <f t="shared" si="20"/>
        <v>0</v>
      </c>
      <c r="AA97" s="336">
        <f t="shared" si="20"/>
        <v>0</v>
      </c>
      <c r="AB97" s="336">
        <f t="shared" si="20"/>
        <v>0</v>
      </c>
      <c r="AC97" s="336">
        <f t="shared" si="20"/>
        <v>0</v>
      </c>
      <c r="AD97" s="336">
        <f t="shared" si="20"/>
        <v>0</v>
      </c>
      <c r="AE97" s="336">
        <f t="shared" si="20"/>
        <v>0</v>
      </c>
      <c r="AF97" s="336">
        <f aca="true" t="shared" si="21" ref="C97:AG100">AF60-AF23</f>
        <v>0</v>
      </c>
      <c r="AG97" s="336">
        <f t="shared" si="21"/>
        <v>0</v>
      </c>
    </row>
    <row r="98" spans="1:33" s="328" customFormat="1" ht="12.75">
      <c r="A98" s="337" t="s">
        <v>167</v>
      </c>
      <c r="B98" s="336">
        <f t="shared" si="17"/>
        <v>0</v>
      </c>
      <c r="C98" s="336">
        <f t="shared" si="21"/>
        <v>0</v>
      </c>
      <c r="D98" s="336">
        <f t="shared" si="21"/>
        <v>0</v>
      </c>
      <c r="E98" s="336">
        <f t="shared" si="21"/>
        <v>250</v>
      </c>
      <c r="F98" s="336">
        <f t="shared" si="21"/>
        <v>270</v>
      </c>
      <c r="G98" s="336">
        <f t="shared" si="21"/>
        <v>275</v>
      </c>
      <c r="H98" s="336">
        <f t="shared" si="21"/>
        <v>280</v>
      </c>
      <c r="I98" s="336">
        <f t="shared" si="21"/>
        <v>285</v>
      </c>
      <c r="J98" s="336">
        <f t="shared" si="21"/>
        <v>290</v>
      </c>
      <c r="K98" s="336">
        <f t="shared" si="21"/>
        <v>295</v>
      </c>
      <c r="L98" s="336">
        <f t="shared" si="21"/>
        <v>300</v>
      </c>
      <c r="M98" s="336">
        <f t="shared" si="21"/>
        <v>304.99999999999955</v>
      </c>
      <c r="N98" s="336">
        <f t="shared" si="21"/>
        <v>310.00000000000045</v>
      </c>
      <c r="O98" s="336">
        <f t="shared" si="21"/>
        <v>315</v>
      </c>
      <c r="P98" s="336">
        <f t="shared" si="21"/>
        <v>322.5</v>
      </c>
      <c r="Q98" s="336">
        <f t="shared" si="21"/>
        <v>330</v>
      </c>
      <c r="R98" s="336">
        <f t="shared" si="21"/>
        <v>337.5</v>
      </c>
      <c r="S98" s="336">
        <f t="shared" si="21"/>
        <v>345</v>
      </c>
      <c r="T98" s="336">
        <f t="shared" si="21"/>
        <v>352.5</v>
      </c>
      <c r="U98" s="336">
        <f t="shared" si="21"/>
        <v>360</v>
      </c>
      <c r="V98" s="336">
        <f t="shared" si="21"/>
        <v>367.5</v>
      </c>
      <c r="W98" s="336">
        <f t="shared" si="21"/>
        <v>375</v>
      </c>
      <c r="X98" s="336">
        <f t="shared" si="21"/>
        <v>382.5</v>
      </c>
      <c r="Y98" s="336">
        <f t="shared" si="21"/>
        <v>390</v>
      </c>
      <c r="Z98" s="336">
        <f t="shared" si="21"/>
        <v>397.5</v>
      </c>
      <c r="AA98" s="336">
        <f t="shared" si="21"/>
        <v>405</v>
      </c>
      <c r="AB98" s="336">
        <f t="shared" si="21"/>
        <v>412.5</v>
      </c>
      <c r="AC98" s="336">
        <f t="shared" si="21"/>
        <v>420</v>
      </c>
      <c r="AD98" s="336">
        <f t="shared" si="21"/>
        <v>427.5</v>
      </c>
      <c r="AE98" s="336">
        <f t="shared" si="21"/>
        <v>435</v>
      </c>
      <c r="AF98" s="336">
        <f t="shared" si="21"/>
        <v>442.5</v>
      </c>
      <c r="AG98" s="336">
        <f t="shared" si="21"/>
        <v>452.5</v>
      </c>
    </row>
    <row r="99" spans="1:33" s="328" customFormat="1" ht="12.75">
      <c r="A99" s="337" t="s">
        <v>168</v>
      </c>
      <c r="B99" s="336">
        <f t="shared" si="17"/>
        <v>0</v>
      </c>
      <c r="C99" s="336">
        <f t="shared" si="21"/>
        <v>0</v>
      </c>
      <c r="D99" s="336">
        <f t="shared" si="21"/>
        <v>0</v>
      </c>
      <c r="E99" s="336">
        <f t="shared" si="21"/>
        <v>60.22500000000002</v>
      </c>
      <c r="F99" s="336">
        <f t="shared" si="21"/>
        <v>65.043</v>
      </c>
      <c r="G99" s="336">
        <f t="shared" si="21"/>
        <v>66.24749999999995</v>
      </c>
      <c r="H99" s="336">
        <f t="shared" si="21"/>
        <v>67.452</v>
      </c>
      <c r="I99" s="336">
        <f t="shared" si="21"/>
        <v>68.65650000000005</v>
      </c>
      <c r="J99" s="336">
        <f t="shared" si="21"/>
        <v>69.86099999999999</v>
      </c>
      <c r="K99" s="336">
        <f t="shared" si="21"/>
        <v>71.06550000000004</v>
      </c>
      <c r="L99" s="336">
        <f t="shared" si="21"/>
        <v>72.26999999999998</v>
      </c>
      <c r="M99" s="336">
        <f t="shared" si="21"/>
        <v>73.47450000000003</v>
      </c>
      <c r="N99" s="336">
        <f t="shared" si="21"/>
        <v>74.67899999999997</v>
      </c>
      <c r="O99" s="336">
        <f t="shared" si="21"/>
        <v>75.88350000000003</v>
      </c>
      <c r="P99" s="336">
        <f t="shared" si="21"/>
        <v>77.6902500000001</v>
      </c>
      <c r="Q99" s="336">
        <f t="shared" si="21"/>
        <v>79.49699999999996</v>
      </c>
      <c r="R99" s="336">
        <f t="shared" si="21"/>
        <v>81.30375000000004</v>
      </c>
      <c r="S99" s="336">
        <f t="shared" si="21"/>
        <v>83.1105</v>
      </c>
      <c r="T99" s="336">
        <f t="shared" si="21"/>
        <v>84.91724999999997</v>
      </c>
      <c r="U99" s="336">
        <f t="shared" si="21"/>
        <v>86.72399999999993</v>
      </c>
      <c r="V99" s="336">
        <f t="shared" si="21"/>
        <v>88.5307499999999</v>
      </c>
      <c r="W99" s="336">
        <f t="shared" si="21"/>
        <v>90.33750000000009</v>
      </c>
      <c r="X99" s="336">
        <f t="shared" si="21"/>
        <v>92.14425000000006</v>
      </c>
      <c r="Y99" s="336">
        <f t="shared" si="21"/>
        <v>93.95100000000002</v>
      </c>
      <c r="Z99" s="336">
        <f t="shared" si="21"/>
        <v>95.75774999999999</v>
      </c>
      <c r="AA99" s="336">
        <f t="shared" si="21"/>
        <v>97.56449999999995</v>
      </c>
      <c r="AB99" s="336">
        <f t="shared" si="21"/>
        <v>99.37124999999992</v>
      </c>
      <c r="AC99" s="336">
        <f t="shared" si="21"/>
        <v>101.17799999999988</v>
      </c>
      <c r="AD99" s="336">
        <f t="shared" si="21"/>
        <v>102.98475000000008</v>
      </c>
      <c r="AE99" s="336">
        <f t="shared" si="21"/>
        <v>104.79150000000004</v>
      </c>
      <c r="AF99" s="336">
        <f t="shared" si="21"/>
        <v>106.59825000000001</v>
      </c>
      <c r="AG99" s="336">
        <f t="shared" si="21"/>
        <v>109.00724999999989</v>
      </c>
    </row>
    <row r="100" spans="1:33" s="328" customFormat="1" ht="12.75">
      <c r="A100" s="337" t="s">
        <v>169</v>
      </c>
      <c r="B100" s="336">
        <f t="shared" si="17"/>
        <v>0</v>
      </c>
      <c r="C100" s="336">
        <f t="shared" si="21"/>
        <v>0</v>
      </c>
      <c r="D100" s="336">
        <f t="shared" si="21"/>
        <v>0</v>
      </c>
      <c r="E100" s="336">
        <f t="shared" si="21"/>
        <v>0</v>
      </c>
      <c r="F100" s="336">
        <f t="shared" si="21"/>
        <v>0</v>
      </c>
      <c r="G100" s="336">
        <f t="shared" si="21"/>
        <v>0</v>
      </c>
      <c r="H100" s="336">
        <f t="shared" si="21"/>
        <v>0</v>
      </c>
      <c r="I100" s="336">
        <f t="shared" si="21"/>
        <v>0</v>
      </c>
      <c r="J100" s="336">
        <f t="shared" si="21"/>
        <v>0</v>
      </c>
      <c r="K100" s="336">
        <f t="shared" si="21"/>
        <v>0</v>
      </c>
      <c r="L100" s="336">
        <f t="shared" si="21"/>
        <v>0</v>
      </c>
      <c r="M100" s="336">
        <f t="shared" si="21"/>
        <v>0</v>
      </c>
      <c r="N100" s="336">
        <f t="shared" si="21"/>
        <v>0</v>
      </c>
      <c r="O100" s="336">
        <f t="shared" si="21"/>
        <v>0</v>
      </c>
      <c r="P100" s="336">
        <f t="shared" si="21"/>
        <v>0</v>
      </c>
      <c r="Q100" s="336">
        <f t="shared" si="21"/>
        <v>0</v>
      </c>
      <c r="R100" s="336">
        <f t="shared" si="21"/>
        <v>0</v>
      </c>
      <c r="S100" s="336">
        <f t="shared" si="21"/>
        <v>0</v>
      </c>
      <c r="T100" s="336">
        <f t="shared" si="21"/>
        <v>0</v>
      </c>
      <c r="U100" s="336">
        <f t="shared" si="21"/>
        <v>0</v>
      </c>
      <c r="V100" s="336">
        <f t="shared" si="21"/>
        <v>0</v>
      </c>
      <c r="W100" s="336">
        <f t="shared" si="21"/>
        <v>0</v>
      </c>
      <c r="X100" s="336">
        <f t="shared" si="21"/>
        <v>0</v>
      </c>
      <c r="Y100" s="336">
        <f t="shared" si="21"/>
        <v>0</v>
      </c>
      <c r="Z100" s="336">
        <f t="shared" si="21"/>
        <v>0</v>
      </c>
      <c r="AA100" s="336">
        <f t="shared" si="21"/>
        <v>0</v>
      </c>
      <c r="AB100" s="336">
        <f t="shared" si="21"/>
        <v>0</v>
      </c>
      <c r="AC100" s="336">
        <f t="shared" si="21"/>
        <v>0</v>
      </c>
      <c r="AD100" s="336">
        <f t="shared" si="21"/>
        <v>0</v>
      </c>
      <c r="AE100" s="336">
        <f t="shared" si="21"/>
        <v>0</v>
      </c>
      <c r="AF100" s="336">
        <f t="shared" si="21"/>
        <v>0</v>
      </c>
      <c r="AG100" s="336">
        <f t="shared" si="21"/>
        <v>0</v>
      </c>
    </row>
    <row r="101" spans="1:33" s="328" customFormat="1" ht="12.75">
      <c r="A101" s="338" t="s">
        <v>170</v>
      </c>
      <c r="B101" s="325">
        <f>SUM(B94:B100)</f>
        <v>0</v>
      </c>
      <c r="C101" s="325">
        <f aca="true" t="shared" si="22" ref="C101:AG101">SUM(C94:C100)</f>
        <v>0</v>
      </c>
      <c r="D101" s="325">
        <f t="shared" si="22"/>
        <v>0</v>
      </c>
      <c r="E101" s="325">
        <f t="shared" si="22"/>
        <v>620.45</v>
      </c>
      <c r="F101" s="325">
        <f t="shared" si="22"/>
        <v>670.086</v>
      </c>
      <c r="G101" s="325">
        <f t="shared" si="22"/>
        <v>682.495</v>
      </c>
      <c r="H101" s="325">
        <f t="shared" si="22"/>
        <v>694.904</v>
      </c>
      <c r="I101" s="325">
        <f t="shared" si="22"/>
        <v>707.3130000000001</v>
      </c>
      <c r="J101" s="325">
        <f t="shared" si="22"/>
        <v>719.722</v>
      </c>
      <c r="K101" s="325">
        <f t="shared" si="22"/>
        <v>732.1310000000001</v>
      </c>
      <c r="L101" s="325">
        <f t="shared" si="22"/>
        <v>744.54</v>
      </c>
      <c r="M101" s="325">
        <f t="shared" si="22"/>
        <v>756.9489999999996</v>
      </c>
      <c r="N101" s="325">
        <f t="shared" si="22"/>
        <v>769.3580000000009</v>
      </c>
      <c r="O101" s="325">
        <f t="shared" si="22"/>
        <v>781.767</v>
      </c>
      <c r="P101" s="325">
        <f t="shared" si="22"/>
        <v>800.3805000000001</v>
      </c>
      <c r="Q101" s="325">
        <f t="shared" si="22"/>
        <v>818.994</v>
      </c>
      <c r="R101" s="325">
        <f t="shared" si="22"/>
        <v>837.6075000000001</v>
      </c>
      <c r="S101" s="325">
        <f t="shared" si="22"/>
        <v>856.2210000000001</v>
      </c>
      <c r="T101" s="325">
        <f t="shared" si="22"/>
        <v>874.8344999999999</v>
      </c>
      <c r="U101" s="325">
        <f t="shared" si="22"/>
        <v>893.4479999999999</v>
      </c>
      <c r="V101" s="325">
        <f t="shared" si="22"/>
        <v>912.0614999999998</v>
      </c>
      <c r="W101" s="325">
        <f t="shared" si="22"/>
        <v>930.6750000000002</v>
      </c>
      <c r="X101" s="325">
        <f t="shared" si="22"/>
        <v>949.2885000000001</v>
      </c>
      <c r="Y101" s="325">
        <f t="shared" si="22"/>
        <v>967.902</v>
      </c>
      <c r="Z101" s="325">
        <f t="shared" si="22"/>
        <v>986.5155</v>
      </c>
      <c r="AA101" s="325">
        <f t="shared" si="22"/>
        <v>1005.1289999999999</v>
      </c>
      <c r="AB101" s="325">
        <f t="shared" si="22"/>
        <v>1023.7424999999998</v>
      </c>
      <c r="AC101" s="325">
        <f t="shared" si="22"/>
        <v>1042.356</v>
      </c>
      <c r="AD101" s="325">
        <f t="shared" si="22"/>
        <v>1060.9695000000002</v>
      </c>
      <c r="AE101" s="325">
        <f t="shared" si="22"/>
        <v>1079.583</v>
      </c>
      <c r="AF101" s="325">
        <f t="shared" si="22"/>
        <v>1098.1965</v>
      </c>
      <c r="AG101" s="325">
        <f t="shared" si="22"/>
        <v>1123.0144999999998</v>
      </c>
    </row>
    <row r="102" spans="1:33" s="328" customFormat="1" ht="12" customHeight="1">
      <c r="A102" s="324" t="s">
        <v>171</v>
      </c>
      <c r="B102" s="325">
        <f>SUM(B92,B101)</f>
        <v>0</v>
      </c>
      <c r="C102" s="325">
        <f aca="true" t="shared" si="23" ref="C102:AG102">SUM(C92,C101)</f>
        <v>0</v>
      </c>
      <c r="D102" s="325">
        <f t="shared" si="23"/>
        <v>-2750</v>
      </c>
      <c r="E102" s="325">
        <f t="shared" si="23"/>
        <v>-9079.55</v>
      </c>
      <c r="F102" s="325">
        <f t="shared" si="23"/>
        <v>-9895.913999999999</v>
      </c>
      <c r="G102" s="325">
        <f t="shared" si="23"/>
        <v>-10077.505000000003</v>
      </c>
      <c r="H102" s="325">
        <f t="shared" si="23"/>
        <v>-10259.096</v>
      </c>
      <c r="I102" s="325">
        <f t="shared" si="23"/>
        <v>-10440.686999999996</v>
      </c>
      <c r="J102" s="325">
        <f t="shared" si="23"/>
        <v>-10622.278000000002</v>
      </c>
      <c r="K102" s="325">
        <f t="shared" si="23"/>
        <v>-10803.869</v>
      </c>
      <c r="L102" s="325">
        <f t="shared" si="23"/>
        <v>-10985.46</v>
      </c>
      <c r="M102" s="325">
        <f t="shared" si="23"/>
        <v>-11167.051000000003</v>
      </c>
      <c r="N102" s="325">
        <f t="shared" si="23"/>
        <v>-11348.642</v>
      </c>
      <c r="O102" s="325">
        <f t="shared" si="23"/>
        <v>-11575.233</v>
      </c>
      <c r="P102" s="325">
        <f t="shared" si="23"/>
        <v>-11847.6195</v>
      </c>
      <c r="Q102" s="325">
        <f t="shared" si="23"/>
        <v>-12120.006</v>
      </c>
      <c r="R102" s="325">
        <f t="shared" si="23"/>
        <v>-12392.392499999996</v>
      </c>
      <c r="S102" s="325">
        <f t="shared" si="23"/>
        <v>-12664.779</v>
      </c>
      <c r="T102" s="325">
        <f t="shared" si="23"/>
        <v>-12937.1655</v>
      </c>
      <c r="U102" s="325">
        <f t="shared" si="23"/>
        <v>-13209.552</v>
      </c>
      <c r="V102" s="325">
        <f t="shared" si="23"/>
        <v>-13481.938500000002</v>
      </c>
      <c r="W102" s="325">
        <f t="shared" si="23"/>
        <v>-13754.325</v>
      </c>
      <c r="X102" s="325">
        <f t="shared" si="23"/>
        <v>-14026.7115</v>
      </c>
      <c r="Y102" s="325">
        <f t="shared" si="23"/>
        <v>-14299.098</v>
      </c>
      <c r="Z102" s="325">
        <f t="shared" si="23"/>
        <v>-14571.4845</v>
      </c>
      <c r="AA102" s="325">
        <f t="shared" si="23"/>
        <v>-14843.871</v>
      </c>
      <c r="AB102" s="325">
        <f t="shared" si="23"/>
        <v>-15116.2575</v>
      </c>
      <c r="AC102" s="325">
        <f t="shared" si="23"/>
        <v>-15388.644</v>
      </c>
      <c r="AD102" s="325">
        <f t="shared" si="23"/>
        <v>-15661.0305</v>
      </c>
      <c r="AE102" s="325">
        <f t="shared" si="23"/>
        <v>-15933.417000000003</v>
      </c>
      <c r="AF102" s="325">
        <f t="shared" si="23"/>
        <v>-16250.8035</v>
      </c>
      <c r="AG102" s="325">
        <f t="shared" si="23"/>
        <v>-16613.985499999995</v>
      </c>
    </row>
    <row r="103" spans="1:33" s="328" customFormat="1" ht="12.75">
      <c r="A103" s="206" t="s">
        <v>172</v>
      </c>
      <c r="B103" s="336">
        <f>IF(B$79&gt;='Datu ievade'!$B$30,IF('Datu ievade'!$B$353='Datu ievade'!$B$354,'Datu ievade'!B237*'Datu ievade'!B377+'Datu ievade'!B239,'Datu ievade'!B237*('Datu ievade'!B378-'Datu ievade'!B379)+'Datu ievade'!B239),0)</f>
        <v>0</v>
      </c>
      <c r="C103" s="336">
        <f>IF(C$79&gt;='Datu ievade'!$B$30,IF('Datu ievade'!$B$353='Datu ievade'!$B$354,'Datu ievade'!C237*'Datu ievade'!C377+'Datu ievade'!C239,'Datu ievade'!C237*('Datu ievade'!C378-'Datu ievade'!C379)+'Datu ievade'!C239),0)</f>
        <v>0</v>
      </c>
      <c r="D103" s="336">
        <f>D66-D29</f>
        <v>20.53125</v>
      </c>
      <c r="E103" s="336">
        <f>E66-E29</f>
        <v>5360.0250000000015</v>
      </c>
      <c r="F103" s="336">
        <f aca="true" t="shared" si="24" ref="F103:AG103">F66-F29</f>
        <v>5394.2437500000015</v>
      </c>
      <c r="G103" s="336">
        <f t="shared" si="24"/>
        <v>5265.581249999999</v>
      </c>
      <c r="H103" s="336">
        <f t="shared" si="24"/>
        <v>5188.9312500000015</v>
      </c>
      <c r="I103" s="336">
        <f t="shared" si="24"/>
        <v>5223.1500000000015</v>
      </c>
      <c r="J103" s="336">
        <f t="shared" si="24"/>
        <v>5302.5375</v>
      </c>
      <c r="K103" s="336">
        <f t="shared" si="24"/>
        <v>5361.393749999997</v>
      </c>
      <c r="L103" s="336">
        <f t="shared" si="24"/>
        <v>5777.493749999996</v>
      </c>
      <c r="M103" s="336">
        <f t="shared" si="24"/>
        <v>5759.699999999999</v>
      </c>
      <c r="N103" s="336">
        <f t="shared" si="24"/>
        <v>5839.0875</v>
      </c>
      <c r="O103" s="336">
        <f t="shared" si="24"/>
        <v>5762.437499999996</v>
      </c>
      <c r="P103" s="336">
        <f t="shared" si="24"/>
        <v>5647.4625</v>
      </c>
      <c r="Q103" s="336">
        <f t="shared" si="24"/>
        <v>5636.512499999997</v>
      </c>
      <c r="R103" s="336">
        <f t="shared" si="24"/>
        <v>5941.743749999998</v>
      </c>
      <c r="S103" s="336">
        <f t="shared" si="24"/>
        <v>6920.399999999996</v>
      </c>
      <c r="T103" s="336">
        <f t="shared" si="24"/>
        <v>6909.449999999999</v>
      </c>
      <c r="U103" s="336">
        <f t="shared" si="24"/>
        <v>6787.63125</v>
      </c>
      <c r="V103" s="336">
        <f t="shared" si="24"/>
        <v>6627.487499999997</v>
      </c>
      <c r="W103" s="336">
        <f t="shared" si="24"/>
        <v>6460.5</v>
      </c>
      <c r="X103" s="336">
        <f t="shared" si="24"/>
        <v>6293.512500000004</v>
      </c>
      <c r="Y103" s="336">
        <f t="shared" si="24"/>
        <v>6178.537500000002</v>
      </c>
      <c r="Z103" s="336">
        <f t="shared" si="24"/>
        <v>5966.381250000004</v>
      </c>
      <c r="AA103" s="336">
        <f t="shared" si="24"/>
        <v>5851.406250000002</v>
      </c>
      <c r="AB103" s="336">
        <f t="shared" si="24"/>
        <v>5892.468750000002</v>
      </c>
      <c r="AC103" s="336">
        <f t="shared" si="24"/>
        <v>5732.325000000001</v>
      </c>
      <c r="AD103" s="336">
        <f t="shared" si="24"/>
        <v>5357.287500000002</v>
      </c>
      <c r="AE103" s="336">
        <f t="shared" si="24"/>
        <v>5450.362499999999</v>
      </c>
      <c r="AF103" s="336">
        <f t="shared" si="24"/>
        <v>5543.4375</v>
      </c>
      <c r="AG103" s="336">
        <f t="shared" si="24"/>
        <v>5390.137499999999</v>
      </c>
    </row>
    <row r="104" spans="1:33" s="328" customFormat="1" ht="12.75">
      <c r="A104" s="206" t="s">
        <v>173</v>
      </c>
      <c r="B104" s="336">
        <f>IF('Saimnieciskas pamatdarbibas NP'!B$5&gt;='Datu ievade'!$B$30,IF('Datu ievade'!$B$353='Datu ievade'!$B$354,'Datu ievade'!B246*'Datu ievade'!B377+'Datu ievade'!B248,'Datu ievade'!B246*('Datu ievade'!B378-'Datu ievade'!B379)+'Datu ievade'!B248),0)</f>
        <v>0</v>
      </c>
      <c r="C104" s="336">
        <f>IF('Saimnieciskas pamatdarbibas NP'!C$5&gt;='Datu ievade'!$B$30,IF('Datu ievade'!$B$353='Datu ievade'!$B$354,'Datu ievade'!C246*'Datu ievade'!C377+'Datu ievade'!C248,'Datu ievade'!C246*('Datu ievade'!C378-'Datu ievade'!C379)+'Datu ievade'!C248),0)</f>
        <v>0</v>
      </c>
      <c r="D104" s="336">
        <f aca="true" t="shared" si="25" ref="D104:E109">D67-D30</f>
        <v>-105</v>
      </c>
      <c r="E104" s="336">
        <f t="shared" si="25"/>
        <v>252</v>
      </c>
      <c r="F104" s="336">
        <f aca="true" t="shared" si="26" ref="F104:AG104">F67-F30</f>
        <v>252</v>
      </c>
      <c r="G104" s="336">
        <f t="shared" si="26"/>
        <v>241.5</v>
      </c>
      <c r="H104" s="336">
        <f t="shared" si="26"/>
        <v>234.5</v>
      </c>
      <c r="I104" s="336">
        <f t="shared" si="26"/>
        <v>234.5</v>
      </c>
      <c r="J104" s="336">
        <f t="shared" si="26"/>
        <v>238</v>
      </c>
      <c r="K104" s="336">
        <f t="shared" si="26"/>
        <v>241.49999999999977</v>
      </c>
      <c r="L104" s="336">
        <f t="shared" si="26"/>
        <v>269.4999999999998</v>
      </c>
      <c r="M104" s="336">
        <f t="shared" si="26"/>
        <v>266</v>
      </c>
      <c r="N104" s="336">
        <f t="shared" si="26"/>
        <v>269.5</v>
      </c>
      <c r="O104" s="336">
        <f t="shared" si="26"/>
        <v>262.4999999999999</v>
      </c>
      <c r="P104" s="336">
        <f t="shared" si="26"/>
        <v>251.9999999999999</v>
      </c>
      <c r="Q104" s="336">
        <f t="shared" si="26"/>
        <v>248.4999999999999</v>
      </c>
      <c r="R104" s="336">
        <f t="shared" si="26"/>
        <v>269.4999999999999</v>
      </c>
      <c r="S104" s="336">
        <f t="shared" si="26"/>
        <v>339.49999999999966</v>
      </c>
      <c r="T104" s="336">
        <f t="shared" si="26"/>
        <v>335.9999999999999</v>
      </c>
      <c r="U104" s="336">
        <f t="shared" si="26"/>
        <v>325.4999999999999</v>
      </c>
      <c r="V104" s="336">
        <f t="shared" si="26"/>
        <v>311.4999999999999</v>
      </c>
      <c r="W104" s="336">
        <f t="shared" si="26"/>
        <v>297.4999999999998</v>
      </c>
      <c r="X104" s="336">
        <f t="shared" si="26"/>
        <v>283.5000000000002</v>
      </c>
      <c r="Y104" s="336">
        <f t="shared" si="26"/>
        <v>273.0000000000002</v>
      </c>
      <c r="Z104" s="336">
        <f t="shared" si="26"/>
        <v>255.50000000000023</v>
      </c>
      <c r="AA104" s="336">
        <f t="shared" si="26"/>
        <v>245.00000000000023</v>
      </c>
      <c r="AB104" s="336">
        <f t="shared" si="26"/>
        <v>245</v>
      </c>
      <c r="AC104" s="336">
        <f t="shared" si="26"/>
        <v>231</v>
      </c>
      <c r="AD104" s="336">
        <f t="shared" si="26"/>
        <v>203.00000000000023</v>
      </c>
      <c r="AE104" s="336">
        <f t="shared" si="26"/>
        <v>206.5</v>
      </c>
      <c r="AF104" s="336">
        <f t="shared" si="26"/>
        <v>210</v>
      </c>
      <c r="AG104" s="336">
        <f t="shared" si="26"/>
        <v>196</v>
      </c>
    </row>
    <row r="105" spans="1:33" s="328" customFormat="1" ht="12.75">
      <c r="A105" s="206" t="s">
        <v>174</v>
      </c>
      <c r="B105" s="336">
        <f>IF(B$79&gt;='Datu ievade'!$B$30,IF('Datu ievade'!$B$353='Datu ievade'!$B$354,'Datu ievade'!B253*'Datu ievade'!B377+'Datu ievade'!B255,'Datu ievade'!B253*('Datu ievade'!B378-'Datu ievade'!B379)+'Datu ievade'!B255),0)</f>
        <v>0</v>
      </c>
      <c r="C105" s="336">
        <f>IF(C$79&gt;='Datu ievade'!$B$30,IF('Datu ievade'!$B$353='Datu ievade'!$B$354,'Datu ievade'!C253*'Datu ievade'!C377+'Datu ievade'!C255,'Datu ievade'!C253*('Datu ievade'!C378-'Datu ievade'!C379)+'Datu ievade'!C255),0)</f>
        <v>0</v>
      </c>
      <c r="D105" s="336">
        <f t="shared" si="25"/>
        <v>-750</v>
      </c>
      <c r="E105" s="336">
        <f t="shared" si="25"/>
        <v>1800</v>
      </c>
      <c r="F105" s="336">
        <f aca="true" t="shared" si="27" ref="F105:AG105">F68-F31</f>
        <v>1800</v>
      </c>
      <c r="G105" s="336">
        <f t="shared" si="27"/>
        <v>1725</v>
      </c>
      <c r="H105" s="336">
        <f t="shared" si="27"/>
        <v>1675</v>
      </c>
      <c r="I105" s="336">
        <f t="shared" si="27"/>
        <v>1675</v>
      </c>
      <c r="J105" s="336">
        <f t="shared" si="27"/>
        <v>1700</v>
      </c>
      <c r="K105" s="336">
        <f t="shared" si="27"/>
        <v>1724.9999999999982</v>
      </c>
      <c r="L105" s="336">
        <f t="shared" si="27"/>
        <v>1925</v>
      </c>
      <c r="M105" s="336">
        <f t="shared" si="27"/>
        <v>1900</v>
      </c>
      <c r="N105" s="336">
        <f t="shared" si="27"/>
        <v>1925</v>
      </c>
      <c r="O105" s="336">
        <f t="shared" si="27"/>
        <v>1874.999999999999</v>
      </c>
      <c r="P105" s="336">
        <f t="shared" si="27"/>
        <v>1799.999999999999</v>
      </c>
      <c r="Q105" s="336">
        <f t="shared" si="27"/>
        <v>1774.999999999999</v>
      </c>
      <c r="R105" s="336">
        <f t="shared" si="27"/>
        <v>1924.999999999999</v>
      </c>
      <c r="S105" s="336">
        <f t="shared" si="27"/>
        <v>2424.9999999999973</v>
      </c>
      <c r="T105" s="336">
        <f t="shared" si="27"/>
        <v>2399.999999999999</v>
      </c>
      <c r="U105" s="336">
        <f t="shared" si="27"/>
        <v>2324.999999999999</v>
      </c>
      <c r="V105" s="336">
        <f t="shared" si="27"/>
        <v>2224.999999999999</v>
      </c>
      <c r="W105" s="336">
        <f t="shared" si="27"/>
        <v>2124.999999999998</v>
      </c>
      <c r="X105" s="336">
        <f t="shared" si="27"/>
        <v>2025.0000000000018</v>
      </c>
      <c r="Y105" s="336">
        <f t="shared" si="27"/>
        <v>1950.0000000000018</v>
      </c>
      <c r="Z105" s="336">
        <f t="shared" si="27"/>
        <v>1825.0000000000018</v>
      </c>
      <c r="AA105" s="336">
        <f t="shared" si="27"/>
        <v>1750.0000000000018</v>
      </c>
      <c r="AB105" s="336">
        <f t="shared" si="27"/>
        <v>1750</v>
      </c>
      <c r="AC105" s="336">
        <f t="shared" si="27"/>
        <v>1650</v>
      </c>
      <c r="AD105" s="336">
        <f t="shared" si="27"/>
        <v>1450.0000000000018</v>
      </c>
      <c r="AE105" s="336">
        <f t="shared" si="27"/>
        <v>1475</v>
      </c>
      <c r="AF105" s="336">
        <f t="shared" si="27"/>
        <v>1500</v>
      </c>
      <c r="AG105" s="336">
        <f t="shared" si="27"/>
        <v>1400</v>
      </c>
    </row>
    <row r="106" spans="1:33" s="328" customFormat="1" ht="12.75">
      <c r="A106" s="341" t="s">
        <v>175</v>
      </c>
      <c r="B106" s="325">
        <f aca="true" t="shared" si="28" ref="B106:AG106">SUM(B103:B105)</f>
        <v>0</v>
      </c>
      <c r="C106" s="325">
        <f t="shared" si="28"/>
        <v>0</v>
      </c>
      <c r="D106" s="325">
        <f t="shared" si="28"/>
        <v>-834.46875</v>
      </c>
      <c r="E106" s="325">
        <f t="shared" si="28"/>
        <v>7412.0250000000015</v>
      </c>
      <c r="F106" s="325">
        <f t="shared" si="28"/>
        <v>7446.2437500000015</v>
      </c>
      <c r="G106" s="325">
        <f t="shared" si="28"/>
        <v>7232.081249999999</v>
      </c>
      <c r="H106" s="325">
        <f t="shared" si="28"/>
        <v>7098.4312500000015</v>
      </c>
      <c r="I106" s="325">
        <f t="shared" si="28"/>
        <v>7132.6500000000015</v>
      </c>
      <c r="J106" s="325">
        <f t="shared" si="28"/>
        <v>7240.5375</v>
      </c>
      <c r="K106" s="325">
        <f t="shared" si="28"/>
        <v>7327.893749999996</v>
      </c>
      <c r="L106" s="325">
        <f t="shared" si="28"/>
        <v>7971.993749999996</v>
      </c>
      <c r="M106" s="325">
        <f t="shared" si="28"/>
        <v>7925.699999999999</v>
      </c>
      <c r="N106" s="325">
        <f t="shared" si="28"/>
        <v>8033.5875</v>
      </c>
      <c r="O106" s="325">
        <f t="shared" si="28"/>
        <v>7899.937499999995</v>
      </c>
      <c r="P106" s="325">
        <f t="shared" si="28"/>
        <v>7699.462499999999</v>
      </c>
      <c r="Q106" s="325">
        <f t="shared" si="28"/>
        <v>7660.012499999996</v>
      </c>
      <c r="R106" s="325">
        <f t="shared" si="28"/>
        <v>8136.243749999997</v>
      </c>
      <c r="S106" s="325">
        <f t="shared" si="28"/>
        <v>9684.899999999994</v>
      </c>
      <c r="T106" s="325">
        <f t="shared" si="28"/>
        <v>9645.449999999997</v>
      </c>
      <c r="U106" s="325">
        <f t="shared" si="28"/>
        <v>9438.131249999999</v>
      </c>
      <c r="V106" s="325">
        <f t="shared" si="28"/>
        <v>9163.987499999996</v>
      </c>
      <c r="W106" s="325">
        <f t="shared" si="28"/>
        <v>8882.999999999998</v>
      </c>
      <c r="X106" s="325">
        <f t="shared" si="28"/>
        <v>8602.012500000006</v>
      </c>
      <c r="Y106" s="325">
        <f t="shared" si="28"/>
        <v>8401.537500000004</v>
      </c>
      <c r="Z106" s="325">
        <f t="shared" si="28"/>
        <v>8046.881250000006</v>
      </c>
      <c r="AA106" s="325">
        <f t="shared" si="28"/>
        <v>7846.406250000004</v>
      </c>
      <c r="AB106" s="325">
        <f t="shared" si="28"/>
        <v>7887.468750000002</v>
      </c>
      <c r="AC106" s="325">
        <f t="shared" si="28"/>
        <v>7613.325000000001</v>
      </c>
      <c r="AD106" s="325">
        <f t="shared" si="28"/>
        <v>7010.287500000004</v>
      </c>
      <c r="AE106" s="325">
        <f t="shared" si="28"/>
        <v>7131.862499999999</v>
      </c>
      <c r="AF106" s="325">
        <f t="shared" si="28"/>
        <v>7253.4375</v>
      </c>
      <c r="AG106" s="325">
        <f t="shared" si="28"/>
        <v>6986.137499999999</v>
      </c>
    </row>
    <row r="107" spans="1:33" s="328" customFormat="1" ht="12.75">
      <c r="A107" s="206" t="s">
        <v>176</v>
      </c>
      <c r="B107" s="336">
        <f>IF(B$79&gt;='Datu ievade'!$B$30,IF('Datu ievade'!$B$353='Datu ievade'!$B$354,'Datu ievade'!B271*'Datu ievade'!B384+'Datu ievade'!B273,'Datu ievade'!B271*('Datu ievade'!B385-'Datu ievade'!B386)+'Datu ievade'!B273),0)</f>
        <v>0</v>
      </c>
      <c r="C107" s="336">
        <f>IF(C$79&gt;='Datu ievade'!$B$30,IF('Datu ievade'!$B$353='Datu ievade'!$B$354,'Datu ievade'!C271*'Datu ievade'!C384+'Datu ievade'!C273,'Datu ievade'!C271*('Datu ievade'!C385-'Datu ievade'!C386)+'Datu ievade'!C273),0)</f>
        <v>0</v>
      </c>
      <c r="D107" s="336">
        <f t="shared" si="25"/>
        <v>-146.80299999999988</v>
      </c>
      <c r="E107" s="336">
        <f t="shared" si="25"/>
        <v>4587.684999999998</v>
      </c>
      <c r="F107" s="336">
        <f aca="true" t="shared" si="29" ref="F107:AG107">F70-F33</f>
        <v>4355.253000000001</v>
      </c>
      <c r="G107" s="336">
        <f t="shared" si="29"/>
        <v>4301.342499999997</v>
      </c>
      <c r="H107" s="336">
        <f t="shared" si="29"/>
        <v>4339.411999999998</v>
      </c>
      <c r="I107" s="336">
        <f t="shared" si="29"/>
        <v>4377.481499999998</v>
      </c>
      <c r="J107" s="336">
        <f t="shared" si="29"/>
        <v>4464.022999999996</v>
      </c>
      <c r="K107" s="336">
        <f t="shared" si="29"/>
        <v>4502.092499999995</v>
      </c>
      <c r="L107" s="336">
        <f t="shared" si="29"/>
        <v>5491.643999999998</v>
      </c>
      <c r="M107" s="336">
        <f t="shared" si="29"/>
        <v>5529.713500000002</v>
      </c>
      <c r="N107" s="336">
        <f t="shared" si="29"/>
        <v>5567.782999999994</v>
      </c>
      <c r="O107" s="336">
        <f t="shared" si="29"/>
        <v>5329.912499999995</v>
      </c>
      <c r="P107" s="336">
        <f t="shared" si="29"/>
        <v>5246.327499999999</v>
      </c>
      <c r="Q107" s="336">
        <f t="shared" si="29"/>
        <v>5203.293999999998</v>
      </c>
      <c r="R107" s="336">
        <f t="shared" si="29"/>
        <v>5206.250499999998</v>
      </c>
      <c r="S107" s="336">
        <f t="shared" si="29"/>
        <v>5122.665499999999</v>
      </c>
      <c r="T107" s="336">
        <f t="shared" si="29"/>
        <v>5263.591999999997</v>
      </c>
      <c r="U107" s="336">
        <f t="shared" si="29"/>
        <v>5036.5985</v>
      </c>
      <c r="V107" s="336">
        <f t="shared" si="29"/>
        <v>5004.442000000003</v>
      </c>
      <c r="W107" s="336">
        <f t="shared" si="29"/>
        <v>4782.887000000002</v>
      </c>
      <c r="X107" s="336">
        <f t="shared" si="29"/>
        <v>4561.331999999995</v>
      </c>
      <c r="Y107" s="336">
        <f t="shared" si="29"/>
        <v>4339.776999999998</v>
      </c>
      <c r="Z107" s="336">
        <f t="shared" si="29"/>
        <v>4118.221999999994</v>
      </c>
      <c r="AA107" s="336">
        <f t="shared" si="29"/>
        <v>3850.6769999999888</v>
      </c>
      <c r="AB107" s="336">
        <f t="shared" si="29"/>
        <v>3629.1219999999994</v>
      </c>
      <c r="AC107" s="336">
        <f t="shared" si="29"/>
        <v>3407.5670000000027</v>
      </c>
      <c r="AD107" s="336">
        <f t="shared" si="29"/>
        <v>3145.4604999999974</v>
      </c>
      <c r="AE107" s="336">
        <f t="shared" si="29"/>
        <v>2923.9055000000008</v>
      </c>
      <c r="AF107" s="336">
        <f t="shared" si="29"/>
        <v>2840.3205000000053</v>
      </c>
      <c r="AG107" s="336">
        <f t="shared" si="29"/>
        <v>2675.6324999999924</v>
      </c>
    </row>
    <row r="108" spans="1:33" s="328" customFormat="1" ht="12.75">
      <c r="A108" s="206" t="s">
        <v>177</v>
      </c>
      <c r="B108" s="336">
        <f>IF(B$79&gt;='Datu ievade'!$B$30,IF('Datu ievade'!$B$353='Datu ievade'!$B$354,'Datu ievade'!B280*'Datu ievade'!B384+'Datu ievade'!B282,'Datu ievade'!B280*('Datu ievade'!B385-'Datu ievade'!B386)+'Datu ievade'!B282),0)</f>
        <v>0</v>
      </c>
      <c r="C108" s="336">
        <f>IF(C$79&gt;='Datu ievade'!$B$30,IF('Datu ievade'!$B$353='Datu ievade'!$B$354,'Datu ievade'!C280*'Datu ievade'!C384+'Datu ievade'!C282,'Datu ievade'!C280*('Datu ievade'!C385-'Datu ievade'!C386)+'Datu ievade'!C282),0)</f>
        <v>0</v>
      </c>
      <c r="D108" s="336">
        <f t="shared" si="25"/>
        <v>-207</v>
      </c>
      <c r="E108" s="336">
        <f t="shared" si="25"/>
        <v>252</v>
      </c>
      <c r="F108" s="336">
        <f aca="true" t="shared" si="30" ref="F108:AG108">F71-F34</f>
        <v>225</v>
      </c>
      <c r="G108" s="336">
        <f t="shared" si="30"/>
        <v>216</v>
      </c>
      <c r="H108" s="336">
        <f t="shared" si="30"/>
        <v>215.99999999999977</v>
      </c>
      <c r="I108" s="336">
        <f t="shared" si="30"/>
        <v>215.99999999999977</v>
      </c>
      <c r="J108" s="336">
        <f t="shared" si="30"/>
        <v>224.99999999999977</v>
      </c>
      <c r="K108" s="336">
        <f t="shared" si="30"/>
        <v>224.99999999999955</v>
      </c>
      <c r="L108" s="336">
        <f t="shared" si="30"/>
        <v>333</v>
      </c>
      <c r="M108" s="336">
        <f t="shared" si="30"/>
        <v>333</v>
      </c>
      <c r="N108" s="336">
        <f t="shared" si="30"/>
        <v>332.99999999999955</v>
      </c>
      <c r="O108" s="336">
        <f t="shared" si="30"/>
        <v>305.9999999999993</v>
      </c>
      <c r="P108" s="336">
        <f t="shared" si="30"/>
        <v>292.49999999999955</v>
      </c>
      <c r="Q108" s="336">
        <f t="shared" si="30"/>
        <v>283.49999999999955</v>
      </c>
      <c r="R108" s="336">
        <f t="shared" si="30"/>
        <v>279</v>
      </c>
      <c r="S108" s="336">
        <f t="shared" si="30"/>
        <v>265.5</v>
      </c>
      <c r="T108" s="336">
        <f t="shared" si="30"/>
        <v>274.5</v>
      </c>
      <c r="U108" s="336">
        <f t="shared" si="30"/>
        <v>247.5</v>
      </c>
      <c r="V108" s="336">
        <f t="shared" si="30"/>
        <v>238.5</v>
      </c>
      <c r="W108" s="336">
        <f t="shared" si="30"/>
        <v>211.5</v>
      </c>
      <c r="X108" s="336">
        <f t="shared" si="30"/>
        <v>184.49999999999955</v>
      </c>
      <c r="Y108" s="336">
        <f t="shared" si="30"/>
        <v>157.49999999999955</v>
      </c>
      <c r="Z108" s="336">
        <f t="shared" si="30"/>
        <v>130.49999999999955</v>
      </c>
      <c r="AA108" s="336">
        <f t="shared" si="30"/>
        <v>98.99999999999909</v>
      </c>
      <c r="AB108" s="336">
        <f t="shared" si="30"/>
        <v>72</v>
      </c>
      <c r="AC108" s="336">
        <f t="shared" si="30"/>
        <v>45</v>
      </c>
      <c r="AD108" s="336">
        <f t="shared" si="30"/>
        <v>13.499999999999545</v>
      </c>
      <c r="AE108" s="336">
        <f t="shared" si="30"/>
        <v>-13.5</v>
      </c>
      <c r="AF108" s="336">
        <f t="shared" si="30"/>
        <v>-26.999999999999545</v>
      </c>
      <c r="AG108" s="336">
        <f t="shared" si="30"/>
        <v>-49.50000000000091</v>
      </c>
    </row>
    <row r="109" spans="1:36" s="328" customFormat="1" ht="12.75">
      <c r="A109" s="206" t="s">
        <v>178</v>
      </c>
      <c r="B109" s="336">
        <f>IF(B$79&gt;='Datu ievade'!$B$30,IF('Datu ievade'!$B$353='Datu ievade'!$B$354,'Datu ievade'!B287*'Datu ievade'!B384+'Datu ievade'!B289,'Datu ievade'!B287*('Datu ievade'!B385-'Datu ievade'!B386)+'Datu ievade'!B289),0)</f>
        <v>0</v>
      </c>
      <c r="C109" s="336">
        <f>IF(C$79&gt;='Datu ievade'!$B$30,IF('Datu ievade'!$B$353='Datu ievade'!$B$354,'Datu ievade'!C287*'Datu ievade'!C384+'Datu ievade'!C289,'Datu ievade'!C287*('Datu ievade'!C385-'Datu ievade'!C386)+'Datu ievade'!C289),0)</f>
        <v>0</v>
      </c>
      <c r="D109" s="336">
        <f t="shared" si="25"/>
        <v>-147.19999999999982</v>
      </c>
      <c r="E109" s="336">
        <f t="shared" si="25"/>
        <v>179.20000000000005</v>
      </c>
      <c r="F109" s="336">
        <f aca="true" t="shared" si="31" ref="F109:AG109">F72-F35</f>
        <v>160</v>
      </c>
      <c r="G109" s="336">
        <f t="shared" si="31"/>
        <v>153.5999999999999</v>
      </c>
      <c r="H109" s="336">
        <f t="shared" si="31"/>
        <v>153.59999999999968</v>
      </c>
      <c r="I109" s="336">
        <f t="shared" si="31"/>
        <v>153.59999999999968</v>
      </c>
      <c r="J109" s="336">
        <f t="shared" si="31"/>
        <v>159.99999999999977</v>
      </c>
      <c r="K109" s="336">
        <f t="shared" si="31"/>
        <v>159.99999999999977</v>
      </c>
      <c r="L109" s="336">
        <f t="shared" si="31"/>
        <v>236.79999999999995</v>
      </c>
      <c r="M109" s="336">
        <f t="shared" si="31"/>
        <v>236.79999999999995</v>
      </c>
      <c r="N109" s="336">
        <f t="shared" si="31"/>
        <v>236.7999999999995</v>
      </c>
      <c r="O109" s="336">
        <f t="shared" si="31"/>
        <v>217.59999999999968</v>
      </c>
      <c r="P109" s="336">
        <f t="shared" si="31"/>
        <v>207.99999999999977</v>
      </c>
      <c r="Q109" s="336">
        <f t="shared" si="31"/>
        <v>201.5999999999999</v>
      </c>
      <c r="R109" s="336">
        <f t="shared" si="31"/>
        <v>198.4000000000001</v>
      </c>
      <c r="S109" s="336">
        <f t="shared" si="31"/>
        <v>188.80000000000018</v>
      </c>
      <c r="T109" s="336">
        <f t="shared" si="31"/>
        <v>195.20000000000005</v>
      </c>
      <c r="U109" s="336">
        <f t="shared" si="31"/>
        <v>176</v>
      </c>
      <c r="V109" s="336">
        <f t="shared" si="31"/>
        <v>169.60000000000014</v>
      </c>
      <c r="W109" s="336">
        <f t="shared" si="31"/>
        <v>150.40000000000032</v>
      </c>
      <c r="X109" s="336">
        <f t="shared" si="31"/>
        <v>131.1999999999996</v>
      </c>
      <c r="Y109" s="336">
        <f t="shared" si="31"/>
        <v>111.99999999999955</v>
      </c>
      <c r="Z109" s="336">
        <f t="shared" si="31"/>
        <v>92.79999999999973</v>
      </c>
      <c r="AA109" s="336">
        <f t="shared" si="31"/>
        <v>70.39999999999941</v>
      </c>
      <c r="AB109" s="336">
        <f t="shared" si="31"/>
        <v>51.200000000000045</v>
      </c>
      <c r="AC109" s="336">
        <f t="shared" si="31"/>
        <v>32</v>
      </c>
      <c r="AD109" s="336">
        <f t="shared" si="31"/>
        <v>9.599999999999682</v>
      </c>
      <c r="AE109" s="336">
        <f t="shared" si="31"/>
        <v>-9.600000000000136</v>
      </c>
      <c r="AF109" s="336">
        <f t="shared" si="31"/>
        <v>-19.199999999999818</v>
      </c>
      <c r="AG109" s="336">
        <f t="shared" si="31"/>
        <v>-35.2000000000005</v>
      </c>
      <c r="AH109" s="292"/>
      <c r="AI109" s="292"/>
      <c r="AJ109" s="292"/>
    </row>
    <row r="110" spans="1:33" s="328" customFormat="1" ht="12.75">
      <c r="A110" s="341" t="s">
        <v>179</v>
      </c>
      <c r="B110" s="325">
        <f aca="true" t="shared" si="32" ref="B110:AG110">SUM(B107:B109)</f>
        <v>0</v>
      </c>
      <c r="C110" s="325">
        <f t="shared" si="32"/>
        <v>0</v>
      </c>
      <c r="D110" s="325">
        <f t="shared" si="32"/>
        <v>-501.0029999999997</v>
      </c>
      <c r="E110" s="325">
        <f t="shared" si="32"/>
        <v>5018.8849999999975</v>
      </c>
      <c r="F110" s="325">
        <f t="shared" si="32"/>
        <v>4740.253000000001</v>
      </c>
      <c r="G110" s="325">
        <f t="shared" si="32"/>
        <v>4670.942499999997</v>
      </c>
      <c r="H110" s="325">
        <f t="shared" si="32"/>
        <v>4709.011999999998</v>
      </c>
      <c r="I110" s="325">
        <f t="shared" si="32"/>
        <v>4747.0814999999975</v>
      </c>
      <c r="J110" s="325">
        <f t="shared" si="32"/>
        <v>4849.022999999996</v>
      </c>
      <c r="K110" s="325">
        <f t="shared" si="32"/>
        <v>4887.092499999995</v>
      </c>
      <c r="L110" s="325">
        <f t="shared" si="32"/>
        <v>6061.443999999999</v>
      </c>
      <c r="M110" s="325">
        <f t="shared" si="32"/>
        <v>6099.513500000002</v>
      </c>
      <c r="N110" s="325">
        <f t="shared" si="32"/>
        <v>6137.582999999993</v>
      </c>
      <c r="O110" s="325">
        <f t="shared" si="32"/>
        <v>5853.512499999993</v>
      </c>
      <c r="P110" s="325">
        <f t="shared" si="32"/>
        <v>5746.827499999999</v>
      </c>
      <c r="Q110" s="325">
        <f t="shared" si="32"/>
        <v>5688.393999999998</v>
      </c>
      <c r="R110" s="325">
        <f t="shared" si="32"/>
        <v>5683.650499999998</v>
      </c>
      <c r="S110" s="325">
        <f t="shared" si="32"/>
        <v>5576.965499999999</v>
      </c>
      <c r="T110" s="325">
        <f t="shared" si="32"/>
        <v>5733.291999999997</v>
      </c>
      <c r="U110" s="325">
        <f t="shared" si="32"/>
        <v>5460.0985</v>
      </c>
      <c r="V110" s="325">
        <f t="shared" si="32"/>
        <v>5412.542000000003</v>
      </c>
      <c r="W110" s="325">
        <f t="shared" si="32"/>
        <v>5144.787000000003</v>
      </c>
      <c r="X110" s="325">
        <f t="shared" si="32"/>
        <v>4877.031999999995</v>
      </c>
      <c r="Y110" s="325">
        <f t="shared" si="32"/>
        <v>4609.276999999998</v>
      </c>
      <c r="Z110" s="325">
        <f t="shared" si="32"/>
        <v>4341.521999999994</v>
      </c>
      <c r="AA110" s="325">
        <f t="shared" si="32"/>
        <v>4020.0769999999875</v>
      </c>
      <c r="AB110" s="325">
        <f t="shared" si="32"/>
        <v>3752.321999999999</v>
      </c>
      <c r="AC110" s="325">
        <f t="shared" si="32"/>
        <v>3484.5670000000027</v>
      </c>
      <c r="AD110" s="325">
        <f t="shared" si="32"/>
        <v>3168.560499999997</v>
      </c>
      <c r="AE110" s="325">
        <f t="shared" si="32"/>
        <v>2900.8055000000004</v>
      </c>
      <c r="AF110" s="325">
        <f t="shared" si="32"/>
        <v>2794.120500000006</v>
      </c>
      <c r="AG110" s="340">
        <f t="shared" si="32"/>
        <v>2590.932499999991</v>
      </c>
    </row>
    <row r="111" spans="1:33" s="328" customFormat="1" ht="12.75">
      <c r="A111" s="324" t="s">
        <v>180</v>
      </c>
      <c r="B111" s="325">
        <f aca="true" t="shared" si="33" ref="B111:AG111">SUM(B106,B110)</f>
        <v>0</v>
      </c>
      <c r="C111" s="325">
        <f t="shared" si="33"/>
        <v>0</v>
      </c>
      <c r="D111" s="325">
        <f t="shared" si="33"/>
        <v>-1335.4717499999997</v>
      </c>
      <c r="E111" s="325">
        <f t="shared" si="33"/>
        <v>12430.91</v>
      </c>
      <c r="F111" s="325">
        <f t="shared" si="33"/>
        <v>12186.496750000002</v>
      </c>
      <c r="G111" s="325">
        <f t="shared" si="33"/>
        <v>11903.023749999997</v>
      </c>
      <c r="H111" s="325">
        <f t="shared" si="33"/>
        <v>11807.44325</v>
      </c>
      <c r="I111" s="325">
        <f t="shared" si="33"/>
        <v>11879.731499999998</v>
      </c>
      <c r="J111" s="325">
        <f t="shared" si="33"/>
        <v>12089.560499999996</v>
      </c>
      <c r="K111" s="325">
        <f t="shared" si="33"/>
        <v>12214.98624999999</v>
      </c>
      <c r="L111" s="325">
        <f t="shared" si="33"/>
        <v>14033.437749999994</v>
      </c>
      <c r="M111" s="325">
        <f t="shared" si="33"/>
        <v>14025.213500000002</v>
      </c>
      <c r="N111" s="325">
        <f t="shared" si="33"/>
        <v>14171.170499999993</v>
      </c>
      <c r="O111" s="325">
        <f t="shared" si="33"/>
        <v>13753.44999999999</v>
      </c>
      <c r="P111" s="325">
        <f t="shared" si="33"/>
        <v>13446.289999999997</v>
      </c>
      <c r="Q111" s="325">
        <f t="shared" si="33"/>
        <v>13348.406499999994</v>
      </c>
      <c r="R111" s="325">
        <f t="shared" si="33"/>
        <v>13819.894249999994</v>
      </c>
      <c r="S111" s="325">
        <f t="shared" si="33"/>
        <v>15261.865499999993</v>
      </c>
      <c r="T111" s="325">
        <f t="shared" si="33"/>
        <v>15378.741999999995</v>
      </c>
      <c r="U111" s="325">
        <f t="shared" si="33"/>
        <v>14898.229749999999</v>
      </c>
      <c r="V111" s="325">
        <f t="shared" si="33"/>
        <v>14576.529499999999</v>
      </c>
      <c r="W111" s="325">
        <f t="shared" si="33"/>
        <v>14027.787</v>
      </c>
      <c r="X111" s="325">
        <f t="shared" si="33"/>
        <v>13479.0445</v>
      </c>
      <c r="Y111" s="325">
        <f t="shared" si="33"/>
        <v>13010.814500000002</v>
      </c>
      <c r="Z111" s="325">
        <f t="shared" si="33"/>
        <v>12388.40325</v>
      </c>
      <c r="AA111" s="325">
        <f t="shared" si="33"/>
        <v>11866.48324999999</v>
      </c>
      <c r="AB111" s="325">
        <f t="shared" si="33"/>
        <v>11639.79075</v>
      </c>
      <c r="AC111" s="325">
        <f t="shared" si="33"/>
        <v>11097.892000000003</v>
      </c>
      <c r="AD111" s="325">
        <f t="shared" si="33"/>
        <v>10178.848000000002</v>
      </c>
      <c r="AE111" s="325">
        <f t="shared" si="33"/>
        <v>10032.668</v>
      </c>
      <c r="AF111" s="325">
        <f t="shared" si="33"/>
        <v>10047.558000000006</v>
      </c>
      <c r="AG111" s="325">
        <f t="shared" si="33"/>
        <v>9577.069999999989</v>
      </c>
    </row>
    <row r="112" spans="1:33" s="328" customFormat="1" ht="13.5" customHeight="1">
      <c r="A112" s="324" t="s">
        <v>181</v>
      </c>
      <c r="B112" s="325">
        <f aca="true" t="shared" si="34" ref="B112:AG112">B111-B102</f>
        <v>0</v>
      </c>
      <c r="C112" s="325">
        <f t="shared" si="34"/>
        <v>0</v>
      </c>
      <c r="D112" s="325">
        <f t="shared" si="34"/>
        <v>1414.5282500000003</v>
      </c>
      <c r="E112" s="325">
        <f t="shared" si="34"/>
        <v>21510.46</v>
      </c>
      <c r="F112" s="325">
        <f t="shared" si="34"/>
        <v>22082.410750000003</v>
      </c>
      <c r="G112" s="325">
        <f t="shared" si="34"/>
        <v>21980.528749999998</v>
      </c>
      <c r="H112" s="325">
        <f t="shared" si="34"/>
        <v>22066.53925</v>
      </c>
      <c r="I112" s="325">
        <f t="shared" si="34"/>
        <v>22320.418499999992</v>
      </c>
      <c r="J112" s="325">
        <f t="shared" si="34"/>
        <v>22711.838499999998</v>
      </c>
      <c r="K112" s="325">
        <f t="shared" si="34"/>
        <v>23018.855249999993</v>
      </c>
      <c r="L112" s="325">
        <f t="shared" si="34"/>
        <v>25018.897749999993</v>
      </c>
      <c r="M112" s="325">
        <f t="shared" si="34"/>
        <v>25192.264500000005</v>
      </c>
      <c r="N112" s="325">
        <f t="shared" si="34"/>
        <v>25519.812499999993</v>
      </c>
      <c r="O112" s="325">
        <f t="shared" si="34"/>
        <v>25328.68299999999</v>
      </c>
      <c r="P112" s="325">
        <f t="shared" si="34"/>
        <v>25293.909499999998</v>
      </c>
      <c r="Q112" s="325">
        <f t="shared" si="34"/>
        <v>25468.41249999999</v>
      </c>
      <c r="R112" s="325">
        <f t="shared" si="34"/>
        <v>26212.286749999992</v>
      </c>
      <c r="S112" s="325">
        <f t="shared" si="34"/>
        <v>27926.644499999995</v>
      </c>
      <c r="T112" s="325">
        <f t="shared" si="34"/>
        <v>28315.907499999994</v>
      </c>
      <c r="U112" s="325">
        <f t="shared" si="34"/>
        <v>28107.78175</v>
      </c>
      <c r="V112" s="325">
        <f t="shared" si="34"/>
        <v>28058.468</v>
      </c>
      <c r="W112" s="325">
        <f t="shared" si="34"/>
        <v>27782.112</v>
      </c>
      <c r="X112" s="325">
        <f t="shared" si="34"/>
        <v>27505.756</v>
      </c>
      <c r="Y112" s="325">
        <f t="shared" si="34"/>
        <v>27309.912500000002</v>
      </c>
      <c r="Z112" s="325">
        <f t="shared" si="34"/>
        <v>26959.88775</v>
      </c>
      <c r="AA112" s="325">
        <f t="shared" si="34"/>
        <v>26710.35424999999</v>
      </c>
      <c r="AB112" s="325">
        <f t="shared" si="34"/>
        <v>26756.04825</v>
      </c>
      <c r="AC112" s="325">
        <f t="shared" si="34"/>
        <v>26486.536000000004</v>
      </c>
      <c r="AD112" s="325">
        <f t="shared" si="34"/>
        <v>25839.878500000003</v>
      </c>
      <c r="AE112" s="325">
        <f t="shared" si="34"/>
        <v>25966.085000000003</v>
      </c>
      <c r="AF112" s="325">
        <f t="shared" si="34"/>
        <v>26298.361500000006</v>
      </c>
      <c r="AG112" s="325">
        <f t="shared" si="34"/>
        <v>26191.055499999984</v>
      </c>
    </row>
    <row r="113" ht="16.5" customHeight="1"/>
    <row r="114" ht="12.75" customHeight="1"/>
    <row r="115" ht="11.25" hidden="1"/>
    <row r="116" spans="2:33" ht="11.25" hidden="1">
      <c r="B116" s="591">
        <f>Aprekini!B321</f>
        <v>0</v>
      </c>
      <c r="C116" s="591">
        <f>Aprekini!C321</f>
        <v>0</v>
      </c>
      <c r="D116" s="591">
        <f>Aprekini!D321</f>
        <v>0</v>
      </c>
      <c r="E116" s="591">
        <f>Aprekini!E321</f>
        <v>0.19999999995343387</v>
      </c>
      <c r="F116" s="591">
        <f>Aprekini!F321</f>
        <v>-0.6000000000931323</v>
      </c>
      <c r="G116" s="591">
        <f>Aprekini!G321</f>
        <v>0.5999999999767169</v>
      </c>
      <c r="H116" s="591">
        <f>Aprekini!H321</f>
        <v>-0.2000000000698492</v>
      </c>
      <c r="I116" s="591">
        <f>Aprekini!I321</f>
        <v>0</v>
      </c>
      <c r="J116" s="591">
        <f>Aprekini!J321</f>
        <v>0.19999999983701855</v>
      </c>
      <c r="K116" s="591">
        <f>Aprekini!K321</f>
        <v>-0.6000000000931323</v>
      </c>
      <c r="L116" s="591">
        <f>Aprekini!L321</f>
        <v>0.5999999997438863</v>
      </c>
      <c r="M116" s="591">
        <f>Aprekini!M321</f>
        <v>-0.20000000030267984</v>
      </c>
      <c r="N116" s="591">
        <f>Aprekini!N321</f>
        <v>0</v>
      </c>
      <c r="O116" s="591">
        <f>Aprekini!O321</f>
        <v>0.3999999996740371</v>
      </c>
      <c r="P116" s="591">
        <f>Aprekini!P321</f>
        <v>-0.2000000003608875</v>
      </c>
      <c r="Q116" s="591">
        <f>Aprekini!Q321</f>
        <v>0.1999999996041879</v>
      </c>
      <c r="R116" s="591">
        <f>Aprekini!R321</f>
        <v>-0.40000000037252903</v>
      </c>
      <c r="S116" s="591">
        <f>Aprekini!S321</f>
        <v>0</v>
      </c>
      <c r="T116" s="591">
        <f>Aprekini!T321</f>
        <v>0.39999999961582944</v>
      </c>
      <c r="U116" s="591">
        <f>Aprekini!U321</f>
        <v>-0.20000000047730282</v>
      </c>
      <c r="V116" s="591">
        <f>Aprekini!V321</f>
        <v>0.19999999948777258</v>
      </c>
      <c r="W116" s="591">
        <f>Aprekini!W321</f>
        <v>-0.40000000048894435</v>
      </c>
      <c r="X116" s="591">
        <f>Aprekini!X321</f>
        <v>-5.238689482212067E-10</v>
      </c>
      <c r="Y116" s="591">
        <f>Aprekini!Y321</f>
        <v>0.39999999944120646</v>
      </c>
      <c r="Z116" s="591">
        <f>Aprekini!Z321</f>
        <v>-0.20000000047730282</v>
      </c>
      <c r="AA116" s="591">
        <f>Aprekini!AA321</f>
        <v>0.19999999948777258</v>
      </c>
      <c r="AB116" s="591">
        <f>Aprekini!AB321</f>
        <v>-0.400000000547152</v>
      </c>
      <c r="AC116" s="591">
        <f>Aprekini!AC321</f>
        <v>-5.238689482212067E-10</v>
      </c>
      <c r="AD116" s="591">
        <f>Aprekini!AD321</f>
        <v>0.3999999994994141</v>
      </c>
      <c r="AE116" s="591">
        <f>Aprekini!AE321</f>
        <v>-0.20000000047730282</v>
      </c>
      <c r="AF116" s="591">
        <f>Aprekini!AF321</f>
        <v>0.19999999954598024</v>
      </c>
      <c r="AG116" s="591">
        <f>Aprekini!AG321</f>
        <v>-0.4000000004307367</v>
      </c>
    </row>
    <row r="117" spans="4:6" ht="11.25" hidden="1">
      <c r="D117" s="591"/>
      <c r="F117" s="591"/>
    </row>
    <row r="118" spans="3:33" ht="11.25" hidden="1">
      <c r="C118" s="591">
        <f>C117+C116</f>
        <v>0</v>
      </c>
      <c r="D118" s="591">
        <f aca="true" t="shared" si="35" ref="D118:AG118">D117+D116</f>
        <v>0</v>
      </c>
      <c r="E118" s="591">
        <f t="shared" si="35"/>
        <v>0.19999999995343387</v>
      </c>
      <c r="F118" s="591">
        <f t="shared" si="35"/>
        <v>-0.6000000000931323</v>
      </c>
      <c r="G118" s="591">
        <f t="shared" si="35"/>
        <v>0.5999999999767169</v>
      </c>
      <c r="H118" s="591">
        <f t="shared" si="35"/>
        <v>-0.2000000000698492</v>
      </c>
      <c r="I118" s="591">
        <f t="shared" si="35"/>
        <v>0</v>
      </c>
      <c r="J118" s="591">
        <f t="shared" si="35"/>
        <v>0.19999999983701855</v>
      </c>
      <c r="K118" s="591">
        <f t="shared" si="35"/>
        <v>-0.6000000000931323</v>
      </c>
      <c r="L118" s="591">
        <f t="shared" si="35"/>
        <v>0.5999999997438863</v>
      </c>
      <c r="M118" s="591">
        <f t="shared" si="35"/>
        <v>-0.20000000030267984</v>
      </c>
      <c r="N118" s="591">
        <f t="shared" si="35"/>
        <v>0</v>
      </c>
      <c r="O118" s="591">
        <f t="shared" si="35"/>
        <v>0.3999999996740371</v>
      </c>
      <c r="P118" s="591">
        <f t="shared" si="35"/>
        <v>-0.2000000003608875</v>
      </c>
      <c r="Q118" s="591">
        <f t="shared" si="35"/>
        <v>0.1999999996041879</v>
      </c>
      <c r="R118" s="591">
        <f t="shared" si="35"/>
        <v>-0.40000000037252903</v>
      </c>
      <c r="S118" s="591">
        <f t="shared" si="35"/>
        <v>0</v>
      </c>
      <c r="T118" s="591">
        <f t="shared" si="35"/>
        <v>0.39999999961582944</v>
      </c>
      <c r="U118" s="591">
        <f t="shared" si="35"/>
        <v>-0.20000000047730282</v>
      </c>
      <c r="V118" s="591">
        <f>V117+V116</f>
        <v>0.19999999948777258</v>
      </c>
      <c r="W118" s="591">
        <f t="shared" si="35"/>
        <v>-0.40000000048894435</v>
      </c>
      <c r="X118" s="591">
        <f t="shared" si="35"/>
        <v>-5.238689482212067E-10</v>
      </c>
      <c r="Y118" s="591">
        <f t="shared" si="35"/>
        <v>0.39999999944120646</v>
      </c>
      <c r="Z118" s="591">
        <f t="shared" si="35"/>
        <v>-0.20000000047730282</v>
      </c>
      <c r="AA118" s="591">
        <f t="shared" si="35"/>
        <v>0.19999999948777258</v>
      </c>
      <c r="AB118" s="591">
        <f t="shared" si="35"/>
        <v>-0.400000000547152</v>
      </c>
      <c r="AC118" s="591">
        <f t="shared" si="35"/>
        <v>-5.238689482212067E-10</v>
      </c>
      <c r="AD118" s="591">
        <f t="shared" si="35"/>
        <v>0.3999999994994141</v>
      </c>
      <c r="AE118" s="591">
        <f t="shared" si="35"/>
        <v>-0.20000000047730282</v>
      </c>
      <c r="AF118" s="591">
        <f t="shared" si="35"/>
        <v>0.19999999954598024</v>
      </c>
      <c r="AG118" s="591">
        <f t="shared" si="35"/>
        <v>-0.4000000004307367</v>
      </c>
    </row>
  </sheetData>
  <sheetProtection/>
  <dataValidations count="1">
    <dataValidation operator="equal" allowBlank="1" showErrorMessage="1" errorTitle="Jāievada pozitīvs skaitlis" error="Jāievada pozitīvs skaitlis" sqref="B73:AG75">
      <formula1>0</formula1>
    </dataValidation>
  </dataValidations>
  <printOptions/>
  <pageMargins left="0.5902777777777778" right="0.5902777777777778" top="0.75" bottom="0.8888888888888888" header="0.5118055555555555" footer="0.75"/>
  <pageSetup horizontalDpi="300" verticalDpi="300" orientation="landscape" paperSize="9" scale="78" r:id="rId1"/>
  <headerFooter alignWithMargins="0">
    <oddFooter>&amp;L&amp;A&amp;R&amp;P</oddFooter>
  </headerFooter>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IT365"/>
  <sheetViews>
    <sheetView showGridLines="0" zoomScale="120" zoomScaleNormal="120" zoomScaleSheetLayoutView="90" zoomScalePageLayoutView="0" workbookViewId="0" topLeftCell="A159">
      <selection activeCell="D244" sqref="D244"/>
    </sheetView>
  </sheetViews>
  <sheetFormatPr defaultColWidth="6.28125" defaultRowHeight="11.25" outlineLevelRow="1"/>
  <cols>
    <col min="1" max="1" width="48.421875" style="105" customWidth="1"/>
    <col min="2" max="2" width="13.7109375" style="1" customWidth="1"/>
    <col min="3" max="3" width="9.28125" style="1" customWidth="1"/>
    <col min="4" max="5" width="9.7109375" style="1" customWidth="1"/>
    <col min="6" max="6" width="9.7109375" style="633" customWidth="1"/>
    <col min="7" max="10" width="9.7109375" style="1" customWidth="1"/>
    <col min="11" max="11" width="8.8515625" style="1" customWidth="1"/>
    <col min="12" max="12" width="9.7109375" style="1" customWidth="1"/>
    <col min="13" max="13" width="11.421875" style="1" customWidth="1"/>
    <col min="14" max="22" width="9.7109375" style="1" customWidth="1"/>
    <col min="23" max="26" width="9.28125" style="1" customWidth="1"/>
    <col min="27" max="27" width="9.8515625" style="1" customWidth="1"/>
    <col min="28" max="32" width="9.28125" style="1" customWidth="1"/>
    <col min="33" max="33" width="10.421875" style="1" customWidth="1"/>
    <col min="34" max="34" width="9.7109375" style="1" customWidth="1"/>
    <col min="35" max="16384" width="6.28125" style="1" customWidth="1"/>
  </cols>
  <sheetData>
    <row r="1" spans="1:26" s="109" customFormat="1" ht="14.25" customHeight="1">
      <c r="A1" s="106" t="str">
        <f>'Datu ievade'!B4</f>
        <v>A novada pašvaldība</v>
      </c>
      <c r="B1" s="107" t="str">
        <f>'Datu ievade'!B6</f>
        <v>Ūdenssaimniecības attīstība A ciemā</v>
      </c>
      <c r="C1" s="108"/>
      <c r="D1" s="108"/>
      <c r="E1" s="108"/>
      <c r="F1" s="611"/>
      <c r="G1" s="108"/>
      <c r="H1" s="108"/>
      <c r="I1" s="108"/>
      <c r="J1" s="108"/>
      <c r="K1" s="108"/>
      <c r="L1" s="108"/>
      <c r="M1" s="108"/>
      <c r="N1" s="108"/>
      <c r="O1" s="108"/>
      <c r="P1" s="108"/>
      <c r="Q1" s="108"/>
      <c r="R1" s="108"/>
      <c r="S1" s="108"/>
      <c r="T1" s="108"/>
      <c r="U1" s="108"/>
      <c r="V1" s="108"/>
      <c r="W1" s="108"/>
      <c r="X1" s="108"/>
      <c r="Y1" s="108"/>
      <c r="Z1" s="108"/>
    </row>
    <row r="2" spans="1:26" s="109" customFormat="1" ht="14.25" customHeight="1">
      <c r="A2" s="110"/>
      <c r="B2" s="111"/>
      <c r="C2" s="108"/>
      <c r="D2" s="108"/>
      <c r="E2" s="108"/>
      <c r="F2" s="611"/>
      <c r="G2" s="108"/>
      <c r="H2" s="108"/>
      <c r="I2" s="108"/>
      <c r="J2" s="108"/>
      <c r="K2" s="108"/>
      <c r="L2" s="108"/>
      <c r="M2" s="108"/>
      <c r="N2" s="108"/>
      <c r="O2" s="108"/>
      <c r="P2" s="108"/>
      <c r="Q2" s="108"/>
      <c r="R2" s="108"/>
      <c r="S2" s="108"/>
      <c r="T2" s="108"/>
      <c r="U2" s="108"/>
      <c r="V2" s="108"/>
      <c r="W2" s="108"/>
      <c r="X2" s="108"/>
      <c r="Y2" s="108"/>
      <c r="Z2" s="108"/>
    </row>
    <row r="3" spans="1:33" ht="15.75">
      <c r="A3" s="560" t="s">
        <v>199</v>
      </c>
      <c r="B3" s="90"/>
      <c r="C3" s="90"/>
      <c r="D3" s="90"/>
      <c r="E3" s="91"/>
      <c r="F3" s="612"/>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spans="1:35" s="8" customFormat="1" ht="31.5">
      <c r="A4" s="559" t="s">
        <v>344</v>
      </c>
      <c r="B4" s="36"/>
      <c r="C4" s="119"/>
      <c r="D4" s="119"/>
      <c r="E4" s="119"/>
      <c r="F4" s="613"/>
      <c r="G4" s="119"/>
      <c r="H4" s="119"/>
      <c r="I4" s="119"/>
      <c r="J4" s="119"/>
      <c r="K4" s="119"/>
      <c r="L4" s="119"/>
      <c r="M4" s="119"/>
      <c r="N4" s="119"/>
      <c r="O4" s="119"/>
      <c r="P4" s="119" t="s">
        <v>25</v>
      </c>
      <c r="Q4" s="119"/>
      <c r="R4" s="119"/>
      <c r="S4" s="119"/>
      <c r="T4" s="119"/>
      <c r="U4" s="119"/>
      <c r="V4" s="119"/>
      <c r="W4" s="119"/>
      <c r="X4" s="119"/>
      <c r="Y4" s="119"/>
      <c r="Z4" s="57"/>
      <c r="AA4" s="57"/>
      <c r="AB4" s="57"/>
      <c r="AC4" s="57"/>
      <c r="AD4" s="57"/>
      <c r="AE4" s="57"/>
      <c r="AF4" s="57"/>
      <c r="AG4" s="57"/>
      <c r="AH4" s="57"/>
      <c r="AI4" s="16"/>
    </row>
    <row r="5" spans="1:35" s="8" customFormat="1" ht="12.75">
      <c r="A5" s="120"/>
      <c r="B5" s="55">
        <f>'Datu ievade'!B29</f>
        <v>2011</v>
      </c>
      <c r="C5" s="55">
        <f aca="true" t="shared" si="0" ref="C5:AI5">B5+1</f>
        <v>2012</v>
      </c>
      <c r="D5" s="55">
        <f t="shared" si="0"/>
        <v>2013</v>
      </c>
      <c r="E5" s="55">
        <f t="shared" si="0"/>
        <v>2014</v>
      </c>
      <c r="F5" s="614">
        <f t="shared" si="0"/>
        <v>2015</v>
      </c>
      <c r="G5" s="55">
        <f t="shared" si="0"/>
        <v>2016</v>
      </c>
      <c r="H5" s="55">
        <f t="shared" si="0"/>
        <v>2017</v>
      </c>
      <c r="I5" s="55">
        <f t="shared" si="0"/>
        <v>2018</v>
      </c>
      <c r="J5" s="55">
        <f t="shared" si="0"/>
        <v>2019</v>
      </c>
      <c r="K5" s="55">
        <f t="shared" si="0"/>
        <v>2020</v>
      </c>
      <c r="L5" s="55">
        <f t="shared" si="0"/>
        <v>2021</v>
      </c>
      <c r="M5" s="55">
        <f t="shared" si="0"/>
        <v>2022</v>
      </c>
      <c r="N5" s="55">
        <f t="shared" si="0"/>
        <v>2023</v>
      </c>
      <c r="O5" s="55">
        <f t="shared" si="0"/>
        <v>2024</v>
      </c>
      <c r="P5" s="55">
        <f t="shared" si="0"/>
        <v>2025</v>
      </c>
      <c r="Q5" s="55">
        <f t="shared" si="0"/>
        <v>2026</v>
      </c>
      <c r="R5" s="55">
        <f t="shared" si="0"/>
        <v>2027</v>
      </c>
      <c r="S5" s="55">
        <f t="shared" si="0"/>
        <v>2028</v>
      </c>
      <c r="T5" s="55">
        <f t="shared" si="0"/>
        <v>2029</v>
      </c>
      <c r="U5" s="55">
        <f t="shared" si="0"/>
        <v>2030</v>
      </c>
      <c r="V5" s="55">
        <f t="shared" si="0"/>
        <v>2031</v>
      </c>
      <c r="W5" s="55">
        <f t="shared" si="0"/>
        <v>2032</v>
      </c>
      <c r="X5" s="55">
        <f t="shared" si="0"/>
        <v>2033</v>
      </c>
      <c r="Y5" s="55">
        <f t="shared" si="0"/>
        <v>2034</v>
      </c>
      <c r="Z5" s="55">
        <f t="shared" si="0"/>
        <v>2035</v>
      </c>
      <c r="AA5" s="55">
        <f t="shared" si="0"/>
        <v>2036</v>
      </c>
      <c r="AB5" s="55">
        <f t="shared" si="0"/>
        <v>2037</v>
      </c>
      <c r="AC5" s="55">
        <f t="shared" si="0"/>
        <v>2038</v>
      </c>
      <c r="AD5" s="55">
        <f t="shared" si="0"/>
        <v>2039</v>
      </c>
      <c r="AE5" s="55">
        <f t="shared" si="0"/>
        <v>2040</v>
      </c>
      <c r="AF5" s="55">
        <f t="shared" si="0"/>
        <v>2041</v>
      </c>
      <c r="AG5" s="55">
        <f t="shared" si="0"/>
        <v>2042</v>
      </c>
      <c r="AH5" s="55">
        <f t="shared" si="0"/>
        <v>2043</v>
      </c>
      <c r="AI5" s="55">
        <f t="shared" si="0"/>
        <v>2044</v>
      </c>
    </row>
    <row r="6" spans="1:35" s="8" customFormat="1" ht="12.75">
      <c r="A6" s="121" t="s">
        <v>53</v>
      </c>
      <c r="B6" s="122"/>
      <c r="C6" s="123"/>
      <c r="D6" s="123"/>
      <c r="E6" s="123"/>
      <c r="F6" s="615"/>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row>
    <row r="7" spans="1:35" s="42" customFormat="1" ht="27">
      <c r="A7" s="124" t="s">
        <v>544</v>
      </c>
      <c r="B7" s="125"/>
      <c r="C7" s="126"/>
      <c r="D7" s="126"/>
      <c r="E7" s="126"/>
      <c r="F7" s="61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row>
    <row r="8" spans="1:35" s="8" customFormat="1" ht="12.75">
      <c r="A8" s="127" t="s">
        <v>13</v>
      </c>
      <c r="B8" s="128">
        <f>'Datu ievade'!B135-B19</f>
        <v>23500</v>
      </c>
      <c r="C8" s="128">
        <f aca="true" t="shared" si="1" ref="C8:AI8">IF(B8&lt;B19,0,B8-B19)</f>
        <v>22000</v>
      </c>
      <c r="D8" s="128">
        <f t="shared" si="1"/>
        <v>20500</v>
      </c>
      <c r="E8" s="128">
        <f t="shared" si="1"/>
        <v>19000</v>
      </c>
      <c r="F8" s="617">
        <f t="shared" si="1"/>
        <v>17500</v>
      </c>
      <c r="G8" s="128">
        <f t="shared" si="1"/>
        <v>16000</v>
      </c>
      <c r="H8" s="128">
        <f t="shared" si="1"/>
        <v>14500</v>
      </c>
      <c r="I8" s="128">
        <f t="shared" si="1"/>
        <v>13000</v>
      </c>
      <c r="J8" s="128">
        <f t="shared" si="1"/>
        <v>11500</v>
      </c>
      <c r="K8" s="128">
        <f t="shared" si="1"/>
        <v>10000</v>
      </c>
      <c r="L8" s="128">
        <f t="shared" si="1"/>
        <v>8500</v>
      </c>
      <c r="M8" s="128">
        <f t="shared" si="1"/>
        <v>7000</v>
      </c>
      <c r="N8" s="128">
        <f t="shared" si="1"/>
        <v>5500</v>
      </c>
      <c r="O8" s="128">
        <f t="shared" si="1"/>
        <v>4000</v>
      </c>
      <c r="P8" s="128">
        <f t="shared" si="1"/>
        <v>2500</v>
      </c>
      <c r="Q8" s="128">
        <f t="shared" si="1"/>
        <v>1000</v>
      </c>
      <c r="R8" s="128">
        <f t="shared" si="1"/>
        <v>0</v>
      </c>
      <c r="S8" s="128">
        <f t="shared" si="1"/>
        <v>0</v>
      </c>
      <c r="T8" s="128">
        <f t="shared" si="1"/>
        <v>0</v>
      </c>
      <c r="U8" s="128">
        <f t="shared" si="1"/>
        <v>0</v>
      </c>
      <c r="V8" s="128">
        <f t="shared" si="1"/>
        <v>0</v>
      </c>
      <c r="W8" s="128">
        <f t="shared" si="1"/>
        <v>0</v>
      </c>
      <c r="X8" s="128">
        <f t="shared" si="1"/>
        <v>0</v>
      </c>
      <c r="Y8" s="128">
        <f t="shared" si="1"/>
        <v>0</v>
      </c>
      <c r="Z8" s="128">
        <f t="shared" si="1"/>
        <v>0</v>
      </c>
      <c r="AA8" s="128">
        <f t="shared" si="1"/>
        <v>0</v>
      </c>
      <c r="AB8" s="128">
        <f t="shared" si="1"/>
        <v>0</v>
      </c>
      <c r="AC8" s="128">
        <f t="shared" si="1"/>
        <v>0</v>
      </c>
      <c r="AD8" s="128">
        <f t="shared" si="1"/>
        <v>0</v>
      </c>
      <c r="AE8" s="128">
        <f t="shared" si="1"/>
        <v>0</v>
      </c>
      <c r="AF8" s="128">
        <f t="shared" si="1"/>
        <v>0</v>
      </c>
      <c r="AG8" s="128">
        <f t="shared" si="1"/>
        <v>0</v>
      </c>
      <c r="AH8" s="128">
        <f t="shared" si="1"/>
        <v>0</v>
      </c>
      <c r="AI8" s="128">
        <f t="shared" si="1"/>
        <v>0</v>
      </c>
    </row>
    <row r="9" spans="1:35" s="8" customFormat="1" ht="12.75">
      <c r="A9" s="127" t="s">
        <v>14</v>
      </c>
      <c r="B9" s="128">
        <f>'Datu ievade'!B136-B20</f>
        <v>4250</v>
      </c>
      <c r="C9" s="128">
        <f aca="true" t="shared" si="2" ref="C9:AI9">IF(B9&lt;B20,0,B9-B20)</f>
        <v>3750</v>
      </c>
      <c r="D9" s="128">
        <f t="shared" si="2"/>
        <v>3250</v>
      </c>
      <c r="E9" s="128">
        <f t="shared" si="2"/>
        <v>2750</v>
      </c>
      <c r="F9" s="617">
        <f t="shared" si="2"/>
        <v>2250</v>
      </c>
      <c r="G9" s="128">
        <f t="shared" si="2"/>
        <v>1750</v>
      </c>
      <c r="H9" s="128">
        <f t="shared" si="2"/>
        <v>1250</v>
      </c>
      <c r="I9" s="128">
        <f t="shared" si="2"/>
        <v>750</v>
      </c>
      <c r="J9" s="128">
        <f t="shared" si="2"/>
        <v>250</v>
      </c>
      <c r="K9" s="128">
        <f t="shared" si="2"/>
        <v>0</v>
      </c>
      <c r="L9" s="128">
        <f t="shared" si="2"/>
        <v>0</v>
      </c>
      <c r="M9" s="128">
        <f t="shared" si="2"/>
        <v>0</v>
      </c>
      <c r="N9" s="128">
        <f t="shared" si="2"/>
        <v>0</v>
      </c>
      <c r="O9" s="128">
        <f t="shared" si="2"/>
        <v>0</v>
      </c>
      <c r="P9" s="128">
        <f t="shared" si="2"/>
        <v>0</v>
      </c>
      <c r="Q9" s="128">
        <f t="shared" si="2"/>
        <v>0</v>
      </c>
      <c r="R9" s="128">
        <f t="shared" si="2"/>
        <v>0</v>
      </c>
      <c r="S9" s="128">
        <f t="shared" si="2"/>
        <v>0</v>
      </c>
      <c r="T9" s="128">
        <f t="shared" si="2"/>
        <v>0</v>
      </c>
      <c r="U9" s="128">
        <f t="shared" si="2"/>
        <v>0</v>
      </c>
      <c r="V9" s="128">
        <f t="shared" si="2"/>
        <v>0</v>
      </c>
      <c r="W9" s="128">
        <f t="shared" si="2"/>
        <v>0</v>
      </c>
      <c r="X9" s="128">
        <f t="shared" si="2"/>
        <v>0</v>
      </c>
      <c r="Y9" s="128">
        <f t="shared" si="2"/>
        <v>0</v>
      </c>
      <c r="Z9" s="128">
        <f t="shared" si="2"/>
        <v>0</v>
      </c>
      <c r="AA9" s="128">
        <f t="shared" si="2"/>
        <v>0</v>
      </c>
      <c r="AB9" s="128">
        <f t="shared" si="2"/>
        <v>0</v>
      </c>
      <c r="AC9" s="128">
        <f t="shared" si="2"/>
        <v>0</v>
      </c>
      <c r="AD9" s="128">
        <f t="shared" si="2"/>
        <v>0</v>
      </c>
      <c r="AE9" s="128">
        <f t="shared" si="2"/>
        <v>0</v>
      </c>
      <c r="AF9" s="128">
        <f t="shared" si="2"/>
        <v>0</v>
      </c>
      <c r="AG9" s="128">
        <f t="shared" si="2"/>
        <v>0</v>
      </c>
      <c r="AH9" s="128">
        <f t="shared" si="2"/>
        <v>0</v>
      </c>
      <c r="AI9" s="128">
        <f t="shared" si="2"/>
        <v>0</v>
      </c>
    </row>
    <row r="10" spans="1:35" s="8" customFormat="1" ht="12.75">
      <c r="A10" s="127" t="s">
        <v>15</v>
      </c>
      <c r="B10" s="128">
        <f>'Datu ievade'!B137-B21</f>
        <v>0</v>
      </c>
      <c r="C10" s="128">
        <f aca="true" t="shared" si="3" ref="C10:AI10">IF(B10&lt;B21,0,B10-B21)</f>
        <v>0</v>
      </c>
      <c r="D10" s="128">
        <f t="shared" si="3"/>
        <v>0</v>
      </c>
      <c r="E10" s="128">
        <f t="shared" si="3"/>
        <v>0</v>
      </c>
      <c r="F10" s="617">
        <f t="shared" si="3"/>
        <v>0</v>
      </c>
      <c r="G10" s="128">
        <f t="shared" si="3"/>
        <v>0</v>
      </c>
      <c r="H10" s="128">
        <f t="shared" si="3"/>
        <v>0</v>
      </c>
      <c r="I10" s="128">
        <f t="shared" si="3"/>
        <v>0</v>
      </c>
      <c r="J10" s="128">
        <f t="shared" si="3"/>
        <v>0</v>
      </c>
      <c r="K10" s="128">
        <f t="shared" si="3"/>
        <v>0</v>
      </c>
      <c r="L10" s="128">
        <f t="shared" si="3"/>
        <v>0</v>
      </c>
      <c r="M10" s="128">
        <f t="shared" si="3"/>
        <v>0</v>
      </c>
      <c r="N10" s="128">
        <f t="shared" si="3"/>
        <v>0</v>
      </c>
      <c r="O10" s="128">
        <f t="shared" si="3"/>
        <v>0</v>
      </c>
      <c r="P10" s="128">
        <f t="shared" si="3"/>
        <v>0</v>
      </c>
      <c r="Q10" s="128">
        <f t="shared" si="3"/>
        <v>0</v>
      </c>
      <c r="R10" s="128">
        <f t="shared" si="3"/>
        <v>0</v>
      </c>
      <c r="S10" s="128">
        <f t="shared" si="3"/>
        <v>0</v>
      </c>
      <c r="T10" s="128">
        <f t="shared" si="3"/>
        <v>0</v>
      </c>
      <c r="U10" s="128">
        <f t="shared" si="3"/>
        <v>0</v>
      </c>
      <c r="V10" s="128">
        <f t="shared" si="3"/>
        <v>0</v>
      </c>
      <c r="W10" s="128">
        <f t="shared" si="3"/>
        <v>0</v>
      </c>
      <c r="X10" s="128">
        <f t="shared" si="3"/>
        <v>0</v>
      </c>
      <c r="Y10" s="128">
        <f t="shared" si="3"/>
        <v>0</v>
      </c>
      <c r="Z10" s="128">
        <f t="shared" si="3"/>
        <v>0</v>
      </c>
      <c r="AA10" s="128">
        <f t="shared" si="3"/>
        <v>0</v>
      </c>
      <c r="AB10" s="128">
        <f t="shared" si="3"/>
        <v>0</v>
      </c>
      <c r="AC10" s="128">
        <f t="shared" si="3"/>
        <v>0</v>
      </c>
      <c r="AD10" s="128">
        <f t="shared" si="3"/>
        <v>0</v>
      </c>
      <c r="AE10" s="128">
        <f t="shared" si="3"/>
        <v>0</v>
      </c>
      <c r="AF10" s="128">
        <f t="shared" si="3"/>
        <v>0</v>
      </c>
      <c r="AG10" s="128">
        <f t="shared" si="3"/>
        <v>0</v>
      </c>
      <c r="AH10" s="128">
        <f t="shared" si="3"/>
        <v>0</v>
      </c>
      <c r="AI10" s="128">
        <f t="shared" si="3"/>
        <v>0</v>
      </c>
    </row>
    <row r="11" spans="1:35" s="8" customFormat="1" ht="12.75">
      <c r="A11" s="127" t="s">
        <v>54</v>
      </c>
      <c r="B11" s="128">
        <f>'Datu ievade'!B138-B22</f>
        <v>0</v>
      </c>
      <c r="C11" s="128">
        <f aca="true" t="shared" si="4" ref="C11:AI11">IF(B11&lt;B22,0,B11-B22)</f>
        <v>0</v>
      </c>
      <c r="D11" s="128">
        <f t="shared" si="4"/>
        <v>0</v>
      </c>
      <c r="E11" s="128">
        <f t="shared" si="4"/>
        <v>0</v>
      </c>
      <c r="F11" s="617">
        <f t="shared" si="4"/>
        <v>0</v>
      </c>
      <c r="G11" s="128">
        <f t="shared" si="4"/>
        <v>0</v>
      </c>
      <c r="H11" s="128">
        <f t="shared" si="4"/>
        <v>0</v>
      </c>
      <c r="I11" s="128">
        <f t="shared" si="4"/>
        <v>0</v>
      </c>
      <c r="J11" s="128">
        <f t="shared" si="4"/>
        <v>0</v>
      </c>
      <c r="K11" s="128">
        <f t="shared" si="4"/>
        <v>0</v>
      </c>
      <c r="L11" s="128">
        <f t="shared" si="4"/>
        <v>0</v>
      </c>
      <c r="M11" s="128">
        <f t="shared" si="4"/>
        <v>0</v>
      </c>
      <c r="N11" s="128">
        <f t="shared" si="4"/>
        <v>0</v>
      </c>
      <c r="O11" s="128">
        <f t="shared" si="4"/>
        <v>0</v>
      </c>
      <c r="P11" s="128">
        <f t="shared" si="4"/>
        <v>0</v>
      </c>
      <c r="Q11" s="128">
        <f t="shared" si="4"/>
        <v>0</v>
      </c>
      <c r="R11" s="128">
        <f t="shared" si="4"/>
        <v>0</v>
      </c>
      <c r="S11" s="128">
        <f t="shared" si="4"/>
        <v>0</v>
      </c>
      <c r="T11" s="128">
        <f t="shared" si="4"/>
        <v>0</v>
      </c>
      <c r="U11" s="128">
        <f t="shared" si="4"/>
        <v>0</v>
      </c>
      <c r="V11" s="128">
        <f t="shared" si="4"/>
        <v>0</v>
      </c>
      <c r="W11" s="128">
        <f t="shared" si="4"/>
        <v>0</v>
      </c>
      <c r="X11" s="128">
        <f t="shared" si="4"/>
        <v>0</v>
      </c>
      <c r="Y11" s="128">
        <f t="shared" si="4"/>
        <v>0</v>
      </c>
      <c r="Z11" s="128">
        <f t="shared" si="4"/>
        <v>0</v>
      </c>
      <c r="AA11" s="128">
        <f t="shared" si="4"/>
        <v>0</v>
      </c>
      <c r="AB11" s="128">
        <f t="shared" si="4"/>
        <v>0</v>
      </c>
      <c r="AC11" s="128">
        <f t="shared" si="4"/>
        <v>0</v>
      </c>
      <c r="AD11" s="128">
        <f t="shared" si="4"/>
        <v>0</v>
      </c>
      <c r="AE11" s="128">
        <f t="shared" si="4"/>
        <v>0</v>
      </c>
      <c r="AF11" s="128">
        <f t="shared" si="4"/>
        <v>0</v>
      </c>
      <c r="AG11" s="128">
        <f t="shared" si="4"/>
        <v>0</v>
      </c>
      <c r="AH11" s="128">
        <f t="shared" si="4"/>
        <v>0</v>
      </c>
      <c r="AI11" s="128">
        <f t="shared" si="4"/>
        <v>0</v>
      </c>
    </row>
    <row r="12" spans="1:35" s="42" customFormat="1" ht="27">
      <c r="A12" s="124" t="s">
        <v>545</v>
      </c>
      <c r="B12" s="981"/>
      <c r="C12" s="129"/>
      <c r="D12" s="129"/>
      <c r="E12" s="129"/>
      <c r="F12" s="618"/>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5" s="8" customFormat="1" ht="12.75">
      <c r="A13" s="120" t="s">
        <v>13</v>
      </c>
      <c r="B13" s="128">
        <f>'Datu ievade'!B140-B24</f>
        <v>11250</v>
      </c>
      <c r="C13" s="128">
        <f aca="true" t="shared" si="5" ref="C13:AI13">IF(B13&lt;B24,0,B13-B24)</f>
        <v>10000</v>
      </c>
      <c r="D13" s="128">
        <f t="shared" si="5"/>
        <v>8750</v>
      </c>
      <c r="E13" s="128">
        <f t="shared" si="5"/>
        <v>7500</v>
      </c>
      <c r="F13" s="617">
        <f t="shared" si="5"/>
        <v>6250</v>
      </c>
      <c r="G13" s="128">
        <f t="shared" si="5"/>
        <v>5000</v>
      </c>
      <c r="H13" s="128">
        <f t="shared" si="5"/>
        <v>3750</v>
      </c>
      <c r="I13" s="128">
        <f t="shared" si="5"/>
        <v>2500</v>
      </c>
      <c r="J13" s="128">
        <f t="shared" si="5"/>
        <v>1250</v>
      </c>
      <c r="K13" s="128">
        <f t="shared" si="5"/>
        <v>0</v>
      </c>
      <c r="L13" s="128">
        <f t="shared" si="5"/>
        <v>0</v>
      </c>
      <c r="M13" s="128">
        <f t="shared" si="5"/>
        <v>0</v>
      </c>
      <c r="N13" s="128">
        <f t="shared" si="5"/>
        <v>0</v>
      </c>
      <c r="O13" s="128">
        <f t="shared" si="5"/>
        <v>0</v>
      </c>
      <c r="P13" s="128">
        <f t="shared" si="5"/>
        <v>0</v>
      </c>
      <c r="Q13" s="128">
        <f t="shared" si="5"/>
        <v>0</v>
      </c>
      <c r="R13" s="128">
        <f t="shared" si="5"/>
        <v>0</v>
      </c>
      <c r="S13" s="128">
        <f t="shared" si="5"/>
        <v>0</v>
      </c>
      <c r="T13" s="128">
        <f t="shared" si="5"/>
        <v>0</v>
      </c>
      <c r="U13" s="128">
        <f t="shared" si="5"/>
        <v>0</v>
      </c>
      <c r="V13" s="128">
        <f t="shared" si="5"/>
        <v>0</v>
      </c>
      <c r="W13" s="128">
        <f t="shared" si="5"/>
        <v>0</v>
      </c>
      <c r="X13" s="128">
        <f t="shared" si="5"/>
        <v>0</v>
      </c>
      <c r="Y13" s="128">
        <f t="shared" si="5"/>
        <v>0</v>
      </c>
      <c r="Z13" s="128">
        <f t="shared" si="5"/>
        <v>0</v>
      </c>
      <c r="AA13" s="128">
        <f t="shared" si="5"/>
        <v>0</v>
      </c>
      <c r="AB13" s="128">
        <f t="shared" si="5"/>
        <v>0</v>
      </c>
      <c r="AC13" s="128">
        <f t="shared" si="5"/>
        <v>0</v>
      </c>
      <c r="AD13" s="128">
        <f t="shared" si="5"/>
        <v>0</v>
      </c>
      <c r="AE13" s="128">
        <f t="shared" si="5"/>
        <v>0</v>
      </c>
      <c r="AF13" s="128">
        <f t="shared" si="5"/>
        <v>0</v>
      </c>
      <c r="AG13" s="128">
        <f t="shared" si="5"/>
        <v>0</v>
      </c>
      <c r="AH13" s="128">
        <f t="shared" si="5"/>
        <v>0</v>
      </c>
      <c r="AI13" s="128">
        <f t="shared" si="5"/>
        <v>0</v>
      </c>
    </row>
    <row r="14" spans="1:35" s="8" customFormat="1" ht="12.75">
      <c r="A14" s="120" t="s">
        <v>14</v>
      </c>
      <c r="B14" s="128">
        <f>'Datu ievade'!B141-B25</f>
        <v>2450</v>
      </c>
      <c r="C14" s="128">
        <f aca="true" t="shared" si="6" ref="C14:AI14">IF(B14&lt;B25,0,B14-B25)</f>
        <v>2100</v>
      </c>
      <c r="D14" s="128">
        <f t="shared" si="6"/>
        <v>1750</v>
      </c>
      <c r="E14" s="128">
        <f t="shared" si="6"/>
        <v>1400</v>
      </c>
      <c r="F14" s="617">
        <f t="shared" si="6"/>
        <v>1050</v>
      </c>
      <c r="G14" s="128">
        <f t="shared" si="6"/>
        <v>700</v>
      </c>
      <c r="H14" s="128">
        <f t="shared" si="6"/>
        <v>350</v>
      </c>
      <c r="I14" s="128">
        <f t="shared" si="6"/>
        <v>0</v>
      </c>
      <c r="J14" s="128">
        <f t="shared" si="6"/>
        <v>0</v>
      </c>
      <c r="K14" s="128">
        <f t="shared" si="6"/>
        <v>0</v>
      </c>
      <c r="L14" s="128">
        <f t="shared" si="6"/>
        <v>0</v>
      </c>
      <c r="M14" s="128">
        <f t="shared" si="6"/>
        <v>0</v>
      </c>
      <c r="N14" s="128">
        <f t="shared" si="6"/>
        <v>0</v>
      </c>
      <c r="O14" s="128">
        <f t="shared" si="6"/>
        <v>0</v>
      </c>
      <c r="P14" s="128">
        <f t="shared" si="6"/>
        <v>0</v>
      </c>
      <c r="Q14" s="128">
        <f t="shared" si="6"/>
        <v>0</v>
      </c>
      <c r="R14" s="128">
        <f t="shared" si="6"/>
        <v>0</v>
      </c>
      <c r="S14" s="128">
        <f t="shared" si="6"/>
        <v>0</v>
      </c>
      <c r="T14" s="128">
        <f t="shared" si="6"/>
        <v>0</v>
      </c>
      <c r="U14" s="128">
        <f t="shared" si="6"/>
        <v>0</v>
      </c>
      <c r="V14" s="128">
        <f t="shared" si="6"/>
        <v>0</v>
      </c>
      <c r="W14" s="128">
        <f t="shared" si="6"/>
        <v>0</v>
      </c>
      <c r="X14" s="128">
        <f t="shared" si="6"/>
        <v>0</v>
      </c>
      <c r="Y14" s="128">
        <f t="shared" si="6"/>
        <v>0</v>
      </c>
      <c r="Z14" s="128">
        <f t="shared" si="6"/>
        <v>0</v>
      </c>
      <c r="AA14" s="128">
        <f t="shared" si="6"/>
        <v>0</v>
      </c>
      <c r="AB14" s="128">
        <f t="shared" si="6"/>
        <v>0</v>
      </c>
      <c r="AC14" s="128">
        <f t="shared" si="6"/>
        <v>0</v>
      </c>
      <c r="AD14" s="128">
        <f t="shared" si="6"/>
        <v>0</v>
      </c>
      <c r="AE14" s="128">
        <f t="shared" si="6"/>
        <v>0</v>
      </c>
      <c r="AF14" s="128">
        <f t="shared" si="6"/>
        <v>0</v>
      </c>
      <c r="AG14" s="128">
        <f t="shared" si="6"/>
        <v>0</v>
      </c>
      <c r="AH14" s="128">
        <f t="shared" si="6"/>
        <v>0</v>
      </c>
      <c r="AI14" s="128">
        <f t="shared" si="6"/>
        <v>0</v>
      </c>
    </row>
    <row r="15" spans="1:35" s="8" customFormat="1" ht="12.75">
      <c r="A15" s="120" t="s">
        <v>15</v>
      </c>
      <c r="B15" s="128">
        <f>'Datu ievade'!B142-B26</f>
        <v>0</v>
      </c>
      <c r="C15" s="128">
        <f aca="true" t="shared" si="7" ref="C15:AI15">IF(B15&lt;B26,0,B15-B26)</f>
        <v>0</v>
      </c>
      <c r="D15" s="128">
        <f t="shared" si="7"/>
        <v>0</v>
      </c>
      <c r="E15" s="128">
        <f t="shared" si="7"/>
        <v>0</v>
      </c>
      <c r="F15" s="617">
        <f t="shared" si="7"/>
        <v>0</v>
      </c>
      <c r="G15" s="128">
        <f t="shared" si="7"/>
        <v>0</v>
      </c>
      <c r="H15" s="128">
        <f t="shared" si="7"/>
        <v>0</v>
      </c>
      <c r="I15" s="128">
        <f t="shared" si="7"/>
        <v>0</v>
      </c>
      <c r="J15" s="128">
        <f t="shared" si="7"/>
        <v>0</v>
      </c>
      <c r="K15" s="128">
        <f t="shared" si="7"/>
        <v>0</v>
      </c>
      <c r="L15" s="128">
        <f t="shared" si="7"/>
        <v>0</v>
      </c>
      <c r="M15" s="128">
        <f t="shared" si="7"/>
        <v>0</v>
      </c>
      <c r="N15" s="128">
        <f t="shared" si="7"/>
        <v>0</v>
      </c>
      <c r="O15" s="128">
        <f t="shared" si="7"/>
        <v>0</v>
      </c>
      <c r="P15" s="128">
        <f t="shared" si="7"/>
        <v>0</v>
      </c>
      <c r="Q15" s="128">
        <f t="shared" si="7"/>
        <v>0</v>
      </c>
      <c r="R15" s="128">
        <f t="shared" si="7"/>
        <v>0</v>
      </c>
      <c r="S15" s="128">
        <f t="shared" si="7"/>
        <v>0</v>
      </c>
      <c r="T15" s="128">
        <f t="shared" si="7"/>
        <v>0</v>
      </c>
      <c r="U15" s="128">
        <f t="shared" si="7"/>
        <v>0</v>
      </c>
      <c r="V15" s="128">
        <f t="shared" si="7"/>
        <v>0</v>
      </c>
      <c r="W15" s="128">
        <f t="shared" si="7"/>
        <v>0</v>
      </c>
      <c r="X15" s="128">
        <f t="shared" si="7"/>
        <v>0</v>
      </c>
      <c r="Y15" s="128">
        <f t="shared" si="7"/>
        <v>0</v>
      </c>
      <c r="Z15" s="128">
        <f t="shared" si="7"/>
        <v>0</v>
      </c>
      <c r="AA15" s="128">
        <f t="shared" si="7"/>
        <v>0</v>
      </c>
      <c r="AB15" s="128">
        <f t="shared" si="7"/>
        <v>0</v>
      </c>
      <c r="AC15" s="128">
        <f t="shared" si="7"/>
        <v>0</v>
      </c>
      <c r="AD15" s="128">
        <f t="shared" si="7"/>
        <v>0</v>
      </c>
      <c r="AE15" s="128">
        <f t="shared" si="7"/>
        <v>0</v>
      </c>
      <c r="AF15" s="128">
        <f t="shared" si="7"/>
        <v>0</v>
      </c>
      <c r="AG15" s="128">
        <f t="shared" si="7"/>
        <v>0</v>
      </c>
      <c r="AH15" s="128">
        <f t="shared" si="7"/>
        <v>0</v>
      </c>
      <c r="AI15" s="128">
        <f t="shared" si="7"/>
        <v>0</v>
      </c>
    </row>
    <row r="16" spans="1:35" s="8" customFormat="1" ht="12.75">
      <c r="A16" s="120" t="s">
        <v>54</v>
      </c>
      <c r="B16" s="128">
        <f>'Datu ievade'!B143-B27</f>
        <v>0</v>
      </c>
      <c r="C16" s="128">
        <f aca="true" t="shared" si="8" ref="C16:AI16">IF(B16&lt;B27,0,B16-B27)</f>
        <v>0</v>
      </c>
      <c r="D16" s="128">
        <f t="shared" si="8"/>
        <v>0</v>
      </c>
      <c r="E16" s="128">
        <f t="shared" si="8"/>
        <v>0</v>
      </c>
      <c r="F16" s="617">
        <f t="shared" si="8"/>
        <v>0</v>
      </c>
      <c r="G16" s="128">
        <f t="shared" si="8"/>
        <v>0</v>
      </c>
      <c r="H16" s="128">
        <f t="shared" si="8"/>
        <v>0</v>
      </c>
      <c r="I16" s="128">
        <f t="shared" si="8"/>
        <v>0</v>
      </c>
      <c r="J16" s="128">
        <f t="shared" si="8"/>
        <v>0</v>
      </c>
      <c r="K16" s="128">
        <f t="shared" si="8"/>
        <v>0</v>
      </c>
      <c r="L16" s="128">
        <f t="shared" si="8"/>
        <v>0</v>
      </c>
      <c r="M16" s="128">
        <f t="shared" si="8"/>
        <v>0</v>
      </c>
      <c r="N16" s="128">
        <f t="shared" si="8"/>
        <v>0</v>
      </c>
      <c r="O16" s="128">
        <f t="shared" si="8"/>
        <v>0</v>
      </c>
      <c r="P16" s="128">
        <f t="shared" si="8"/>
        <v>0</v>
      </c>
      <c r="Q16" s="128">
        <f t="shared" si="8"/>
        <v>0</v>
      </c>
      <c r="R16" s="128">
        <f t="shared" si="8"/>
        <v>0</v>
      </c>
      <c r="S16" s="128">
        <f t="shared" si="8"/>
        <v>0</v>
      </c>
      <c r="T16" s="128">
        <f t="shared" si="8"/>
        <v>0</v>
      </c>
      <c r="U16" s="128">
        <f t="shared" si="8"/>
        <v>0</v>
      </c>
      <c r="V16" s="128">
        <f t="shared" si="8"/>
        <v>0</v>
      </c>
      <c r="W16" s="128">
        <f t="shared" si="8"/>
        <v>0</v>
      </c>
      <c r="X16" s="128">
        <f t="shared" si="8"/>
        <v>0</v>
      </c>
      <c r="Y16" s="128">
        <f t="shared" si="8"/>
        <v>0</v>
      </c>
      <c r="Z16" s="128">
        <f t="shared" si="8"/>
        <v>0</v>
      </c>
      <c r="AA16" s="128">
        <f t="shared" si="8"/>
        <v>0</v>
      </c>
      <c r="AB16" s="128">
        <f t="shared" si="8"/>
        <v>0</v>
      </c>
      <c r="AC16" s="128">
        <f t="shared" si="8"/>
        <v>0</v>
      </c>
      <c r="AD16" s="128">
        <f t="shared" si="8"/>
        <v>0</v>
      </c>
      <c r="AE16" s="128">
        <f t="shared" si="8"/>
        <v>0</v>
      </c>
      <c r="AF16" s="128">
        <f t="shared" si="8"/>
        <v>0</v>
      </c>
      <c r="AG16" s="128">
        <f t="shared" si="8"/>
        <v>0</v>
      </c>
      <c r="AH16" s="128">
        <f t="shared" si="8"/>
        <v>0</v>
      </c>
      <c r="AI16" s="128">
        <f t="shared" si="8"/>
        <v>0</v>
      </c>
    </row>
    <row r="17" spans="1:35" s="8" customFormat="1" ht="12.75">
      <c r="A17" s="130" t="s">
        <v>55</v>
      </c>
      <c r="B17" s="131">
        <f aca="true" t="shared" si="9" ref="B17:AI17">SUM(B8:B16)</f>
        <v>41450</v>
      </c>
      <c r="C17" s="131">
        <f t="shared" si="9"/>
        <v>37850</v>
      </c>
      <c r="D17" s="131">
        <f t="shared" si="9"/>
        <v>34250</v>
      </c>
      <c r="E17" s="131">
        <f t="shared" si="9"/>
        <v>30650</v>
      </c>
      <c r="F17" s="619">
        <f t="shared" si="9"/>
        <v>27050</v>
      </c>
      <c r="G17" s="131">
        <f t="shared" si="9"/>
        <v>23450</v>
      </c>
      <c r="H17" s="131">
        <f t="shared" si="9"/>
        <v>19850</v>
      </c>
      <c r="I17" s="131">
        <f t="shared" si="9"/>
        <v>16250</v>
      </c>
      <c r="J17" s="131">
        <f t="shared" si="9"/>
        <v>13000</v>
      </c>
      <c r="K17" s="131">
        <f t="shared" si="9"/>
        <v>10000</v>
      </c>
      <c r="L17" s="131">
        <f t="shared" si="9"/>
        <v>8500</v>
      </c>
      <c r="M17" s="131">
        <f t="shared" si="9"/>
        <v>7000</v>
      </c>
      <c r="N17" s="131">
        <f t="shared" si="9"/>
        <v>5500</v>
      </c>
      <c r="O17" s="131">
        <f t="shared" si="9"/>
        <v>4000</v>
      </c>
      <c r="P17" s="131">
        <f t="shared" si="9"/>
        <v>2500</v>
      </c>
      <c r="Q17" s="131">
        <f t="shared" si="9"/>
        <v>1000</v>
      </c>
      <c r="R17" s="131">
        <f t="shared" si="9"/>
        <v>0</v>
      </c>
      <c r="S17" s="131">
        <f t="shared" si="9"/>
        <v>0</v>
      </c>
      <c r="T17" s="131">
        <f t="shared" si="9"/>
        <v>0</v>
      </c>
      <c r="U17" s="131">
        <f t="shared" si="9"/>
        <v>0</v>
      </c>
      <c r="V17" s="131">
        <f t="shared" si="9"/>
        <v>0</v>
      </c>
      <c r="W17" s="131">
        <f t="shared" si="9"/>
        <v>0</v>
      </c>
      <c r="X17" s="131">
        <f t="shared" si="9"/>
        <v>0</v>
      </c>
      <c r="Y17" s="131">
        <f t="shared" si="9"/>
        <v>0</v>
      </c>
      <c r="Z17" s="131">
        <f t="shared" si="9"/>
        <v>0</v>
      </c>
      <c r="AA17" s="131">
        <f t="shared" si="9"/>
        <v>0</v>
      </c>
      <c r="AB17" s="131">
        <f t="shared" si="9"/>
        <v>0</v>
      </c>
      <c r="AC17" s="131">
        <f t="shared" si="9"/>
        <v>0</v>
      </c>
      <c r="AD17" s="131">
        <f t="shared" si="9"/>
        <v>0</v>
      </c>
      <c r="AE17" s="131">
        <f t="shared" si="9"/>
        <v>0</v>
      </c>
      <c r="AF17" s="131">
        <f t="shared" si="9"/>
        <v>0</v>
      </c>
      <c r="AG17" s="131">
        <f t="shared" si="9"/>
        <v>0</v>
      </c>
      <c r="AH17" s="131">
        <f t="shared" si="9"/>
        <v>0</v>
      </c>
      <c r="AI17" s="131">
        <f t="shared" si="9"/>
        <v>0</v>
      </c>
    </row>
    <row r="18" spans="1:35" s="42" customFormat="1" ht="27">
      <c r="A18" s="132" t="s">
        <v>56</v>
      </c>
      <c r="B18" s="133">
        <f>'Datu ievade'!B145</f>
        <v>0</v>
      </c>
      <c r="C18" s="129"/>
      <c r="D18" s="129"/>
      <c r="E18" s="129"/>
      <c r="F18" s="618"/>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row>
    <row r="19" spans="1:35" s="8" customFormat="1" ht="12.75">
      <c r="A19" s="127" t="s">
        <v>13</v>
      </c>
      <c r="B19" s="128">
        <f>'Datu ievade'!B146</f>
        <v>1500</v>
      </c>
      <c r="C19" s="128">
        <f aca="true" t="shared" si="10" ref="C19:AI19">IF(B19&gt;B8,B8,B19)</f>
        <v>1500</v>
      </c>
      <c r="D19" s="128">
        <f t="shared" si="10"/>
        <v>1500</v>
      </c>
      <c r="E19" s="128">
        <f t="shared" si="10"/>
        <v>1500</v>
      </c>
      <c r="F19" s="617">
        <f t="shared" si="10"/>
        <v>1500</v>
      </c>
      <c r="G19" s="128">
        <f t="shared" si="10"/>
        <v>1500</v>
      </c>
      <c r="H19" s="128">
        <f t="shared" si="10"/>
        <v>1500</v>
      </c>
      <c r="I19" s="128">
        <f t="shared" si="10"/>
        <v>1500</v>
      </c>
      <c r="J19" s="128">
        <f t="shared" si="10"/>
        <v>1500</v>
      </c>
      <c r="K19" s="128">
        <f t="shared" si="10"/>
        <v>1500</v>
      </c>
      <c r="L19" s="128">
        <f t="shared" si="10"/>
        <v>1500</v>
      </c>
      <c r="M19" s="128">
        <f t="shared" si="10"/>
        <v>1500</v>
      </c>
      <c r="N19" s="128">
        <f t="shared" si="10"/>
        <v>1500</v>
      </c>
      <c r="O19" s="128">
        <f t="shared" si="10"/>
        <v>1500</v>
      </c>
      <c r="P19" s="128">
        <f t="shared" si="10"/>
        <v>1500</v>
      </c>
      <c r="Q19" s="128">
        <f t="shared" si="10"/>
        <v>1500</v>
      </c>
      <c r="R19" s="128">
        <f t="shared" si="10"/>
        <v>1000</v>
      </c>
      <c r="S19" s="128">
        <f t="shared" si="10"/>
        <v>0</v>
      </c>
      <c r="T19" s="128">
        <f t="shared" si="10"/>
        <v>0</v>
      </c>
      <c r="U19" s="128">
        <f t="shared" si="10"/>
        <v>0</v>
      </c>
      <c r="V19" s="128">
        <f t="shared" si="10"/>
        <v>0</v>
      </c>
      <c r="W19" s="128">
        <f t="shared" si="10"/>
        <v>0</v>
      </c>
      <c r="X19" s="128">
        <f t="shared" si="10"/>
        <v>0</v>
      </c>
      <c r="Y19" s="128">
        <f t="shared" si="10"/>
        <v>0</v>
      </c>
      <c r="Z19" s="128">
        <f t="shared" si="10"/>
        <v>0</v>
      </c>
      <c r="AA19" s="128">
        <f t="shared" si="10"/>
        <v>0</v>
      </c>
      <c r="AB19" s="128">
        <f t="shared" si="10"/>
        <v>0</v>
      </c>
      <c r="AC19" s="128">
        <f t="shared" si="10"/>
        <v>0</v>
      </c>
      <c r="AD19" s="128">
        <f t="shared" si="10"/>
        <v>0</v>
      </c>
      <c r="AE19" s="128">
        <f t="shared" si="10"/>
        <v>0</v>
      </c>
      <c r="AF19" s="128">
        <f t="shared" si="10"/>
        <v>0</v>
      </c>
      <c r="AG19" s="128">
        <f t="shared" si="10"/>
        <v>0</v>
      </c>
      <c r="AH19" s="128">
        <f t="shared" si="10"/>
        <v>0</v>
      </c>
      <c r="AI19" s="128">
        <f t="shared" si="10"/>
        <v>0</v>
      </c>
    </row>
    <row r="20" spans="1:35" s="8" customFormat="1" ht="12.75">
      <c r="A20" s="127" t="s">
        <v>14</v>
      </c>
      <c r="B20" s="128">
        <f>'Datu ievade'!B147</f>
        <v>500</v>
      </c>
      <c r="C20" s="128">
        <f aca="true" t="shared" si="11" ref="C20:AI20">IF(B20&gt;B9,B9,B20)</f>
        <v>500</v>
      </c>
      <c r="D20" s="128">
        <f t="shared" si="11"/>
        <v>500</v>
      </c>
      <c r="E20" s="128">
        <f t="shared" si="11"/>
        <v>500</v>
      </c>
      <c r="F20" s="617">
        <f t="shared" si="11"/>
        <v>500</v>
      </c>
      <c r="G20" s="128">
        <f t="shared" si="11"/>
        <v>500</v>
      </c>
      <c r="H20" s="128">
        <f t="shared" si="11"/>
        <v>500</v>
      </c>
      <c r="I20" s="128">
        <f t="shared" si="11"/>
        <v>500</v>
      </c>
      <c r="J20" s="128">
        <f t="shared" si="11"/>
        <v>500</v>
      </c>
      <c r="K20" s="128">
        <f t="shared" si="11"/>
        <v>250</v>
      </c>
      <c r="L20" s="128">
        <f t="shared" si="11"/>
        <v>0</v>
      </c>
      <c r="M20" s="128">
        <f t="shared" si="11"/>
        <v>0</v>
      </c>
      <c r="N20" s="128">
        <f t="shared" si="11"/>
        <v>0</v>
      </c>
      <c r="O20" s="128">
        <f t="shared" si="11"/>
        <v>0</v>
      </c>
      <c r="P20" s="128">
        <f t="shared" si="11"/>
        <v>0</v>
      </c>
      <c r="Q20" s="128">
        <f t="shared" si="11"/>
        <v>0</v>
      </c>
      <c r="R20" s="128">
        <f t="shared" si="11"/>
        <v>0</v>
      </c>
      <c r="S20" s="128">
        <f t="shared" si="11"/>
        <v>0</v>
      </c>
      <c r="T20" s="128">
        <f t="shared" si="11"/>
        <v>0</v>
      </c>
      <c r="U20" s="128">
        <f t="shared" si="11"/>
        <v>0</v>
      </c>
      <c r="V20" s="128">
        <f t="shared" si="11"/>
        <v>0</v>
      </c>
      <c r="W20" s="128">
        <f t="shared" si="11"/>
        <v>0</v>
      </c>
      <c r="X20" s="128">
        <f t="shared" si="11"/>
        <v>0</v>
      </c>
      <c r="Y20" s="128">
        <f t="shared" si="11"/>
        <v>0</v>
      </c>
      <c r="Z20" s="128">
        <f t="shared" si="11"/>
        <v>0</v>
      </c>
      <c r="AA20" s="128">
        <f t="shared" si="11"/>
        <v>0</v>
      </c>
      <c r="AB20" s="128">
        <f t="shared" si="11"/>
        <v>0</v>
      </c>
      <c r="AC20" s="128">
        <f t="shared" si="11"/>
        <v>0</v>
      </c>
      <c r="AD20" s="128">
        <f t="shared" si="11"/>
        <v>0</v>
      </c>
      <c r="AE20" s="128">
        <f t="shared" si="11"/>
        <v>0</v>
      </c>
      <c r="AF20" s="128">
        <f t="shared" si="11"/>
        <v>0</v>
      </c>
      <c r="AG20" s="128">
        <f t="shared" si="11"/>
        <v>0</v>
      </c>
      <c r="AH20" s="128">
        <f t="shared" si="11"/>
        <v>0</v>
      </c>
      <c r="AI20" s="128">
        <f t="shared" si="11"/>
        <v>0</v>
      </c>
    </row>
    <row r="21" spans="1:35" s="8" customFormat="1" ht="12.75">
      <c r="A21" s="127" t="s">
        <v>15</v>
      </c>
      <c r="B21" s="128">
        <f>'Datu ievade'!B148</f>
        <v>0</v>
      </c>
      <c r="C21" s="128">
        <f aca="true" t="shared" si="12" ref="C21:AI21">IF(B21&gt;B10,B10,B21)</f>
        <v>0</v>
      </c>
      <c r="D21" s="128">
        <f t="shared" si="12"/>
        <v>0</v>
      </c>
      <c r="E21" s="128">
        <f t="shared" si="12"/>
        <v>0</v>
      </c>
      <c r="F21" s="617">
        <f t="shared" si="12"/>
        <v>0</v>
      </c>
      <c r="G21" s="128">
        <f t="shared" si="12"/>
        <v>0</v>
      </c>
      <c r="H21" s="128">
        <f t="shared" si="12"/>
        <v>0</v>
      </c>
      <c r="I21" s="128">
        <f t="shared" si="12"/>
        <v>0</v>
      </c>
      <c r="J21" s="128">
        <f t="shared" si="12"/>
        <v>0</v>
      </c>
      <c r="K21" s="128">
        <f t="shared" si="12"/>
        <v>0</v>
      </c>
      <c r="L21" s="128">
        <f t="shared" si="12"/>
        <v>0</v>
      </c>
      <c r="M21" s="128">
        <f t="shared" si="12"/>
        <v>0</v>
      </c>
      <c r="N21" s="128">
        <f t="shared" si="12"/>
        <v>0</v>
      </c>
      <c r="O21" s="128">
        <f t="shared" si="12"/>
        <v>0</v>
      </c>
      <c r="P21" s="128">
        <f t="shared" si="12"/>
        <v>0</v>
      </c>
      <c r="Q21" s="128">
        <f t="shared" si="12"/>
        <v>0</v>
      </c>
      <c r="R21" s="128">
        <f t="shared" si="12"/>
        <v>0</v>
      </c>
      <c r="S21" s="128">
        <f t="shared" si="12"/>
        <v>0</v>
      </c>
      <c r="T21" s="128">
        <f t="shared" si="12"/>
        <v>0</v>
      </c>
      <c r="U21" s="128">
        <f t="shared" si="12"/>
        <v>0</v>
      </c>
      <c r="V21" s="128">
        <f t="shared" si="12"/>
        <v>0</v>
      </c>
      <c r="W21" s="128">
        <f t="shared" si="12"/>
        <v>0</v>
      </c>
      <c r="X21" s="128">
        <f t="shared" si="12"/>
        <v>0</v>
      </c>
      <c r="Y21" s="128">
        <f t="shared" si="12"/>
        <v>0</v>
      </c>
      <c r="Z21" s="128">
        <f t="shared" si="12"/>
        <v>0</v>
      </c>
      <c r="AA21" s="128">
        <f t="shared" si="12"/>
        <v>0</v>
      </c>
      <c r="AB21" s="128">
        <f t="shared" si="12"/>
        <v>0</v>
      </c>
      <c r="AC21" s="128">
        <f t="shared" si="12"/>
        <v>0</v>
      </c>
      <c r="AD21" s="128">
        <f t="shared" si="12"/>
        <v>0</v>
      </c>
      <c r="AE21" s="128">
        <f t="shared" si="12"/>
        <v>0</v>
      </c>
      <c r="AF21" s="128">
        <f t="shared" si="12"/>
        <v>0</v>
      </c>
      <c r="AG21" s="128">
        <f t="shared" si="12"/>
        <v>0</v>
      </c>
      <c r="AH21" s="128">
        <f t="shared" si="12"/>
        <v>0</v>
      </c>
      <c r="AI21" s="128">
        <f t="shared" si="12"/>
        <v>0</v>
      </c>
    </row>
    <row r="22" spans="1:35" s="8" customFormat="1" ht="12.75">
      <c r="A22" s="127" t="s">
        <v>54</v>
      </c>
      <c r="B22" s="128">
        <f>'Datu ievade'!B149</f>
        <v>0</v>
      </c>
      <c r="C22" s="128">
        <f aca="true" t="shared" si="13" ref="C22:AI22">IF(B22&gt;B11,B11,B22)</f>
        <v>0</v>
      </c>
      <c r="D22" s="128">
        <f t="shared" si="13"/>
        <v>0</v>
      </c>
      <c r="E22" s="128">
        <f t="shared" si="13"/>
        <v>0</v>
      </c>
      <c r="F22" s="617">
        <f t="shared" si="13"/>
        <v>0</v>
      </c>
      <c r="G22" s="128">
        <f t="shared" si="13"/>
        <v>0</v>
      </c>
      <c r="H22" s="128">
        <f t="shared" si="13"/>
        <v>0</v>
      </c>
      <c r="I22" s="128">
        <f t="shared" si="13"/>
        <v>0</v>
      </c>
      <c r="J22" s="128">
        <f t="shared" si="13"/>
        <v>0</v>
      </c>
      <c r="K22" s="128">
        <f t="shared" si="13"/>
        <v>0</v>
      </c>
      <c r="L22" s="128">
        <f t="shared" si="13"/>
        <v>0</v>
      </c>
      <c r="M22" s="128">
        <f t="shared" si="13"/>
        <v>0</v>
      </c>
      <c r="N22" s="128">
        <f t="shared" si="13"/>
        <v>0</v>
      </c>
      <c r="O22" s="128">
        <f t="shared" si="13"/>
        <v>0</v>
      </c>
      <c r="P22" s="128">
        <f t="shared" si="13"/>
        <v>0</v>
      </c>
      <c r="Q22" s="128">
        <f t="shared" si="13"/>
        <v>0</v>
      </c>
      <c r="R22" s="128">
        <f t="shared" si="13"/>
        <v>0</v>
      </c>
      <c r="S22" s="128">
        <f t="shared" si="13"/>
        <v>0</v>
      </c>
      <c r="T22" s="128">
        <f t="shared" si="13"/>
        <v>0</v>
      </c>
      <c r="U22" s="128">
        <f t="shared" si="13"/>
        <v>0</v>
      </c>
      <c r="V22" s="128">
        <f t="shared" si="13"/>
        <v>0</v>
      </c>
      <c r="W22" s="128">
        <f t="shared" si="13"/>
        <v>0</v>
      </c>
      <c r="X22" s="128">
        <f t="shared" si="13"/>
        <v>0</v>
      </c>
      <c r="Y22" s="128">
        <f t="shared" si="13"/>
        <v>0</v>
      </c>
      <c r="Z22" s="128">
        <f t="shared" si="13"/>
        <v>0</v>
      </c>
      <c r="AA22" s="128">
        <f t="shared" si="13"/>
        <v>0</v>
      </c>
      <c r="AB22" s="128">
        <f t="shared" si="13"/>
        <v>0</v>
      </c>
      <c r="AC22" s="128">
        <f t="shared" si="13"/>
        <v>0</v>
      </c>
      <c r="AD22" s="128">
        <f t="shared" si="13"/>
        <v>0</v>
      </c>
      <c r="AE22" s="128">
        <f t="shared" si="13"/>
        <v>0</v>
      </c>
      <c r="AF22" s="128">
        <f t="shared" si="13"/>
        <v>0</v>
      </c>
      <c r="AG22" s="128">
        <f t="shared" si="13"/>
        <v>0</v>
      </c>
      <c r="AH22" s="128">
        <f t="shared" si="13"/>
        <v>0</v>
      </c>
      <c r="AI22" s="128">
        <f t="shared" si="13"/>
        <v>0</v>
      </c>
    </row>
    <row r="23" spans="1:35" s="42" customFormat="1" ht="27">
      <c r="A23" s="132" t="s">
        <v>57</v>
      </c>
      <c r="B23" s="133">
        <f>'Datu ievade'!B150</f>
        <v>0</v>
      </c>
      <c r="C23" s="129"/>
      <c r="D23" s="129"/>
      <c r="E23" s="129"/>
      <c r="F23" s="61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5" s="8" customFormat="1" ht="12.75">
      <c r="A24" s="120" t="s">
        <v>13</v>
      </c>
      <c r="B24" s="128">
        <f>'Datu ievade'!B151</f>
        <v>1250</v>
      </c>
      <c r="C24" s="128">
        <f aca="true" t="shared" si="14" ref="C24:AI24">IF(B24&gt;B13,B13,B24)</f>
        <v>1250</v>
      </c>
      <c r="D24" s="128">
        <f t="shared" si="14"/>
        <v>1250</v>
      </c>
      <c r="E24" s="128">
        <f t="shared" si="14"/>
        <v>1250</v>
      </c>
      <c r="F24" s="617">
        <f t="shared" si="14"/>
        <v>1250</v>
      </c>
      <c r="G24" s="128">
        <f t="shared" si="14"/>
        <v>1250</v>
      </c>
      <c r="H24" s="128">
        <f t="shared" si="14"/>
        <v>1250</v>
      </c>
      <c r="I24" s="128">
        <f t="shared" si="14"/>
        <v>1250</v>
      </c>
      <c r="J24" s="128">
        <f t="shared" si="14"/>
        <v>1250</v>
      </c>
      <c r="K24" s="128">
        <f t="shared" si="14"/>
        <v>1250</v>
      </c>
      <c r="L24" s="128">
        <f t="shared" si="14"/>
        <v>0</v>
      </c>
      <c r="M24" s="128">
        <f t="shared" si="14"/>
        <v>0</v>
      </c>
      <c r="N24" s="128">
        <f t="shared" si="14"/>
        <v>0</v>
      </c>
      <c r="O24" s="128">
        <f t="shared" si="14"/>
        <v>0</v>
      </c>
      <c r="P24" s="128">
        <f t="shared" si="14"/>
        <v>0</v>
      </c>
      <c r="Q24" s="128">
        <f t="shared" si="14"/>
        <v>0</v>
      </c>
      <c r="R24" s="128">
        <f t="shared" si="14"/>
        <v>0</v>
      </c>
      <c r="S24" s="128">
        <f t="shared" si="14"/>
        <v>0</v>
      </c>
      <c r="T24" s="128">
        <f t="shared" si="14"/>
        <v>0</v>
      </c>
      <c r="U24" s="128">
        <f t="shared" si="14"/>
        <v>0</v>
      </c>
      <c r="V24" s="128">
        <f t="shared" si="14"/>
        <v>0</v>
      </c>
      <c r="W24" s="128">
        <f t="shared" si="14"/>
        <v>0</v>
      </c>
      <c r="X24" s="128">
        <f t="shared" si="14"/>
        <v>0</v>
      </c>
      <c r="Y24" s="128">
        <f t="shared" si="14"/>
        <v>0</v>
      </c>
      <c r="Z24" s="128">
        <f t="shared" si="14"/>
        <v>0</v>
      </c>
      <c r="AA24" s="128">
        <f t="shared" si="14"/>
        <v>0</v>
      </c>
      <c r="AB24" s="128">
        <f t="shared" si="14"/>
        <v>0</v>
      </c>
      <c r="AC24" s="128">
        <f t="shared" si="14"/>
        <v>0</v>
      </c>
      <c r="AD24" s="128">
        <f t="shared" si="14"/>
        <v>0</v>
      </c>
      <c r="AE24" s="128">
        <f t="shared" si="14"/>
        <v>0</v>
      </c>
      <c r="AF24" s="128">
        <f t="shared" si="14"/>
        <v>0</v>
      </c>
      <c r="AG24" s="128">
        <f t="shared" si="14"/>
        <v>0</v>
      </c>
      <c r="AH24" s="128">
        <f t="shared" si="14"/>
        <v>0</v>
      </c>
      <c r="AI24" s="128">
        <f t="shared" si="14"/>
        <v>0</v>
      </c>
    </row>
    <row r="25" spans="1:35" s="8" customFormat="1" ht="12.75">
      <c r="A25" s="120" t="s">
        <v>14</v>
      </c>
      <c r="B25" s="128">
        <f>'Datu ievade'!B152</f>
        <v>350</v>
      </c>
      <c r="C25" s="128">
        <f aca="true" t="shared" si="15" ref="C25:AI25">IF(B25&gt;B14,B14,B25)</f>
        <v>350</v>
      </c>
      <c r="D25" s="128">
        <f t="shared" si="15"/>
        <v>350</v>
      </c>
      <c r="E25" s="128">
        <f t="shared" si="15"/>
        <v>350</v>
      </c>
      <c r="F25" s="617">
        <f t="shared" si="15"/>
        <v>350</v>
      </c>
      <c r="G25" s="128">
        <f t="shared" si="15"/>
        <v>350</v>
      </c>
      <c r="H25" s="128">
        <f t="shared" si="15"/>
        <v>350</v>
      </c>
      <c r="I25" s="128">
        <f t="shared" si="15"/>
        <v>350</v>
      </c>
      <c r="J25" s="128">
        <f t="shared" si="15"/>
        <v>0</v>
      </c>
      <c r="K25" s="128">
        <f t="shared" si="15"/>
        <v>0</v>
      </c>
      <c r="L25" s="128">
        <f t="shared" si="15"/>
        <v>0</v>
      </c>
      <c r="M25" s="128">
        <f t="shared" si="15"/>
        <v>0</v>
      </c>
      <c r="N25" s="128">
        <f t="shared" si="15"/>
        <v>0</v>
      </c>
      <c r="O25" s="128">
        <f t="shared" si="15"/>
        <v>0</v>
      </c>
      <c r="P25" s="128">
        <f t="shared" si="15"/>
        <v>0</v>
      </c>
      <c r="Q25" s="128">
        <f t="shared" si="15"/>
        <v>0</v>
      </c>
      <c r="R25" s="128">
        <f t="shared" si="15"/>
        <v>0</v>
      </c>
      <c r="S25" s="128">
        <f t="shared" si="15"/>
        <v>0</v>
      </c>
      <c r="T25" s="128">
        <f t="shared" si="15"/>
        <v>0</v>
      </c>
      <c r="U25" s="128">
        <f t="shared" si="15"/>
        <v>0</v>
      </c>
      <c r="V25" s="128">
        <f t="shared" si="15"/>
        <v>0</v>
      </c>
      <c r="W25" s="128">
        <f t="shared" si="15"/>
        <v>0</v>
      </c>
      <c r="X25" s="128">
        <f t="shared" si="15"/>
        <v>0</v>
      </c>
      <c r="Y25" s="128">
        <f t="shared" si="15"/>
        <v>0</v>
      </c>
      <c r="Z25" s="128">
        <f t="shared" si="15"/>
        <v>0</v>
      </c>
      <c r="AA25" s="128">
        <f t="shared" si="15"/>
        <v>0</v>
      </c>
      <c r="AB25" s="128">
        <f t="shared" si="15"/>
        <v>0</v>
      </c>
      <c r="AC25" s="128">
        <f t="shared" si="15"/>
        <v>0</v>
      </c>
      <c r="AD25" s="128">
        <f t="shared" si="15"/>
        <v>0</v>
      </c>
      <c r="AE25" s="128">
        <f t="shared" si="15"/>
        <v>0</v>
      </c>
      <c r="AF25" s="128">
        <f t="shared" si="15"/>
        <v>0</v>
      </c>
      <c r="AG25" s="128">
        <f t="shared" si="15"/>
        <v>0</v>
      </c>
      <c r="AH25" s="128">
        <f t="shared" si="15"/>
        <v>0</v>
      </c>
      <c r="AI25" s="128">
        <f t="shared" si="15"/>
        <v>0</v>
      </c>
    </row>
    <row r="26" spans="1:35" s="8" customFormat="1" ht="12.75">
      <c r="A26" s="120" t="s">
        <v>15</v>
      </c>
      <c r="B26" s="128">
        <f>'Datu ievade'!B153</f>
        <v>0</v>
      </c>
      <c r="C26" s="128">
        <f aca="true" t="shared" si="16" ref="C26:AI26">IF(B26&gt;B15,B15,B26)</f>
        <v>0</v>
      </c>
      <c r="D26" s="128">
        <f t="shared" si="16"/>
        <v>0</v>
      </c>
      <c r="E26" s="128">
        <f t="shared" si="16"/>
        <v>0</v>
      </c>
      <c r="F26" s="617">
        <f t="shared" si="16"/>
        <v>0</v>
      </c>
      <c r="G26" s="128">
        <f t="shared" si="16"/>
        <v>0</v>
      </c>
      <c r="H26" s="128">
        <f t="shared" si="16"/>
        <v>0</v>
      </c>
      <c r="I26" s="128">
        <f t="shared" si="16"/>
        <v>0</v>
      </c>
      <c r="J26" s="128">
        <f t="shared" si="16"/>
        <v>0</v>
      </c>
      <c r="K26" s="128">
        <f t="shared" si="16"/>
        <v>0</v>
      </c>
      <c r="L26" s="128">
        <f t="shared" si="16"/>
        <v>0</v>
      </c>
      <c r="M26" s="128">
        <f t="shared" si="16"/>
        <v>0</v>
      </c>
      <c r="N26" s="128">
        <f t="shared" si="16"/>
        <v>0</v>
      </c>
      <c r="O26" s="128">
        <f t="shared" si="16"/>
        <v>0</v>
      </c>
      <c r="P26" s="128">
        <f t="shared" si="16"/>
        <v>0</v>
      </c>
      <c r="Q26" s="128">
        <f t="shared" si="16"/>
        <v>0</v>
      </c>
      <c r="R26" s="128">
        <f t="shared" si="16"/>
        <v>0</v>
      </c>
      <c r="S26" s="128">
        <f t="shared" si="16"/>
        <v>0</v>
      </c>
      <c r="T26" s="128">
        <f t="shared" si="16"/>
        <v>0</v>
      </c>
      <c r="U26" s="128">
        <f t="shared" si="16"/>
        <v>0</v>
      </c>
      <c r="V26" s="128">
        <f t="shared" si="16"/>
        <v>0</v>
      </c>
      <c r="W26" s="128">
        <f t="shared" si="16"/>
        <v>0</v>
      </c>
      <c r="X26" s="128">
        <f t="shared" si="16"/>
        <v>0</v>
      </c>
      <c r="Y26" s="128">
        <f t="shared" si="16"/>
        <v>0</v>
      </c>
      <c r="Z26" s="128">
        <f t="shared" si="16"/>
        <v>0</v>
      </c>
      <c r="AA26" s="128">
        <f t="shared" si="16"/>
        <v>0</v>
      </c>
      <c r="AB26" s="128">
        <f t="shared" si="16"/>
        <v>0</v>
      </c>
      <c r="AC26" s="128">
        <f t="shared" si="16"/>
        <v>0</v>
      </c>
      <c r="AD26" s="128">
        <f t="shared" si="16"/>
        <v>0</v>
      </c>
      <c r="AE26" s="128">
        <f t="shared" si="16"/>
        <v>0</v>
      </c>
      <c r="AF26" s="128">
        <f t="shared" si="16"/>
        <v>0</v>
      </c>
      <c r="AG26" s="128">
        <f t="shared" si="16"/>
        <v>0</v>
      </c>
      <c r="AH26" s="128">
        <f t="shared" si="16"/>
        <v>0</v>
      </c>
      <c r="AI26" s="128">
        <f t="shared" si="16"/>
        <v>0</v>
      </c>
    </row>
    <row r="27" spans="1:35" s="8" customFormat="1" ht="12.75">
      <c r="A27" s="120" t="s">
        <v>54</v>
      </c>
      <c r="B27" s="128">
        <f>'Datu ievade'!B154</f>
        <v>0</v>
      </c>
      <c r="C27" s="128">
        <f aca="true" t="shared" si="17" ref="C27:AI27">IF(B27&gt;B16,B16,B27)</f>
        <v>0</v>
      </c>
      <c r="D27" s="128">
        <f t="shared" si="17"/>
        <v>0</v>
      </c>
      <c r="E27" s="128">
        <f t="shared" si="17"/>
        <v>0</v>
      </c>
      <c r="F27" s="617">
        <f t="shared" si="17"/>
        <v>0</v>
      </c>
      <c r="G27" s="128">
        <f t="shared" si="17"/>
        <v>0</v>
      </c>
      <c r="H27" s="128">
        <f t="shared" si="17"/>
        <v>0</v>
      </c>
      <c r="I27" s="128">
        <f t="shared" si="17"/>
        <v>0</v>
      </c>
      <c r="J27" s="128">
        <f t="shared" si="17"/>
        <v>0</v>
      </c>
      <c r="K27" s="128">
        <f t="shared" si="17"/>
        <v>0</v>
      </c>
      <c r="L27" s="128">
        <f t="shared" si="17"/>
        <v>0</v>
      </c>
      <c r="M27" s="128">
        <f t="shared" si="17"/>
        <v>0</v>
      </c>
      <c r="N27" s="128">
        <f t="shared" si="17"/>
        <v>0</v>
      </c>
      <c r="O27" s="128">
        <f t="shared" si="17"/>
        <v>0</v>
      </c>
      <c r="P27" s="128">
        <f t="shared" si="17"/>
        <v>0</v>
      </c>
      <c r="Q27" s="128">
        <f t="shared" si="17"/>
        <v>0</v>
      </c>
      <c r="R27" s="128">
        <f t="shared" si="17"/>
        <v>0</v>
      </c>
      <c r="S27" s="128">
        <f t="shared" si="17"/>
        <v>0</v>
      </c>
      <c r="T27" s="128">
        <f t="shared" si="17"/>
        <v>0</v>
      </c>
      <c r="U27" s="128">
        <f t="shared" si="17"/>
        <v>0</v>
      </c>
      <c r="V27" s="128">
        <f t="shared" si="17"/>
        <v>0</v>
      </c>
      <c r="W27" s="128">
        <f t="shared" si="17"/>
        <v>0</v>
      </c>
      <c r="X27" s="128">
        <f t="shared" si="17"/>
        <v>0</v>
      </c>
      <c r="Y27" s="128">
        <f t="shared" si="17"/>
        <v>0</v>
      </c>
      <c r="Z27" s="128">
        <f t="shared" si="17"/>
        <v>0</v>
      </c>
      <c r="AA27" s="128">
        <f t="shared" si="17"/>
        <v>0</v>
      </c>
      <c r="AB27" s="128">
        <f t="shared" si="17"/>
        <v>0</v>
      </c>
      <c r="AC27" s="128">
        <f t="shared" si="17"/>
        <v>0</v>
      </c>
      <c r="AD27" s="128">
        <f t="shared" si="17"/>
        <v>0</v>
      </c>
      <c r="AE27" s="128">
        <f t="shared" si="17"/>
        <v>0</v>
      </c>
      <c r="AF27" s="128">
        <f t="shared" si="17"/>
        <v>0</v>
      </c>
      <c r="AG27" s="128">
        <f t="shared" si="17"/>
        <v>0</v>
      </c>
      <c r="AH27" s="128">
        <f t="shared" si="17"/>
        <v>0</v>
      </c>
      <c r="AI27" s="128">
        <f t="shared" si="17"/>
        <v>0</v>
      </c>
    </row>
    <row r="28" spans="1:33" s="209" customFormat="1" ht="12.75">
      <c r="A28" s="332"/>
      <c r="B28" s="296"/>
      <c r="C28" s="296"/>
      <c r="D28" s="296"/>
      <c r="E28" s="296"/>
      <c r="F28" s="620"/>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row>
    <row r="29" spans="1:33" s="209" customFormat="1" ht="12.75">
      <c r="A29" s="332"/>
      <c r="B29" s="296"/>
      <c r="C29" s="296"/>
      <c r="D29" s="296"/>
      <c r="E29" s="296"/>
      <c r="F29" s="620"/>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row>
    <row r="30" spans="1:33" s="209" customFormat="1" ht="12.75">
      <c r="A30" s="332"/>
      <c r="B30" s="296"/>
      <c r="C30" s="296"/>
      <c r="D30" s="296"/>
      <c r="E30" s="296"/>
      <c r="F30" s="620"/>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row>
    <row r="31" spans="1:33" ht="12.75">
      <c r="A31" s="112"/>
      <c r="B31" s="113"/>
      <c r="C31" s="113"/>
      <c r="D31" s="113"/>
      <c r="E31" s="95"/>
      <c r="F31" s="621"/>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row>
    <row r="32" spans="1:33" s="209" customFormat="1" ht="23.25" customHeight="1">
      <c r="A32" s="286" t="s">
        <v>200</v>
      </c>
      <c r="B32" s="287"/>
      <c r="C32" s="287"/>
      <c r="D32" s="287"/>
      <c r="E32" s="287"/>
      <c r="F32" s="621"/>
      <c r="G32" s="287"/>
      <c r="H32" s="287"/>
      <c r="I32" s="287"/>
      <c r="J32" s="287"/>
      <c r="K32" s="287"/>
      <c r="L32" s="287"/>
      <c r="M32" s="287"/>
      <c r="N32" s="287"/>
      <c r="O32" s="287" t="s">
        <v>25</v>
      </c>
      <c r="P32" s="287"/>
      <c r="Q32" s="287"/>
      <c r="R32" s="287"/>
      <c r="S32" s="287"/>
      <c r="T32" s="287"/>
      <c r="U32" s="287"/>
      <c r="V32" s="287"/>
      <c r="W32" s="287"/>
      <c r="X32" s="287"/>
      <c r="Y32" s="287"/>
      <c r="Z32" s="287"/>
      <c r="AA32" s="287"/>
      <c r="AB32" s="287"/>
      <c r="AC32" s="287"/>
      <c r="AD32" s="287"/>
      <c r="AE32" s="287"/>
      <c r="AF32" s="287"/>
      <c r="AG32" s="287"/>
    </row>
    <row r="33" spans="1:33" s="209" customFormat="1" ht="12.75">
      <c r="A33" s="288"/>
      <c r="B33" s="289">
        <f>Aprekini!B5</f>
        <v>2011</v>
      </c>
      <c r="C33" s="289">
        <f aca="true" t="shared" si="18" ref="C33:AG33">B33+1</f>
        <v>2012</v>
      </c>
      <c r="D33" s="289">
        <f t="shared" si="18"/>
        <v>2013</v>
      </c>
      <c r="E33" s="289">
        <f t="shared" si="18"/>
        <v>2014</v>
      </c>
      <c r="F33" s="622">
        <f t="shared" si="18"/>
        <v>2015</v>
      </c>
      <c r="G33" s="289">
        <f t="shared" si="18"/>
        <v>2016</v>
      </c>
      <c r="H33" s="289">
        <f t="shared" si="18"/>
        <v>2017</v>
      </c>
      <c r="I33" s="289">
        <f t="shared" si="18"/>
        <v>2018</v>
      </c>
      <c r="J33" s="289">
        <f t="shared" si="18"/>
        <v>2019</v>
      </c>
      <c r="K33" s="289">
        <f t="shared" si="18"/>
        <v>2020</v>
      </c>
      <c r="L33" s="289">
        <f t="shared" si="18"/>
        <v>2021</v>
      </c>
      <c r="M33" s="289">
        <f t="shared" si="18"/>
        <v>2022</v>
      </c>
      <c r="N33" s="289">
        <f t="shared" si="18"/>
        <v>2023</v>
      </c>
      <c r="O33" s="289">
        <f t="shared" si="18"/>
        <v>2024</v>
      </c>
      <c r="P33" s="289">
        <f t="shared" si="18"/>
        <v>2025</v>
      </c>
      <c r="Q33" s="289">
        <f t="shared" si="18"/>
        <v>2026</v>
      </c>
      <c r="R33" s="289">
        <f t="shared" si="18"/>
        <v>2027</v>
      </c>
      <c r="S33" s="289">
        <f t="shared" si="18"/>
        <v>2028</v>
      </c>
      <c r="T33" s="289">
        <f t="shared" si="18"/>
        <v>2029</v>
      </c>
      <c r="U33" s="289">
        <f t="shared" si="18"/>
        <v>2030</v>
      </c>
      <c r="V33" s="289">
        <f t="shared" si="18"/>
        <v>2031</v>
      </c>
      <c r="W33" s="289">
        <f t="shared" si="18"/>
        <v>2032</v>
      </c>
      <c r="X33" s="289">
        <f t="shared" si="18"/>
        <v>2033</v>
      </c>
      <c r="Y33" s="289">
        <f t="shared" si="18"/>
        <v>2034</v>
      </c>
      <c r="Z33" s="289">
        <f t="shared" si="18"/>
        <v>2035</v>
      </c>
      <c r="AA33" s="289">
        <f t="shared" si="18"/>
        <v>2036</v>
      </c>
      <c r="AB33" s="289">
        <f t="shared" si="18"/>
        <v>2037</v>
      </c>
      <c r="AC33" s="289">
        <f t="shared" si="18"/>
        <v>2038</v>
      </c>
      <c r="AD33" s="289">
        <f t="shared" si="18"/>
        <v>2039</v>
      </c>
      <c r="AE33" s="289">
        <f t="shared" si="18"/>
        <v>2040</v>
      </c>
      <c r="AF33" s="289">
        <f t="shared" si="18"/>
        <v>2041</v>
      </c>
      <c r="AG33" s="289">
        <f t="shared" si="18"/>
        <v>2042</v>
      </c>
    </row>
    <row r="34" spans="1:33" s="209" customFormat="1" ht="12.75">
      <c r="A34" s="290" t="s">
        <v>53</v>
      </c>
      <c r="B34" s="291"/>
      <c r="C34" s="291"/>
      <c r="D34" s="291"/>
      <c r="E34" s="291"/>
      <c r="F34" s="623"/>
      <c r="G34" s="291"/>
      <c r="H34" s="291"/>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row>
    <row r="35" spans="1:33" s="209" customFormat="1" ht="13.5">
      <c r="A35" s="293" t="s">
        <v>201</v>
      </c>
      <c r="B35" s="294"/>
      <c r="C35" s="294"/>
      <c r="D35" s="294"/>
      <c r="E35" s="294"/>
      <c r="F35" s="62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row>
    <row r="36" spans="1:33" s="209" customFormat="1" ht="12.75">
      <c r="A36" s="295" t="s">
        <v>13</v>
      </c>
      <c r="B36" s="292"/>
      <c r="C36" s="292"/>
      <c r="D36" s="292"/>
      <c r="E36" s="292"/>
      <c r="F36" s="625"/>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row>
    <row r="37" spans="1:33" s="209" customFormat="1" ht="12.75">
      <c r="A37" s="206" t="s">
        <v>202</v>
      </c>
      <c r="B37" s="296">
        <f>'Datu ievade'!B58</f>
        <v>0</v>
      </c>
      <c r="C37" s="296">
        <f>'Datu ievade'!C58+B37</f>
        <v>47940</v>
      </c>
      <c r="D37" s="296">
        <f>'Datu ievade'!D58+C37</f>
        <v>313140</v>
      </c>
      <c r="E37" s="296">
        <f>'Datu ievade'!E58+D37</f>
        <v>313140</v>
      </c>
      <c r="F37" s="620">
        <f>'Datu ievade'!F58+E37</f>
        <v>313140</v>
      </c>
      <c r="G37" s="296">
        <f>'Datu ievade'!G58+F37</f>
        <v>313140</v>
      </c>
      <c r="H37" s="296">
        <f>'Datu ievade'!H58+G37</f>
        <v>313140</v>
      </c>
      <c r="I37" s="296">
        <f>'Datu ievade'!I58+H37</f>
        <v>313140</v>
      </c>
      <c r="J37" s="296">
        <f>'Datu ievade'!J58+I37</f>
        <v>313140</v>
      </c>
      <c r="K37" s="296">
        <f>'Datu ievade'!K58+J37</f>
        <v>313140</v>
      </c>
      <c r="L37" s="296">
        <f>'Datu ievade'!L58+K37</f>
        <v>313140</v>
      </c>
      <c r="M37" s="296">
        <f>'Datu ievade'!M58+L37</f>
        <v>313140</v>
      </c>
      <c r="N37" s="296">
        <f>'Datu ievade'!N58+M37</f>
        <v>313140</v>
      </c>
      <c r="O37" s="296">
        <f>'Datu ievade'!O58+N37</f>
        <v>313140</v>
      </c>
      <c r="P37" s="296">
        <f>'Datu ievade'!P58+O37</f>
        <v>313140</v>
      </c>
      <c r="Q37" s="296">
        <f>'Datu ievade'!Q58+P37</f>
        <v>313140</v>
      </c>
      <c r="R37" s="296">
        <f>'Datu ievade'!R58+Q37</f>
        <v>313140</v>
      </c>
      <c r="S37" s="296">
        <f>'Datu ievade'!S58+R37</f>
        <v>313140</v>
      </c>
      <c r="T37" s="296">
        <f>'Datu ievade'!T58+S37</f>
        <v>313140</v>
      </c>
      <c r="U37" s="296">
        <f>'Datu ievade'!U58+T37</f>
        <v>313140</v>
      </c>
      <c r="V37" s="296">
        <f>'Datu ievade'!V58+U37</f>
        <v>313140</v>
      </c>
      <c r="W37" s="296">
        <f>'Datu ievade'!W58+V37</f>
        <v>313140</v>
      </c>
      <c r="X37" s="296">
        <f>'Datu ievade'!X58+W37</f>
        <v>313140</v>
      </c>
      <c r="Y37" s="296">
        <f>'Datu ievade'!Y58+X37</f>
        <v>313140</v>
      </c>
      <c r="Z37" s="296">
        <f>'Datu ievade'!Z58+Y37</f>
        <v>313140</v>
      </c>
      <c r="AA37" s="296">
        <f>'Datu ievade'!AA58+Z37</f>
        <v>313140</v>
      </c>
      <c r="AB37" s="296">
        <f>'Datu ievade'!AB58+AA37</f>
        <v>313140</v>
      </c>
      <c r="AC37" s="296">
        <f>'Datu ievade'!AC58+AB37</f>
        <v>313140</v>
      </c>
      <c r="AD37" s="296">
        <f>'Datu ievade'!AD58+AC37</f>
        <v>313140</v>
      </c>
      <c r="AE37" s="296">
        <f>'Datu ievade'!AE58+AD37</f>
        <v>313140</v>
      </c>
      <c r="AF37" s="296">
        <f>'Datu ievade'!AF58+AE37</f>
        <v>313140</v>
      </c>
      <c r="AG37" s="296">
        <f>'Datu ievade'!AG58+AF37</f>
        <v>313140</v>
      </c>
    </row>
    <row r="38" spans="1:33" s="209" customFormat="1" ht="12.75">
      <c r="A38" s="206" t="s">
        <v>203</v>
      </c>
      <c r="B38" s="297">
        <f>1/'Datu ievade'!$B$23</f>
        <v>0.02</v>
      </c>
      <c r="C38" s="297">
        <f>1/'Datu ievade'!$B$23</f>
        <v>0.02</v>
      </c>
      <c r="D38" s="297">
        <f>1/'Datu ievade'!$B$23</f>
        <v>0.02</v>
      </c>
      <c r="E38" s="297">
        <f>1/'Datu ievade'!$B$23</f>
        <v>0.02</v>
      </c>
      <c r="F38" s="626">
        <f>1/'Datu ievade'!$B$23</f>
        <v>0.02</v>
      </c>
      <c r="G38" s="297">
        <f>1/'Datu ievade'!$B$23</f>
        <v>0.02</v>
      </c>
      <c r="H38" s="297">
        <f>1/'Datu ievade'!$B$23</f>
        <v>0.02</v>
      </c>
      <c r="I38" s="297">
        <f>1/'Datu ievade'!$B$23</f>
        <v>0.02</v>
      </c>
      <c r="J38" s="297">
        <f>1/'Datu ievade'!$B$23</f>
        <v>0.02</v>
      </c>
      <c r="K38" s="297">
        <f>1/'Datu ievade'!$B$23</f>
        <v>0.02</v>
      </c>
      <c r="L38" s="297">
        <f>1/'Datu ievade'!$B$23</f>
        <v>0.02</v>
      </c>
      <c r="M38" s="297">
        <f>1/'Datu ievade'!$B$23</f>
        <v>0.02</v>
      </c>
      <c r="N38" s="297">
        <f>1/'Datu ievade'!$B$23</f>
        <v>0.02</v>
      </c>
      <c r="O38" s="297">
        <f>1/'Datu ievade'!$B$23</f>
        <v>0.02</v>
      </c>
      <c r="P38" s="297">
        <f>1/'Datu ievade'!$B$23</f>
        <v>0.02</v>
      </c>
      <c r="Q38" s="297">
        <f>1/'Datu ievade'!$B$23</f>
        <v>0.02</v>
      </c>
      <c r="R38" s="297">
        <f>1/'Datu ievade'!$B$23</f>
        <v>0.02</v>
      </c>
      <c r="S38" s="297">
        <f>1/'Datu ievade'!$B$23</f>
        <v>0.02</v>
      </c>
      <c r="T38" s="297">
        <f>1/'Datu ievade'!$B$23</f>
        <v>0.02</v>
      </c>
      <c r="U38" s="297">
        <f>1/'Datu ievade'!$B$23</f>
        <v>0.02</v>
      </c>
      <c r="V38" s="297">
        <f>1/'Datu ievade'!$B$23</f>
        <v>0.02</v>
      </c>
      <c r="W38" s="297">
        <f>1/'Datu ievade'!$B$23</f>
        <v>0.02</v>
      </c>
      <c r="X38" s="297">
        <f>1/'Datu ievade'!$B$23</f>
        <v>0.02</v>
      </c>
      <c r="Y38" s="297">
        <f>1/'Datu ievade'!$B$23</f>
        <v>0.02</v>
      </c>
      <c r="Z38" s="297">
        <f>1/'Datu ievade'!$B$23</f>
        <v>0.02</v>
      </c>
      <c r="AA38" s="297">
        <f>1/'Datu ievade'!$B$23</f>
        <v>0.02</v>
      </c>
      <c r="AB38" s="297">
        <f>1/'Datu ievade'!$B$23</f>
        <v>0.02</v>
      </c>
      <c r="AC38" s="297">
        <f>1/'Datu ievade'!$B$23</f>
        <v>0.02</v>
      </c>
      <c r="AD38" s="297">
        <f>1/'Datu ievade'!$B$23</f>
        <v>0.02</v>
      </c>
      <c r="AE38" s="297">
        <f>1/'Datu ievade'!$B$23</f>
        <v>0.02</v>
      </c>
      <c r="AF38" s="297">
        <f>1/'Datu ievade'!$B$23</f>
        <v>0.02</v>
      </c>
      <c r="AG38" s="297">
        <f>1/'Datu ievade'!$B$23</f>
        <v>0.02</v>
      </c>
    </row>
    <row r="39" spans="1:33" s="209" customFormat="1" ht="12.75">
      <c r="A39" s="206" t="s">
        <v>204</v>
      </c>
      <c r="B39" s="298">
        <v>0</v>
      </c>
      <c r="C39" s="296">
        <f aca="true" t="shared" si="19" ref="C39:AG39">IF(B41&gt;0,IF(C37-B37&gt;0,0,C38*C37),0)</f>
        <v>0</v>
      </c>
      <c r="D39" s="296">
        <f t="shared" si="19"/>
        <v>0</v>
      </c>
      <c r="E39" s="296">
        <f t="shared" si="19"/>
        <v>6262.8</v>
      </c>
      <c r="F39" s="620">
        <f t="shared" si="19"/>
        <v>6262.8</v>
      </c>
      <c r="G39" s="296">
        <f t="shared" si="19"/>
        <v>6262.8</v>
      </c>
      <c r="H39" s="296">
        <f t="shared" si="19"/>
        <v>6262.8</v>
      </c>
      <c r="I39" s="296">
        <f t="shared" si="19"/>
        <v>6262.8</v>
      </c>
      <c r="J39" s="296">
        <f t="shared" si="19"/>
        <v>6262.8</v>
      </c>
      <c r="K39" s="296">
        <f t="shared" si="19"/>
        <v>6262.8</v>
      </c>
      <c r="L39" s="296">
        <f t="shared" si="19"/>
        <v>6262.8</v>
      </c>
      <c r="M39" s="296">
        <f t="shared" si="19"/>
        <v>6262.8</v>
      </c>
      <c r="N39" s="296">
        <f t="shared" si="19"/>
        <v>6262.8</v>
      </c>
      <c r="O39" s="296">
        <f t="shared" si="19"/>
        <v>6262.8</v>
      </c>
      <c r="P39" s="296">
        <f t="shared" si="19"/>
        <v>6262.8</v>
      </c>
      <c r="Q39" s="296">
        <f t="shared" si="19"/>
        <v>6262.8</v>
      </c>
      <c r="R39" s="296">
        <f t="shared" si="19"/>
        <v>6262.8</v>
      </c>
      <c r="S39" s="296">
        <f t="shared" si="19"/>
        <v>6262.8</v>
      </c>
      <c r="T39" s="296">
        <f t="shared" si="19"/>
        <v>6262.8</v>
      </c>
      <c r="U39" s="296">
        <f t="shared" si="19"/>
        <v>6262.8</v>
      </c>
      <c r="V39" s="296">
        <f t="shared" si="19"/>
        <v>6262.8</v>
      </c>
      <c r="W39" s="296">
        <f t="shared" si="19"/>
        <v>6262.8</v>
      </c>
      <c r="X39" s="296">
        <f t="shared" si="19"/>
        <v>6262.8</v>
      </c>
      <c r="Y39" s="296">
        <f t="shared" si="19"/>
        <v>6262.8</v>
      </c>
      <c r="Z39" s="296">
        <f t="shared" si="19"/>
        <v>6262.8</v>
      </c>
      <c r="AA39" s="296">
        <f t="shared" si="19"/>
        <v>6262.8</v>
      </c>
      <c r="AB39" s="296">
        <f t="shared" si="19"/>
        <v>6262.8</v>
      </c>
      <c r="AC39" s="296">
        <f t="shared" si="19"/>
        <v>6262.8</v>
      </c>
      <c r="AD39" s="296">
        <f t="shared" si="19"/>
        <v>6262.8</v>
      </c>
      <c r="AE39" s="296">
        <f t="shared" si="19"/>
        <v>6262.8</v>
      </c>
      <c r="AF39" s="296">
        <f t="shared" si="19"/>
        <v>6262.8</v>
      </c>
      <c r="AG39" s="296">
        <f t="shared" si="19"/>
        <v>6262.8</v>
      </c>
    </row>
    <row r="40" spans="1:33" s="209" customFormat="1" ht="12.75">
      <c r="A40" s="206" t="s">
        <v>205</v>
      </c>
      <c r="B40" s="296">
        <f>B39</f>
        <v>0</v>
      </c>
      <c r="C40" s="296">
        <f aca="true" t="shared" si="20" ref="C40:AG40">C39+B40</f>
        <v>0</v>
      </c>
      <c r="D40" s="296">
        <f t="shared" si="20"/>
        <v>0</v>
      </c>
      <c r="E40" s="296">
        <f t="shared" si="20"/>
        <v>6262.8</v>
      </c>
      <c r="F40" s="620">
        <f t="shared" si="20"/>
        <v>12525.6</v>
      </c>
      <c r="G40" s="296">
        <f t="shared" si="20"/>
        <v>18788.4</v>
      </c>
      <c r="H40" s="296">
        <f t="shared" si="20"/>
        <v>25051.2</v>
      </c>
      <c r="I40" s="296">
        <f t="shared" si="20"/>
        <v>31314</v>
      </c>
      <c r="J40" s="296">
        <f t="shared" si="20"/>
        <v>37576.8</v>
      </c>
      <c r="K40" s="296">
        <f t="shared" si="20"/>
        <v>43839.600000000006</v>
      </c>
      <c r="L40" s="296">
        <f t="shared" si="20"/>
        <v>50102.40000000001</v>
      </c>
      <c r="M40" s="296">
        <f t="shared" si="20"/>
        <v>56365.20000000001</v>
      </c>
      <c r="N40" s="296">
        <f t="shared" si="20"/>
        <v>62628.000000000015</v>
      </c>
      <c r="O40" s="296">
        <f t="shared" si="20"/>
        <v>68890.80000000002</v>
      </c>
      <c r="P40" s="296">
        <f t="shared" si="20"/>
        <v>75153.60000000002</v>
      </c>
      <c r="Q40" s="296">
        <f t="shared" si="20"/>
        <v>81416.40000000002</v>
      </c>
      <c r="R40" s="296">
        <f t="shared" si="20"/>
        <v>87679.20000000003</v>
      </c>
      <c r="S40" s="296">
        <f t="shared" si="20"/>
        <v>93942.00000000003</v>
      </c>
      <c r="T40" s="296">
        <f t="shared" si="20"/>
        <v>100204.80000000003</v>
      </c>
      <c r="U40" s="296">
        <f t="shared" si="20"/>
        <v>106467.60000000003</v>
      </c>
      <c r="V40" s="296">
        <f t="shared" si="20"/>
        <v>112730.40000000004</v>
      </c>
      <c r="W40" s="296">
        <f t="shared" si="20"/>
        <v>118993.20000000004</v>
      </c>
      <c r="X40" s="296">
        <f t="shared" si="20"/>
        <v>125256.00000000004</v>
      </c>
      <c r="Y40" s="296">
        <f t="shared" si="20"/>
        <v>131518.80000000005</v>
      </c>
      <c r="Z40" s="296">
        <f t="shared" si="20"/>
        <v>137781.60000000003</v>
      </c>
      <c r="AA40" s="296">
        <f t="shared" si="20"/>
        <v>144044.40000000002</v>
      </c>
      <c r="AB40" s="296">
        <f t="shared" si="20"/>
        <v>150307.2</v>
      </c>
      <c r="AC40" s="296">
        <f t="shared" si="20"/>
        <v>156570</v>
      </c>
      <c r="AD40" s="296">
        <f t="shared" si="20"/>
        <v>162832.8</v>
      </c>
      <c r="AE40" s="296">
        <f t="shared" si="20"/>
        <v>169095.59999999998</v>
      </c>
      <c r="AF40" s="296">
        <f t="shared" si="20"/>
        <v>175358.39999999997</v>
      </c>
      <c r="AG40" s="296">
        <f t="shared" si="20"/>
        <v>181621.19999999995</v>
      </c>
    </row>
    <row r="41" spans="1:33" s="209" customFormat="1" ht="12.75">
      <c r="A41" s="206" t="s">
        <v>206</v>
      </c>
      <c r="B41" s="296">
        <f aca="true" t="shared" si="21" ref="B41:AG41">ROUND(IF(B37-B40&gt;0,B37-B40,0),0)</f>
        <v>0</v>
      </c>
      <c r="C41" s="296">
        <f t="shared" si="21"/>
        <v>47940</v>
      </c>
      <c r="D41" s="296">
        <f t="shared" si="21"/>
        <v>313140</v>
      </c>
      <c r="E41" s="296">
        <f t="shared" si="21"/>
        <v>306877</v>
      </c>
      <c r="F41" s="620">
        <f t="shared" si="21"/>
        <v>300614</v>
      </c>
      <c r="G41" s="296">
        <f t="shared" si="21"/>
        <v>294352</v>
      </c>
      <c r="H41" s="296">
        <f t="shared" si="21"/>
        <v>288089</v>
      </c>
      <c r="I41" s="296">
        <f t="shared" si="21"/>
        <v>281826</v>
      </c>
      <c r="J41" s="296">
        <f t="shared" si="21"/>
        <v>275563</v>
      </c>
      <c r="K41" s="296">
        <f t="shared" si="21"/>
        <v>269300</v>
      </c>
      <c r="L41" s="296">
        <f t="shared" si="21"/>
        <v>263038</v>
      </c>
      <c r="M41" s="296">
        <f t="shared" si="21"/>
        <v>256775</v>
      </c>
      <c r="N41" s="296">
        <f t="shared" si="21"/>
        <v>250512</v>
      </c>
      <c r="O41" s="296">
        <f t="shared" si="21"/>
        <v>244249</v>
      </c>
      <c r="P41" s="296">
        <f t="shared" si="21"/>
        <v>237986</v>
      </c>
      <c r="Q41" s="296">
        <f t="shared" si="21"/>
        <v>231724</v>
      </c>
      <c r="R41" s="296">
        <f t="shared" si="21"/>
        <v>225461</v>
      </c>
      <c r="S41" s="296">
        <f t="shared" si="21"/>
        <v>219198</v>
      </c>
      <c r="T41" s="296">
        <f t="shared" si="21"/>
        <v>212935</v>
      </c>
      <c r="U41" s="296">
        <f t="shared" si="21"/>
        <v>206672</v>
      </c>
      <c r="V41" s="296">
        <f t="shared" si="21"/>
        <v>200410</v>
      </c>
      <c r="W41" s="296">
        <f t="shared" si="21"/>
        <v>194147</v>
      </c>
      <c r="X41" s="296">
        <f t="shared" si="21"/>
        <v>187884</v>
      </c>
      <c r="Y41" s="296">
        <f t="shared" si="21"/>
        <v>181621</v>
      </c>
      <c r="Z41" s="296">
        <f t="shared" si="21"/>
        <v>175358</v>
      </c>
      <c r="AA41" s="296">
        <f t="shared" si="21"/>
        <v>169096</v>
      </c>
      <c r="AB41" s="296">
        <f t="shared" si="21"/>
        <v>162833</v>
      </c>
      <c r="AC41" s="296">
        <f t="shared" si="21"/>
        <v>156570</v>
      </c>
      <c r="AD41" s="296">
        <f t="shared" si="21"/>
        <v>150307</v>
      </c>
      <c r="AE41" s="296">
        <f t="shared" si="21"/>
        <v>144044</v>
      </c>
      <c r="AF41" s="296">
        <f t="shared" si="21"/>
        <v>137782</v>
      </c>
      <c r="AG41" s="296">
        <f t="shared" si="21"/>
        <v>131519</v>
      </c>
    </row>
    <row r="42" spans="1:33" s="209" customFormat="1" ht="12.75">
      <c r="A42" s="295" t="s">
        <v>14</v>
      </c>
      <c r="B42" s="292"/>
      <c r="C42" s="292"/>
      <c r="D42" s="292"/>
      <c r="E42" s="292"/>
      <c r="F42" s="625"/>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row>
    <row r="43" spans="1:33" s="209" customFormat="1" ht="12.75">
      <c r="A43" s="206" t="s">
        <v>202</v>
      </c>
      <c r="B43" s="296">
        <f>'Datu ievade'!B59</f>
        <v>0</v>
      </c>
      <c r="C43" s="296">
        <f>'Datu ievade'!C59+B43</f>
        <v>15300</v>
      </c>
      <c r="D43" s="296">
        <f>'Datu ievade'!D59+C43</f>
        <v>62360</v>
      </c>
      <c r="E43" s="296">
        <f>'Datu ievade'!E59+D43</f>
        <v>62360</v>
      </c>
      <c r="F43" s="620">
        <f>'Datu ievade'!F59+E43</f>
        <v>62360</v>
      </c>
      <c r="G43" s="296">
        <f>'Datu ievade'!G59+F43</f>
        <v>62360</v>
      </c>
      <c r="H43" s="296">
        <f>'Datu ievade'!H59+G43</f>
        <v>62360</v>
      </c>
      <c r="I43" s="296">
        <f>'Datu ievade'!I59+H43</f>
        <v>62360</v>
      </c>
      <c r="J43" s="296">
        <f>'Datu ievade'!J59+I43</f>
        <v>62360</v>
      </c>
      <c r="K43" s="296">
        <f>'Datu ievade'!K59+J43</f>
        <v>62360</v>
      </c>
      <c r="L43" s="296">
        <f>'Datu ievade'!L59+K43</f>
        <v>62360</v>
      </c>
      <c r="M43" s="296">
        <f>'Datu ievade'!M59+L43</f>
        <v>62360</v>
      </c>
      <c r="N43" s="296">
        <f>'Datu ievade'!N59+M43</f>
        <v>62360</v>
      </c>
      <c r="O43" s="296">
        <f>'Datu ievade'!O59+N43</f>
        <v>62360</v>
      </c>
      <c r="P43" s="296">
        <f>'Datu ievade'!P59+O43</f>
        <v>62360</v>
      </c>
      <c r="Q43" s="296">
        <f>'Datu ievade'!Q59+P43</f>
        <v>62360</v>
      </c>
      <c r="R43" s="296">
        <f>'Datu ievade'!R59+Q43</f>
        <v>62360</v>
      </c>
      <c r="S43" s="296">
        <f>'Datu ievade'!S59+R43</f>
        <v>62360</v>
      </c>
      <c r="T43" s="296">
        <f>'Datu ievade'!T59+S43</f>
        <v>62360</v>
      </c>
      <c r="U43" s="296">
        <f>'Datu ievade'!U59+T43</f>
        <v>62360</v>
      </c>
      <c r="V43" s="296">
        <f>'Datu ievade'!V59+U43</f>
        <v>62360</v>
      </c>
      <c r="W43" s="296">
        <f>'Datu ievade'!W59+V43</f>
        <v>62360</v>
      </c>
      <c r="X43" s="296">
        <f>'Datu ievade'!X59+W43</f>
        <v>62360</v>
      </c>
      <c r="Y43" s="296">
        <f>'Datu ievade'!Y59+X43</f>
        <v>62360</v>
      </c>
      <c r="Z43" s="296">
        <f>'Datu ievade'!Z59+Y43</f>
        <v>62360</v>
      </c>
      <c r="AA43" s="296">
        <f>'Datu ievade'!AA59+Z43</f>
        <v>62360</v>
      </c>
      <c r="AB43" s="296">
        <f>'Datu ievade'!AB59+AA43</f>
        <v>62360</v>
      </c>
      <c r="AC43" s="296">
        <f>'Datu ievade'!AC59+AB43</f>
        <v>62360</v>
      </c>
      <c r="AD43" s="296">
        <f>'Datu ievade'!AD59+AC43</f>
        <v>62360</v>
      </c>
      <c r="AE43" s="296">
        <f>'Datu ievade'!AE59+AD43</f>
        <v>62360</v>
      </c>
      <c r="AF43" s="296">
        <f>'Datu ievade'!AF59+AE43</f>
        <v>62360</v>
      </c>
      <c r="AG43" s="296">
        <f>'Datu ievade'!AG59+AF43</f>
        <v>62360</v>
      </c>
    </row>
    <row r="44" spans="1:33" s="209" customFormat="1" ht="12.75">
      <c r="A44" s="206" t="s">
        <v>203</v>
      </c>
      <c r="B44" s="297">
        <f>1/'Datu ievade'!$B$26</f>
        <v>0.06666666666666667</v>
      </c>
      <c r="C44" s="297">
        <f>1/'Datu ievade'!$B$26</f>
        <v>0.06666666666666667</v>
      </c>
      <c r="D44" s="297">
        <f>1/'Datu ievade'!$B$26</f>
        <v>0.06666666666666667</v>
      </c>
      <c r="E44" s="297">
        <f>1/'Datu ievade'!$B$26</f>
        <v>0.06666666666666667</v>
      </c>
      <c r="F44" s="626">
        <f>1/'Datu ievade'!$B$26</f>
        <v>0.06666666666666667</v>
      </c>
      <c r="G44" s="297">
        <f>1/'Datu ievade'!$B$26</f>
        <v>0.06666666666666667</v>
      </c>
      <c r="H44" s="297">
        <f>1/'Datu ievade'!$B$26</f>
        <v>0.06666666666666667</v>
      </c>
      <c r="I44" s="297">
        <f>1/'Datu ievade'!$B$26</f>
        <v>0.06666666666666667</v>
      </c>
      <c r="J44" s="297">
        <f>1/'Datu ievade'!$B$26</f>
        <v>0.06666666666666667</v>
      </c>
      <c r="K44" s="297">
        <f>1/'Datu ievade'!$B$26</f>
        <v>0.06666666666666667</v>
      </c>
      <c r="L44" s="297">
        <f>1/'Datu ievade'!$B$26</f>
        <v>0.06666666666666667</v>
      </c>
      <c r="M44" s="297">
        <f>1/'Datu ievade'!$B$26</f>
        <v>0.06666666666666667</v>
      </c>
      <c r="N44" s="297">
        <f>1/'Datu ievade'!$B$26</f>
        <v>0.06666666666666667</v>
      </c>
      <c r="O44" s="297">
        <f>1/'Datu ievade'!$B$26</f>
        <v>0.06666666666666667</v>
      </c>
      <c r="P44" s="297">
        <f>1/'Datu ievade'!$B$26</f>
        <v>0.06666666666666667</v>
      </c>
      <c r="Q44" s="297">
        <f>1/'Datu ievade'!$B$26</f>
        <v>0.06666666666666667</v>
      </c>
      <c r="R44" s="297">
        <f>1/'Datu ievade'!$B$26</f>
        <v>0.06666666666666667</v>
      </c>
      <c r="S44" s="297">
        <f>1/'Datu ievade'!$B$26</f>
        <v>0.06666666666666667</v>
      </c>
      <c r="T44" s="297">
        <f>1/'Datu ievade'!$B$26</f>
        <v>0.06666666666666667</v>
      </c>
      <c r="U44" s="297">
        <f>1/'Datu ievade'!$B$26</f>
        <v>0.06666666666666667</v>
      </c>
      <c r="V44" s="297">
        <f>1/'Datu ievade'!$B$26</f>
        <v>0.06666666666666667</v>
      </c>
      <c r="W44" s="297">
        <f>1/'Datu ievade'!$B$26</f>
        <v>0.06666666666666667</v>
      </c>
      <c r="X44" s="297">
        <f>1/'Datu ievade'!$B$26</f>
        <v>0.06666666666666667</v>
      </c>
      <c r="Y44" s="297">
        <f>1/'Datu ievade'!$B$26</f>
        <v>0.06666666666666667</v>
      </c>
      <c r="Z44" s="297">
        <f>1/'Datu ievade'!$B$26</f>
        <v>0.06666666666666667</v>
      </c>
      <c r="AA44" s="297">
        <f>1/'Datu ievade'!$B$26</f>
        <v>0.06666666666666667</v>
      </c>
      <c r="AB44" s="297">
        <f>1/'Datu ievade'!$B$26</f>
        <v>0.06666666666666667</v>
      </c>
      <c r="AC44" s="297">
        <f>1/'Datu ievade'!$B$26</f>
        <v>0.06666666666666667</v>
      </c>
      <c r="AD44" s="297">
        <f>1/'Datu ievade'!$B$26</f>
        <v>0.06666666666666667</v>
      </c>
      <c r="AE44" s="297">
        <f>1/'Datu ievade'!$B$26</f>
        <v>0.06666666666666667</v>
      </c>
      <c r="AF44" s="297">
        <f>1/'Datu ievade'!$B$26</f>
        <v>0.06666666666666667</v>
      </c>
      <c r="AG44" s="297">
        <f>1/'Datu ievade'!$B$26</f>
        <v>0.06666666666666667</v>
      </c>
    </row>
    <row r="45" spans="1:33" s="209" customFormat="1" ht="12.75">
      <c r="A45" s="206" t="s">
        <v>204</v>
      </c>
      <c r="B45" s="298">
        <v>0</v>
      </c>
      <c r="C45" s="296">
        <f aca="true" t="shared" si="22" ref="C45:AG45">IF(B47&gt;0,IF(C43-B43&gt;0,0,C44*C43),0)</f>
        <v>0</v>
      </c>
      <c r="D45" s="296">
        <f t="shared" si="22"/>
        <v>0</v>
      </c>
      <c r="E45" s="296">
        <f t="shared" si="22"/>
        <v>4157.333333333333</v>
      </c>
      <c r="F45" s="620">
        <f t="shared" si="22"/>
        <v>4157.333333333333</v>
      </c>
      <c r="G45" s="296">
        <f t="shared" si="22"/>
        <v>4157.333333333333</v>
      </c>
      <c r="H45" s="296">
        <f t="shared" si="22"/>
        <v>4157.333333333333</v>
      </c>
      <c r="I45" s="296">
        <f t="shared" si="22"/>
        <v>4157.333333333333</v>
      </c>
      <c r="J45" s="296">
        <f t="shared" si="22"/>
        <v>4157.333333333333</v>
      </c>
      <c r="K45" s="296">
        <f t="shared" si="22"/>
        <v>4157.333333333333</v>
      </c>
      <c r="L45" s="296">
        <f t="shared" si="22"/>
        <v>4157.333333333333</v>
      </c>
      <c r="M45" s="296">
        <f t="shared" si="22"/>
        <v>4157.333333333333</v>
      </c>
      <c r="N45" s="296">
        <f t="shared" si="22"/>
        <v>4157.333333333333</v>
      </c>
      <c r="O45" s="296">
        <f t="shared" si="22"/>
        <v>4157.333333333333</v>
      </c>
      <c r="P45" s="296">
        <f t="shared" si="22"/>
        <v>4157.333333333333</v>
      </c>
      <c r="Q45" s="296">
        <f t="shared" si="22"/>
        <v>4157.333333333333</v>
      </c>
      <c r="R45" s="296">
        <f t="shared" si="22"/>
        <v>4157.333333333333</v>
      </c>
      <c r="S45" s="296">
        <f t="shared" si="22"/>
        <v>4157.333333333333</v>
      </c>
      <c r="T45" s="296">
        <f t="shared" si="22"/>
        <v>0</v>
      </c>
      <c r="U45" s="296">
        <f t="shared" si="22"/>
        <v>0</v>
      </c>
      <c r="V45" s="296">
        <f t="shared" si="22"/>
        <v>0</v>
      </c>
      <c r="W45" s="296">
        <f t="shared" si="22"/>
        <v>0</v>
      </c>
      <c r="X45" s="296">
        <f t="shared" si="22"/>
        <v>0</v>
      </c>
      <c r="Y45" s="296">
        <f t="shared" si="22"/>
        <v>0</v>
      </c>
      <c r="Z45" s="296">
        <f t="shared" si="22"/>
        <v>0</v>
      </c>
      <c r="AA45" s="296">
        <f t="shared" si="22"/>
        <v>0</v>
      </c>
      <c r="AB45" s="296">
        <f t="shared" si="22"/>
        <v>0</v>
      </c>
      <c r="AC45" s="296">
        <f t="shared" si="22"/>
        <v>0</v>
      </c>
      <c r="AD45" s="296">
        <f t="shared" si="22"/>
        <v>0</v>
      </c>
      <c r="AE45" s="296">
        <f t="shared" si="22"/>
        <v>0</v>
      </c>
      <c r="AF45" s="296">
        <f t="shared" si="22"/>
        <v>0</v>
      </c>
      <c r="AG45" s="296">
        <f t="shared" si="22"/>
        <v>0</v>
      </c>
    </row>
    <row r="46" spans="1:33" s="209" customFormat="1" ht="12.75">
      <c r="A46" s="206" t="s">
        <v>205</v>
      </c>
      <c r="B46" s="296">
        <f>B45</f>
        <v>0</v>
      </c>
      <c r="C46" s="296">
        <f aca="true" t="shared" si="23" ref="C46:AG46">C45+B46</f>
        <v>0</v>
      </c>
      <c r="D46" s="296">
        <f t="shared" si="23"/>
        <v>0</v>
      </c>
      <c r="E46" s="296">
        <f t="shared" si="23"/>
        <v>4157.333333333333</v>
      </c>
      <c r="F46" s="620">
        <f t="shared" si="23"/>
        <v>8314.666666666666</v>
      </c>
      <c r="G46" s="296">
        <f t="shared" si="23"/>
        <v>12472</v>
      </c>
      <c r="H46" s="296">
        <f t="shared" si="23"/>
        <v>16629.333333333332</v>
      </c>
      <c r="I46" s="296">
        <f t="shared" si="23"/>
        <v>20786.666666666664</v>
      </c>
      <c r="J46" s="296">
        <f t="shared" si="23"/>
        <v>24943.999999999996</v>
      </c>
      <c r="K46" s="296">
        <f t="shared" si="23"/>
        <v>29101.33333333333</v>
      </c>
      <c r="L46" s="296">
        <f t="shared" si="23"/>
        <v>33258.666666666664</v>
      </c>
      <c r="M46" s="296">
        <f t="shared" si="23"/>
        <v>37416</v>
      </c>
      <c r="N46" s="296">
        <f t="shared" si="23"/>
        <v>41573.333333333336</v>
      </c>
      <c r="O46" s="296">
        <f t="shared" si="23"/>
        <v>45730.66666666667</v>
      </c>
      <c r="P46" s="296">
        <f t="shared" si="23"/>
        <v>49888.00000000001</v>
      </c>
      <c r="Q46" s="296">
        <f t="shared" si="23"/>
        <v>54045.33333333334</v>
      </c>
      <c r="R46" s="296">
        <f t="shared" si="23"/>
        <v>58202.66666666668</v>
      </c>
      <c r="S46" s="296">
        <f t="shared" si="23"/>
        <v>62360.000000000015</v>
      </c>
      <c r="T46" s="296">
        <f t="shared" si="23"/>
        <v>62360.000000000015</v>
      </c>
      <c r="U46" s="296">
        <f t="shared" si="23"/>
        <v>62360.000000000015</v>
      </c>
      <c r="V46" s="296">
        <f t="shared" si="23"/>
        <v>62360.000000000015</v>
      </c>
      <c r="W46" s="296">
        <f t="shared" si="23"/>
        <v>62360.000000000015</v>
      </c>
      <c r="X46" s="296">
        <f t="shared" si="23"/>
        <v>62360.000000000015</v>
      </c>
      <c r="Y46" s="296">
        <f t="shared" si="23"/>
        <v>62360.000000000015</v>
      </c>
      <c r="Z46" s="296">
        <f t="shared" si="23"/>
        <v>62360.000000000015</v>
      </c>
      <c r="AA46" s="296">
        <f t="shared" si="23"/>
        <v>62360.000000000015</v>
      </c>
      <c r="AB46" s="296">
        <f t="shared" si="23"/>
        <v>62360.000000000015</v>
      </c>
      <c r="AC46" s="296">
        <f t="shared" si="23"/>
        <v>62360.000000000015</v>
      </c>
      <c r="AD46" s="296">
        <f t="shared" si="23"/>
        <v>62360.000000000015</v>
      </c>
      <c r="AE46" s="296">
        <f t="shared" si="23"/>
        <v>62360.000000000015</v>
      </c>
      <c r="AF46" s="296">
        <f t="shared" si="23"/>
        <v>62360.000000000015</v>
      </c>
      <c r="AG46" s="296">
        <f t="shared" si="23"/>
        <v>62360.000000000015</v>
      </c>
    </row>
    <row r="47" spans="1:33" s="209" customFormat="1" ht="12.75">
      <c r="A47" s="206" t="s">
        <v>206</v>
      </c>
      <c r="B47" s="296">
        <f aca="true" t="shared" si="24" ref="B47:AG47">ROUND(IF(B43-B46&gt;0,B43-B46,0),0)</f>
        <v>0</v>
      </c>
      <c r="C47" s="296">
        <f t="shared" si="24"/>
        <v>15300</v>
      </c>
      <c r="D47" s="296">
        <f t="shared" si="24"/>
        <v>62360</v>
      </c>
      <c r="E47" s="296">
        <f t="shared" si="24"/>
        <v>58203</v>
      </c>
      <c r="F47" s="620">
        <f t="shared" si="24"/>
        <v>54045</v>
      </c>
      <c r="G47" s="296">
        <f t="shared" si="24"/>
        <v>49888</v>
      </c>
      <c r="H47" s="296">
        <f t="shared" si="24"/>
        <v>45731</v>
      </c>
      <c r="I47" s="296">
        <f t="shared" si="24"/>
        <v>41573</v>
      </c>
      <c r="J47" s="296">
        <f t="shared" si="24"/>
        <v>37416</v>
      </c>
      <c r="K47" s="296">
        <f t="shared" si="24"/>
        <v>33259</v>
      </c>
      <c r="L47" s="296">
        <f t="shared" si="24"/>
        <v>29101</v>
      </c>
      <c r="M47" s="296">
        <f t="shared" si="24"/>
        <v>24944</v>
      </c>
      <c r="N47" s="296">
        <f t="shared" si="24"/>
        <v>20787</v>
      </c>
      <c r="O47" s="296">
        <f t="shared" si="24"/>
        <v>16629</v>
      </c>
      <c r="P47" s="296">
        <f t="shared" si="24"/>
        <v>12472</v>
      </c>
      <c r="Q47" s="296">
        <f t="shared" si="24"/>
        <v>8315</v>
      </c>
      <c r="R47" s="296">
        <f t="shared" si="24"/>
        <v>4157</v>
      </c>
      <c r="S47" s="296">
        <f t="shared" si="24"/>
        <v>0</v>
      </c>
      <c r="T47" s="296">
        <f t="shared" si="24"/>
        <v>0</v>
      </c>
      <c r="U47" s="296">
        <f t="shared" si="24"/>
        <v>0</v>
      </c>
      <c r="V47" s="296">
        <f t="shared" si="24"/>
        <v>0</v>
      </c>
      <c r="W47" s="296">
        <f t="shared" si="24"/>
        <v>0</v>
      </c>
      <c r="X47" s="296">
        <f t="shared" si="24"/>
        <v>0</v>
      </c>
      <c r="Y47" s="296">
        <f t="shared" si="24"/>
        <v>0</v>
      </c>
      <c r="Z47" s="296">
        <f t="shared" si="24"/>
        <v>0</v>
      </c>
      <c r="AA47" s="296">
        <f t="shared" si="24"/>
        <v>0</v>
      </c>
      <c r="AB47" s="296">
        <f t="shared" si="24"/>
        <v>0</v>
      </c>
      <c r="AC47" s="296">
        <f t="shared" si="24"/>
        <v>0</v>
      </c>
      <c r="AD47" s="296">
        <f t="shared" si="24"/>
        <v>0</v>
      </c>
      <c r="AE47" s="296">
        <f t="shared" si="24"/>
        <v>0</v>
      </c>
      <c r="AF47" s="296">
        <f t="shared" si="24"/>
        <v>0</v>
      </c>
      <c r="AG47" s="296">
        <f t="shared" si="24"/>
        <v>0</v>
      </c>
    </row>
    <row r="48" spans="1:33" s="209" customFormat="1" ht="12.75">
      <c r="A48" s="295" t="s">
        <v>15</v>
      </c>
      <c r="B48" s="292"/>
      <c r="C48" s="292"/>
      <c r="D48" s="292"/>
      <c r="E48" s="292"/>
      <c r="F48" s="625"/>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row>
    <row r="49" spans="1:33" s="209" customFormat="1" ht="12.75">
      <c r="A49" s="206" t="s">
        <v>202</v>
      </c>
      <c r="B49" s="299">
        <f>'Datu ievade'!B60+'Datu ievade'!B61+'Datu ievade'!B62</f>
        <v>0</v>
      </c>
      <c r="C49" s="299">
        <f>'Datu ievade'!C60+'Datu ievade'!C61+'Datu ievade'!C62+B49</f>
        <v>6528</v>
      </c>
      <c r="D49" s="299">
        <f>'Datu ievade'!D60+'Datu ievade'!D61+'Datu ievade'!D62+C49</f>
        <v>11728</v>
      </c>
      <c r="E49" s="299">
        <f>'Datu ievade'!E60+'Datu ievade'!E61+'Datu ievade'!E62+D49</f>
        <v>11728</v>
      </c>
      <c r="F49" s="299">
        <f>'Datu ievade'!F60+'Datu ievade'!F61+'Datu ievade'!F62+E49</f>
        <v>11728</v>
      </c>
      <c r="G49" s="299">
        <f>'Datu ievade'!G60+'Datu ievade'!G61+'Datu ievade'!G62+F49</f>
        <v>11728</v>
      </c>
      <c r="H49" s="299">
        <f>'Datu ievade'!H60+'Datu ievade'!H61+'Datu ievade'!H62+G49</f>
        <v>11728</v>
      </c>
      <c r="I49" s="299">
        <f>'Datu ievade'!I60+'Datu ievade'!I61+'Datu ievade'!I62+H49</f>
        <v>11728</v>
      </c>
      <c r="J49" s="299">
        <f>'Datu ievade'!J60+'Datu ievade'!J61+'Datu ievade'!J62+I49</f>
        <v>11728</v>
      </c>
      <c r="K49" s="299">
        <f>'Datu ievade'!K60+'Datu ievade'!K61+'Datu ievade'!K62+J49</f>
        <v>11728</v>
      </c>
      <c r="L49" s="299">
        <f>'Datu ievade'!L60+'Datu ievade'!L61+'Datu ievade'!L62+K49</f>
        <v>11728</v>
      </c>
      <c r="M49" s="299">
        <f>'Datu ievade'!M60+'Datu ievade'!M61+'Datu ievade'!M62+L49</f>
        <v>11728</v>
      </c>
      <c r="N49" s="299">
        <f>'Datu ievade'!N60+'Datu ievade'!N61+'Datu ievade'!N62+M49</f>
        <v>11728</v>
      </c>
      <c r="O49" s="299">
        <f>'Datu ievade'!O60+'Datu ievade'!O61+'Datu ievade'!O62+N49</f>
        <v>11728</v>
      </c>
      <c r="P49" s="299">
        <f>'Datu ievade'!P60+'Datu ievade'!P61+'Datu ievade'!P62+O49</f>
        <v>11728</v>
      </c>
      <c r="Q49" s="299">
        <f>'Datu ievade'!Q60+'Datu ievade'!Q61+'Datu ievade'!Q62+P49</f>
        <v>11728</v>
      </c>
      <c r="R49" s="299">
        <f>'Datu ievade'!R60+'Datu ievade'!R61+'Datu ievade'!R62+Q49</f>
        <v>11728</v>
      </c>
      <c r="S49" s="299">
        <f>'Datu ievade'!S60+'Datu ievade'!S61+'Datu ievade'!S62+R49</f>
        <v>11728</v>
      </c>
      <c r="T49" s="299">
        <f>'Datu ievade'!T60+'Datu ievade'!T61+'Datu ievade'!T62+S49</f>
        <v>11728</v>
      </c>
      <c r="U49" s="299">
        <f>'Datu ievade'!U60+'Datu ievade'!U61+'Datu ievade'!U62+T49</f>
        <v>11728</v>
      </c>
      <c r="V49" s="299">
        <f>'Datu ievade'!V60+'Datu ievade'!V61+'Datu ievade'!V62+U49</f>
        <v>11728</v>
      </c>
      <c r="W49" s="299">
        <f>'Datu ievade'!W60+'Datu ievade'!W61+'Datu ievade'!W62+V49</f>
        <v>11728</v>
      </c>
      <c r="X49" s="299">
        <f>'Datu ievade'!X60+'Datu ievade'!X61+'Datu ievade'!X62+W49</f>
        <v>11728</v>
      </c>
      <c r="Y49" s="299">
        <f>'Datu ievade'!Y60+'Datu ievade'!Y61+'Datu ievade'!Y62+X49</f>
        <v>11728</v>
      </c>
      <c r="Z49" s="299">
        <f>'Datu ievade'!Z60+'Datu ievade'!Z61+'Datu ievade'!Z62+Y49</f>
        <v>11728</v>
      </c>
      <c r="AA49" s="299">
        <f>'Datu ievade'!AA60+'Datu ievade'!AA61+'Datu ievade'!AA62+Z49</f>
        <v>11728</v>
      </c>
      <c r="AB49" s="299">
        <f>'Datu ievade'!AB60+'Datu ievade'!AB61+'Datu ievade'!AB62+AA49</f>
        <v>11728</v>
      </c>
      <c r="AC49" s="299">
        <f>'Datu ievade'!AC60+'Datu ievade'!AC61+'Datu ievade'!AC62+AB49</f>
        <v>11728</v>
      </c>
      <c r="AD49" s="299">
        <f>'Datu ievade'!AD60+'Datu ievade'!AD61+'Datu ievade'!AD62+AC49</f>
        <v>11728</v>
      </c>
      <c r="AE49" s="299">
        <f>'Datu ievade'!AE60+'Datu ievade'!AE61+'Datu ievade'!AE62+AD49</f>
        <v>11728</v>
      </c>
      <c r="AF49" s="299">
        <f>'Datu ievade'!AF60+'Datu ievade'!AF61+'Datu ievade'!AF62+AE49</f>
        <v>11728</v>
      </c>
      <c r="AG49" s="299">
        <f>'Datu ievade'!AG60+'Datu ievade'!AG61+'Datu ievade'!AG62+AF49</f>
        <v>11728</v>
      </c>
    </row>
    <row r="50" spans="1:33" s="209" customFormat="1" ht="12.75">
      <c r="A50" s="206" t="s">
        <v>203</v>
      </c>
      <c r="B50" s="297">
        <f>1/'Datu ievade'!$B$27</f>
        <v>0.1</v>
      </c>
      <c r="C50" s="297">
        <f>1/'Datu ievade'!$B$27</f>
        <v>0.1</v>
      </c>
      <c r="D50" s="297">
        <f>1/'Datu ievade'!$B$27</f>
        <v>0.1</v>
      </c>
      <c r="E50" s="297">
        <f>1/'Datu ievade'!$B$27</f>
        <v>0.1</v>
      </c>
      <c r="F50" s="626">
        <f>1/'Datu ievade'!$B$27</f>
        <v>0.1</v>
      </c>
      <c r="G50" s="297">
        <f>1/'Datu ievade'!$B$27</f>
        <v>0.1</v>
      </c>
      <c r="H50" s="297">
        <f>1/'Datu ievade'!$B$27</f>
        <v>0.1</v>
      </c>
      <c r="I50" s="297">
        <f>1/'Datu ievade'!$B$27</f>
        <v>0.1</v>
      </c>
      <c r="J50" s="297">
        <f>1/'Datu ievade'!$B$27</f>
        <v>0.1</v>
      </c>
      <c r="K50" s="297">
        <f>1/'Datu ievade'!$B$27</f>
        <v>0.1</v>
      </c>
      <c r="L50" s="297">
        <f>1/'Datu ievade'!$B$27</f>
        <v>0.1</v>
      </c>
      <c r="M50" s="297">
        <f>1/'Datu ievade'!$B$27</f>
        <v>0.1</v>
      </c>
      <c r="N50" s="297">
        <f>1/'Datu ievade'!$B$27</f>
        <v>0.1</v>
      </c>
      <c r="O50" s="297">
        <f>1/'Datu ievade'!$B$27</f>
        <v>0.1</v>
      </c>
      <c r="P50" s="297">
        <f>1/'Datu ievade'!$B$27</f>
        <v>0.1</v>
      </c>
      <c r="Q50" s="297">
        <f>1/'Datu ievade'!$B$27</f>
        <v>0.1</v>
      </c>
      <c r="R50" s="297">
        <f>1/'Datu ievade'!$B$27</f>
        <v>0.1</v>
      </c>
      <c r="S50" s="297">
        <f>1/'Datu ievade'!$B$27</f>
        <v>0.1</v>
      </c>
      <c r="T50" s="297">
        <f>1/'Datu ievade'!$B$27</f>
        <v>0.1</v>
      </c>
      <c r="U50" s="297">
        <f>1/'Datu ievade'!$B$27</f>
        <v>0.1</v>
      </c>
      <c r="V50" s="297">
        <f>1/'Datu ievade'!$B$27</f>
        <v>0.1</v>
      </c>
      <c r="W50" s="297">
        <f>1/'Datu ievade'!$B$27</f>
        <v>0.1</v>
      </c>
      <c r="X50" s="297">
        <f>1/'Datu ievade'!$B$27</f>
        <v>0.1</v>
      </c>
      <c r="Y50" s="297">
        <f>1/'Datu ievade'!$B$27</f>
        <v>0.1</v>
      </c>
      <c r="Z50" s="297">
        <f>1/'Datu ievade'!$B$27</f>
        <v>0.1</v>
      </c>
      <c r="AA50" s="297">
        <f>1/'Datu ievade'!$B$27</f>
        <v>0.1</v>
      </c>
      <c r="AB50" s="297">
        <f>1/'Datu ievade'!$B$27</f>
        <v>0.1</v>
      </c>
      <c r="AC50" s="297">
        <f>1/'Datu ievade'!$B$27</f>
        <v>0.1</v>
      </c>
      <c r="AD50" s="297">
        <f>1/'Datu ievade'!$B$27</f>
        <v>0.1</v>
      </c>
      <c r="AE50" s="297">
        <f>1/'Datu ievade'!$B$27</f>
        <v>0.1</v>
      </c>
      <c r="AF50" s="297">
        <f>1/'Datu ievade'!$B$27</f>
        <v>0.1</v>
      </c>
      <c r="AG50" s="297">
        <f>1/'Datu ievade'!$B$27</f>
        <v>0.1</v>
      </c>
    </row>
    <row r="51" spans="1:33" s="209" customFormat="1" ht="12.75">
      <c r="A51" s="206" t="s">
        <v>204</v>
      </c>
      <c r="B51" s="298">
        <v>0</v>
      </c>
      <c r="C51" s="296">
        <f aca="true" t="shared" si="25" ref="C51:AG51">IF(B53&gt;0,IF(C49-B49&gt;0,0,C50*C49),0)</f>
        <v>0</v>
      </c>
      <c r="D51" s="296">
        <f t="shared" si="25"/>
        <v>0</v>
      </c>
      <c r="E51" s="296">
        <f t="shared" si="25"/>
        <v>1172.8</v>
      </c>
      <c r="F51" s="620">
        <f t="shared" si="25"/>
        <v>1172.8</v>
      </c>
      <c r="G51" s="296">
        <f t="shared" si="25"/>
        <v>1172.8</v>
      </c>
      <c r="H51" s="296">
        <f t="shared" si="25"/>
        <v>1172.8</v>
      </c>
      <c r="I51" s="296">
        <f t="shared" si="25"/>
        <v>1172.8</v>
      </c>
      <c r="J51" s="296">
        <f t="shared" si="25"/>
        <v>1172.8</v>
      </c>
      <c r="K51" s="296">
        <f t="shared" si="25"/>
        <v>1172.8</v>
      </c>
      <c r="L51" s="296">
        <f t="shared" si="25"/>
        <v>1172.8</v>
      </c>
      <c r="M51" s="296">
        <f t="shared" si="25"/>
        <v>1172.8</v>
      </c>
      <c r="N51" s="296">
        <f t="shared" si="25"/>
        <v>1172.8</v>
      </c>
      <c r="O51" s="296">
        <f t="shared" si="25"/>
        <v>0</v>
      </c>
      <c r="P51" s="296">
        <f t="shared" si="25"/>
        <v>0</v>
      </c>
      <c r="Q51" s="296">
        <f t="shared" si="25"/>
        <v>0</v>
      </c>
      <c r="R51" s="296">
        <f t="shared" si="25"/>
        <v>0</v>
      </c>
      <c r="S51" s="296">
        <f t="shared" si="25"/>
        <v>0</v>
      </c>
      <c r="T51" s="296">
        <f t="shared" si="25"/>
        <v>0</v>
      </c>
      <c r="U51" s="296">
        <f t="shared" si="25"/>
        <v>0</v>
      </c>
      <c r="V51" s="296">
        <f t="shared" si="25"/>
        <v>0</v>
      </c>
      <c r="W51" s="296">
        <f t="shared" si="25"/>
        <v>0</v>
      </c>
      <c r="X51" s="296">
        <f t="shared" si="25"/>
        <v>0</v>
      </c>
      <c r="Y51" s="296">
        <f t="shared" si="25"/>
        <v>0</v>
      </c>
      <c r="Z51" s="296">
        <f t="shared" si="25"/>
        <v>0</v>
      </c>
      <c r="AA51" s="296">
        <f t="shared" si="25"/>
        <v>0</v>
      </c>
      <c r="AB51" s="296">
        <f t="shared" si="25"/>
        <v>0</v>
      </c>
      <c r="AC51" s="296">
        <f t="shared" si="25"/>
        <v>0</v>
      </c>
      <c r="AD51" s="296">
        <f t="shared" si="25"/>
        <v>0</v>
      </c>
      <c r="AE51" s="296">
        <f t="shared" si="25"/>
        <v>0</v>
      </c>
      <c r="AF51" s="296">
        <f t="shared" si="25"/>
        <v>0</v>
      </c>
      <c r="AG51" s="296">
        <f t="shared" si="25"/>
        <v>0</v>
      </c>
    </row>
    <row r="52" spans="1:33" s="209" customFormat="1" ht="12.75">
      <c r="A52" s="206" t="s">
        <v>205</v>
      </c>
      <c r="B52" s="296">
        <f>B51</f>
        <v>0</v>
      </c>
      <c r="C52" s="296">
        <f aca="true" t="shared" si="26" ref="C52:AG52">C51+B52</f>
        <v>0</v>
      </c>
      <c r="D52" s="296">
        <f t="shared" si="26"/>
        <v>0</v>
      </c>
      <c r="E52" s="296">
        <f t="shared" si="26"/>
        <v>1172.8</v>
      </c>
      <c r="F52" s="620">
        <f t="shared" si="26"/>
        <v>2345.6</v>
      </c>
      <c r="G52" s="296">
        <f t="shared" si="26"/>
        <v>3518.3999999999996</v>
      </c>
      <c r="H52" s="296">
        <f t="shared" si="26"/>
        <v>4691.2</v>
      </c>
      <c r="I52" s="296">
        <f t="shared" si="26"/>
        <v>5864</v>
      </c>
      <c r="J52" s="296">
        <f t="shared" si="26"/>
        <v>7036.8</v>
      </c>
      <c r="K52" s="296">
        <f t="shared" si="26"/>
        <v>8209.6</v>
      </c>
      <c r="L52" s="296">
        <f t="shared" si="26"/>
        <v>9382.4</v>
      </c>
      <c r="M52" s="296">
        <f t="shared" si="26"/>
        <v>10555.199999999999</v>
      </c>
      <c r="N52" s="296">
        <f t="shared" si="26"/>
        <v>11727.999999999998</v>
      </c>
      <c r="O52" s="296">
        <f t="shared" si="26"/>
        <v>11727.999999999998</v>
      </c>
      <c r="P52" s="296">
        <f t="shared" si="26"/>
        <v>11727.999999999998</v>
      </c>
      <c r="Q52" s="296">
        <f t="shared" si="26"/>
        <v>11727.999999999998</v>
      </c>
      <c r="R52" s="296">
        <f t="shared" si="26"/>
        <v>11727.999999999998</v>
      </c>
      <c r="S52" s="296">
        <f t="shared" si="26"/>
        <v>11727.999999999998</v>
      </c>
      <c r="T52" s="296">
        <f t="shared" si="26"/>
        <v>11727.999999999998</v>
      </c>
      <c r="U52" s="296">
        <f t="shared" si="26"/>
        <v>11727.999999999998</v>
      </c>
      <c r="V52" s="296">
        <f t="shared" si="26"/>
        <v>11727.999999999998</v>
      </c>
      <c r="W52" s="296">
        <f t="shared" si="26"/>
        <v>11727.999999999998</v>
      </c>
      <c r="X52" s="296">
        <f t="shared" si="26"/>
        <v>11727.999999999998</v>
      </c>
      <c r="Y52" s="296">
        <f t="shared" si="26"/>
        <v>11727.999999999998</v>
      </c>
      <c r="Z52" s="296">
        <f t="shared" si="26"/>
        <v>11727.999999999998</v>
      </c>
      <c r="AA52" s="296">
        <f t="shared" si="26"/>
        <v>11727.999999999998</v>
      </c>
      <c r="AB52" s="296">
        <f t="shared" si="26"/>
        <v>11727.999999999998</v>
      </c>
      <c r="AC52" s="296">
        <f t="shared" si="26"/>
        <v>11727.999999999998</v>
      </c>
      <c r="AD52" s="296">
        <f t="shared" si="26"/>
        <v>11727.999999999998</v>
      </c>
      <c r="AE52" s="296">
        <f t="shared" si="26"/>
        <v>11727.999999999998</v>
      </c>
      <c r="AF52" s="296">
        <f t="shared" si="26"/>
        <v>11727.999999999998</v>
      </c>
      <c r="AG52" s="296">
        <f t="shared" si="26"/>
        <v>11727.999999999998</v>
      </c>
    </row>
    <row r="53" spans="1:33" s="209" customFormat="1" ht="12.75">
      <c r="A53" s="206" t="s">
        <v>206</v>
      </c>
      <c r="B53" s="296">
        <f aca="true" t="shared" si="27" ref="B53:AG53">ROUND(IF(B49-B52&gt;0,B49-B52,0),0)</f>
        <v>0</v>
      </c>
      <c r="C53" s="296">
        <f t="shared" si="27"/>
        <v>6528</v>
      </c>
      <c r="D53" s="296">
        <f t="shared" si="27"/>
        <v>11728</v>
      </c>
      <c r="E53" s="296">
        <f t="shared" si="27"/>
        <v>10555</v>
      </c>
      <c r="F53" s="620">
        <f t="shared" si="27"/>
        <v>9382</v>
      </c>
      <c r="G53" s="296">
        <f t="shared" si="27"/>
        <v>8210</v>
      </c>
      <c r="H53" s="296">
        <f t="shared" si="27"/>
        <v>7037</v>
      </c>
      <c r="I53" s="296">
        <f t="shared" si="27"/>
        <v>5864</v>
      </c>
      <c r="J53" s="296">
        <f t="shared" si="27"/>
        <v>4691</v>
      </c>
      <c r="K53" s="296">
        <f t="shared" si="27"/>
        <v>3518</v>
      </c>
      <c r="L53" s="296">
        <f t="shared" si="27"/>
        <v>2346</v>
      </c>
      <c r="M53" s="296">
        <f t="shared" si="27"/>
        <v>1173</v>
      </c>
      <c r="N53" s="296">
        <f t="shared" si="27"/>
        <v>0</v>
      </c>
      <c r="O53" s="296">
        <f t="shared" si="27"/>
        <v>0</v>
      </c>
      <c r="P53" s="296">
        <f t="shared" si="27"/>
        <v>0</v>
      </c>
      <c r="Q53" s="296">
        <f t="shared" si="27"/>
        <v>0</v>
      </c>
      <c r="R53" s="296">
        <f t="shared" si="27"/>
        <v>0</v>
      </c>
      <c r="S53" s="296">
        <f t="shared" si="27"/>
        <v>0</v>
      </c>
      <c r="T53" s="296">
        <f t="shared" si="27"/>
        <v>0</v>
      </c>
      <c r="U53" s="296">
        <f t="shared" si="27"/>
        <v>0</v>
      </c>
      <c r="V53" s="296">
        <f t="shared" si="27"/>
        <v>0</v>
      </c>
      <c r="W53" s="296">
        <f t="shared" si="27"/>
        <v>0</v>
      </c>
      <c r="X53" s="296">
        <f t="shared" si="27"/>
        <v>0</v>
      </c>
      <c r="Y53" s="296">
        <f t="shared" si="27"/>
        <v>0</v>
      </c>
      <c r="Z53" s="296">
        <f t="shared" si="27"/>
        <v>0</v>
      </c>
      <c r="AA53" s="296">
        <f t="shared" si="27"/>
        <v>0</v>
      </c>
      <c r="AB53" s="296">
        <f t="shared" si="27"/>
        <v>0</v>
      </c>
      <c r="AC53" s="296">
        <f t="shared" si="27"/>
        <v>0</v>
      </c>
      <c r="AD53" s="296">
        <f t="shared" si="27"/>
        <v>0</v>
      </c>
      <c r="AE53" s="296">
        <f t="shared" si="27"/>
        <v>0</v>
      </c>
      <c r="AF53" s="296">
        <f t="shared" si="27"/>
        <v>0</v>
      </c>
      <c r="AG53" s="296">
        <f t="shared" si="27"/>
        <v>0</v>
      </c>
    </row>
    <row r="54" spans="1:33" s="209" customFormat="1" ht="12.75">
      <c r="A54" s="300"/>
      <c r="B54" s="292"/>
      <c r="C54" s="292"/>
      <c r="D54" s="292"/>
      <c r="E54" s="292"/>
      <c r="F54" s="625"/>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3" s="209" customFormat="1" ht="13.5">
      <c r="A55" s="301" t="s">
        <v>207</v>
      </c>
      <c r="B55" s="302"/>
      <c r="C55" s="302"/>
      <c r="D55" s="302"/>
      <c r="E55" s="302"/>
      <c r="F55" s="628"/>
      <c r="G55" s="302"/>
      <c r="H55" s="30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row>
    <row r="56" spans="1:33" s="209" customFormat="1" ht="12.75">
      <c r="A56" s="295" t="s">
        <v>13</v>
      </c>
      <c r="B56" s="292"/>
      <c r="C56" s="292"/>
      <c r="D56" s="292"/>
      <c r="E56" s="292"/>
      <c r="F56" s="625"/>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row>
    <row r="57" spans="1:33" s="209" customFormat="1" ht="12.75">
      <c r="A57" s="206" t="s">
        <v>202</v>
      </c>
      <c r="B57" s="296">
        <f>'Datu ievade'!B65</f>
        <v>0</v>
      </c>
      <c r="C57" s="296">
        <f>'Datu ievade'!C65+B57</f>
        <v>39780</v>
      </c>
      <c r="D57" s="296">
        <f>'Datu ievade'!D65+C57</f>
        <v>257140</v>
      </c>
      <c r="E57" s="296">
        <f>'Datu ievade'!E65+D57</f>
        <v>257140</v>
      </c>
      <c r="F57" s="620">
        <f>'Datu ievade'!F65+E57</f>
        <v>257140</v>
      </c>
      <c r="G57" s="296">
        <f>'Datu ievade'!G65+F57</f>
        <v>257140</v>
      </c>
      <c r="H57" s="296">
        <f>'Datu ievade'!H65+G57</f>
        <v>257140</v>
      </c>
      <c r="I57" s="296">
        <f>'Datu ievade'!I65+H57</f>
        <v>257140</v>
      </c>
      <c r="J57" s="296">
        <f>'Datu ievade'!J65+I57</f>
        <v>257140</v>
      </c>
      <c r="K57" s="296">
        <f>'Datu ievade'!K65+J57</f>
        <v>257140</v>
      </c>
      <c r="L57" s="296">
        <f>'Datu ievade'!L65+K57</f>
        <v>257140</v>
      </c>
      <c r="M57" s="296">
        <f>'Datu ievade'!M65+L57</f>
        <v>257140</v>
      </c>
      <c r="N57" s="296">
        <f>'Datu ievade'!N65+M57</f>
        <v>257140</v>
      </c>
      <c r="O57" s="296">
        <f>'Datu ievade'!O65+N57</f>
        <v>257140</v>
      </c>
      <c r="P57" s="296">
        <f>'Datu ievade'!P65+O57</f>
        <v>257140</v>
      </c>
      <c r="Q57" s="296">
        <f>'Datu ievade'!Q65+P57</f>
        <v>257140</v>
      </c>
      <c r="R57" s="296">
        <f>'Datu ievade'!R65+Q57</f>
        <v>257140</v>
      </c>
      <c r="S57" s="296">
        <f>'Datu ievade'!S65+R57</f>
        <v>257140</v>
      </c>
      <c r="T57" s="296">
        <f>'Datu ievade'!T65+S57</f>
        <v>257140</v>
      </c>
      <c r="U57" s="296">
        <f>'Datu ievade'!U65+T57</f>
        <v>257140</v>
      </c>
      <c r="V57" s="296">
        <f>'Datu ievade'!V65+U57</f>
        <v>257140</v>
      </c>
      <c r="W57" s="296">
        <f>'Datu ievade'!W65+V57</f>
        <v>257140</v>
      </c>
      <c r="X57" s="296">
        <f>'Datu ievade'!X65+W57</f>
        <v>257140</v>
      </c>
      <c r="Y57" s="296">
        <f>'Datu ievade'!Y65+X57</f>
        <v>257140</v>
      </c>
      <c r="Z57" s="296">
        <f>'Datu ievade'!Z65+Y57</f>
        <v>257140</v>
      </c>
      <c r="AA57" s="296">
        <f>'Datu ievade'!AA65+Z57</f>
        <v>257140</v>
      </c>
      <c r="AB57" s="296">
        <f>'Datu ievade'!AB65+AA57</f>
        <v>257140</v>
      </c>
      <c r="AC57" s="296">
        <f>'Datu ievade'!AC65+AB57</f>
        <v>257140</v>
      </c>
      <c r="AD57" s="296">
        <f>'Datu ievade'!AD65+AC57</f>
        <v>257140</v>
      </c>
      <c r="AE57" s="296">
        <f>'Datu ievade'!AE65+AD57</f>
        <v>257140</v>
      </c>
      <c r="AF57" s="296">
        <f>'Datu ievade'!AF65+AE57</f>
        <v>257140</v>
      </c>
      <c r="AG57" s="296">
        <f>'Datu ievade'!AG65+AF57</f>
        <v>257140</v>
      </c>
    </row>
    <row r="58" spans="1:33" s="209" customFormat="1" ht="12.75">
      <c r="A58" s="206" t="s">
        <v>203</v>
      </c>
      <c r="B58" s="297">
        <f>1/'Datu ievade'!$B$23</f>
        <v>0.02</v>
      </c>
      <c r="C58" s="297">
        <f>1/'Datu ievade'!$B$23</f>
        <v>0.02</v>
      </c>
      <c r="D58" s="297">
        <f>1/'Datu ievade'!$B$23</f>
        <v>0.02</v>
      </c>
      <c r="E58" s="297">
        <f>1/'Datu ievade'!$B$23</f>
        <v>0.02</v>
      </c>
      <c r="F58" s="626">
        <f>1/'Datu ievade'!$B$23</f>
        <v>0.02</v>
      </c>
      <c r="G58" s="297">
        <f>1/'Datu ievade'!$B$23</f>
        <v>0.02</v>
      </c>
      <c r="H58" s="297">
        <f>1/'Datu ievade'!$B$23</f>
        <v>0.02</v>
      </c>
      <c r="I58" s="297">
        <f>1/'Datu ievade'!$B$23</f>
        <v>0.02</v>
      </c>
      <c r="J58" s="297">
        <f>1/'Datu ievade'!$B$23</f>
        <v>0.02</v>
      </c>
      <c r="K58" s="297">
        <f>1/'Datu ievade'!$B$23</f>
        <v>0.02</v>
      </c>
      <c r="L58" s="297">
        <f>1/'Datu ievade'!$B$23</f>
        <v>0.02</v>
      </c>
      <c r="M58" s="297">
        <f>1/'Datu ievade'!$B$23</f>
        <v>0.02</v>
      </c>
      <c r="N58" s="297">
        <f>1/'Datu ievade'!$B$23</f>
        <v>0.02</v>
      </c>
      <c r="O58" s="297">
        <f>1/'Datu ievade'!$B$23</f>
        <v>0.02</v>
      </c>
      <c r="P58" s="297">
        <f>1/'Datu ievade'!$B$23</f>
        <v>0.02</v>
      </c>
      <c r="Q58" s="297">
        <f>1/'Datu ievade'!$B$23</f>
        <v>0.02</v>
      </c>
      <c r="R58" s="297">
        <f>1/'Datu ievade'!$B$23</f>
        <v>0.02</v>
      </c>
      <c r="S58" s="297">
        <f>1/'Datu ievade'!$B$23</f>
        <v>0.02</v>
      </c>
      <c r="T58" s="297">
        <f>1/'Datu ievade'!$B$23</f>
        <v>0.02</v>
      </c>
      <c r="U58" s="297">
        <f>1/'Datu ievade'!$B$23</f>
        <v>0.02</v>
      </c>
      <c r="V58" s="297">
        <f>1/'Datu ievade'!$B$23</f>
        <v>0.02</v>
      </c>
      <c r="W58" s="297">
        <f>1/'Datu ievade'!$B$23</f>
        <v>0.02</v>
      </c>
      <c r="X58" s="297">
        <f>1/'Datu ievade'!$B$23</f>
        <v>0.02</v>
      </c>
      <c r="Y58" s="297">
        <f>1/'Datu ievade'!$B$23</f>
        <v>0.02</v>
      </c>
      <c r="Z58" s="297">
        <f>1/'Datu ievade'!$B$23</f>
        <v>0.02</v>
      </c>
      <c r="AA58" s="297">
        <f>1/'Datu ievade'!$B$23</f>
        <v>0.02</v>
      </c>
      <c r="AB58" s="297">
        <f>1/'Datu ievade'!$B$23</f>
        <v>0.02</v>
      </c>
      <c r="AC58" s="297">
        <f>1/'Datu ievade'!$B$23</f>
        <v>0.02</v>
      </c>
      <c r="AD58" s="297">
        <f>1/'Datu ievade'!$B$23</f>
        <v>0.02</v>
      </c>
      <c r="AE58" s="297">
        <f>1/'Datu ievade'!$B$23</f>
        <v>0.02</v>
      </c>
      <c r="AF58" s="297">
        <f>1/'Datu ievade'!$B$23</f>
        <v>0.02</v>
      </c>
      <c r="AG58" s="297">
        <f>1/'Datu ievade'!$B$23</f>
        <v>0.02</v>
      </c>
    </row>
    <row r="59" spans="1:33" s="209" customFormat="1" ht="12.75">
      <c r="A59" s="206" t="s">
        <v>204</v>
      </c>
      <c r="B59" s="298">
        <v>0</v>
      </c>
      <c r="C59" s="296">
        <f aca="true" t="shared" si="28" ref="C59:AG59">IF(B61&gt;0,IF(C57-B57&gt;0,0,C58*C57),0)</f>
        <v>0</v>
      </c>
      <c r="D59" s="296">
        <f t="shared" si="28"/>
        <v>0</v>
      </c>
      <c r="E59" s="296">
        <f t="shared" si="28"/>
        <v>5142.8</v>
      </c>
      <c r="F59" s="620">
        <f t="shared" si="28"/>
        <v>5142.8</v>
      </c>
      <c r="G59" s="296">
        <f t="shared" si="28"/>
        <v>5142.8</v>
      </c>
      <c r="H59" s="296">
        <f t="shared" si="28"/>
        <v>5142.8</v>
      </c>
      <c r="I59" s="296">
        <f t="shared" si="28"/>
        <v>5142.8</v>
      </c>
      <c r="J59" s="296">
        <f t="shared" si="28"/>
        <v>5142.8</v>
      </c>
      <c r="K59" s="296">
        <f t="shared" si="28"/>
        <v>5142.8</v>
      </c>
      <c r="L59" s="296">
        <f t="shared" si="28"/>
        <v>5142.8</v>
      </c>
      <c r="M59" s="296">
        <f t="shared" si="28"/>
        <v>5142.8</v>
      </c>
      <c r="N59" s="296">
        <f t="shared" si="28"/>
        <v>5142.8</v>
      </c>
      <c r="O59" s="296">
        <f t="shared" si="28"/>
        <v>5142.8</v>
      </c>
      <c r="P59" s="296">
        <f t="shared" si="28"/>
        <v>5142.8</v>
      </c>
      <c r="Q59" s="296">
        <f t="shared" si="28"/>
        <v>5142.8</v>
      </c>
      <c r="R59" s="296">
        <f t="shared" si="28"/>
        <v>5142.8</v>
      </c>
      <c r="S59" s="296">
        <f t="shared" si="28"/>
        <v>5142.8</v>
      </c>
      <c r="T59" s="296">
        <f t="shared" si="28"/>
        <v>5142.8</v>
      </c>
      <c r="U59" s="296">
        <f t="shared" si="28"/>
        <v>5142.8</v>
      </c>
      <c r="V59" s="296">
        <f t="shared" si="28"/>
        <v>5142.8</v>
      </c>
      <c r="W59" s="296">
        <f t="shared" si="28"/>
        <v>5142.8</v>
      </c>
      <c r="X59" s="296">
        <f t="shared" si="28"/>
        <v>5142.8</v>
      </c>
      <c r="Y59" s="296">
        <f t="shared" si="28"/>
        <v>5142.8</v>
      </c>
      <c r="Z59" s="296">
        <f t="shared" si="28"/>
        <v>5142.8</v>
      </c>
      <c r="AA59" s="296">
        <f t="shared" si="28"/>
        <v>5142.8</v>
      </c>
      <c r="AB59" s="296">
        <f t="shared" si="28"/>
        <v>5142.8</v>
      </c>
      <c r="AC59" s="296">
        <f t="shared" si="28"/>
        <v>5142.8</v>
      </c>
      <c r="AD59" s="296">
        <f t="shared" si="28"/>
        <v>5142.8</v>
      </c>
      <c r="AE59" s="296">
        <f t="shared" si="28"/>
        <v>5142.8</v>
      </c>
      <c r="AF59" s="296">
        <f t="shared" si="28"/>
        <v>5142.8</v>
      </c>
      <c r="AG59" s="296">
        <f t="shared" si="28"/>
        <v>5142.8</v>
      </c>
    </row>
    <row r="60" spans="1:33" s="209" customFormat="1" ht="12.75">
      <c r="A60" s="206" t="s">
        <v>205</v>
      </c>
      <c r="B60" s="296">
        <f>B59</f>
        <v>0</v>
      </c>
      <c r="C60" s="296">
        <f aca="true" t="shared" si="29" ref="C60:AG60">C59+B60</f>
        <v>0</v>
      </c>
      <c r="D60" s="296">
        <f t="shared" si="29"/>
        <v>0</v>
      </c>
      <c r="E60" s="296">
        <f t="shared" si="29"/>
        <v>5142.8</v>
      </c>
      <c r="F60" s="620">
        <f t="shared" si="29"/>
        <v>10285.6</v>
      </c>
      <c r="G60" s="296">
        <f t="shared" si="29"/>
        <v>15428.400000000001</v>
      </c>
      <c r="H60" s="296">
        <f t="shared" si="29"/>
        <v>20571.2</v>
      </c>
      <c r="I60" s="296">
        <f t="shared" si="29"/>
        <v>25714</v>
      </c>
      <c r="J60" s="296">
        <f t="shared" si="29"/>
        <v>30856.8</v>
      </c>
      <c r="K60" s="296">
        <f t="shared" si="29"/>
        <v>35999.6</v>
      </c>
      <c r="L60" s="296">
        <f t="shared" si="29"/>
        <v>41142.4</v>
      </c>
      <c r="M60" s="296">
        <f t="shared" si="29"/>
        <v>46285.200000000004</v>
      </c>
      <c r="N60" s="296">
        <f t="shared" si="29"/>
        <v>51428.00000000001</v>
      </c>
      <c r="O60" s="296">
        <f t="shared" si="29"/>
        <v>56570.80000000001</v>
      </c>
      <c r="P60" s="296">
        <f t="shared" si="29"/>
        <v>61713.60000000001</v>
      </c>
      <c r="Q60" s="296">
        <f t="shared" si="29"/>
        <v>66856.40000000001</v>
      </c>
      <c r="R60" s="296">
        <f t="shared" si="29"/>
        <v>71999.20000000001</v>
      </c>
      <c r="S60" s="296">
        <f t="shared" si="29"/>
        <v>77142.00000000001</v>
      </c>
      <c r="T60" s="296">
        <f t="shared" si="29"/>
        <v>82284.80000000002</v>
      </c>
      <c r="U60" s="296">
        <f t="shared" si="29"/>
        <v>87427.60000000002</v>
      </c>
      <c r="V60" s="296">
        <f t="shared" si="29"/>
        <v>92570.40000000002</v>
      </c>
      <c r="W60" s="296">
        <f t="shared" si="29"/>
        <v>97713.20000000003</v>
      </c>
      <c r="X60" s="296">
        <f t="shared" si="29"/>
        <v>102856.00000000003</v>
      </c>
      <c r="Y60" s="296">
        <f t="shared" si="29"/>
        <v>107998.80000000003</v>
      </c>
      <c r="Z60" s="296">
        <f t="shared" si="29"/>
        <v>113141.60000000003</v>
      </c>
      <c r="AA60" s="296">
        <f t="shared" si="29"/>
        <v>118284.40000000004</v>
      </c>
      <c r="AB60" s="296">
        <f t="shared" si="29"/>
        <v>123427.20000000004</v>
      </c>
      <c r="AC60" s="296">
        <f t="shared" si="29"/>
        <v>128570.00000000004</v>
      </c>
      <c r="AD60" s="296">
        <f t="shared" si="29"/>
        <v>133712.80000000005</v>
      </c>
      <c r="AE60" s="296">
        <f t="shared" si="29"/>
        <v>138855.60000000003</v>
      </c>
      <c r="AF60" s="296">
        <f t="shared" si="29"/>
        <v>143998.40000000002</v>
      </c>
      <c r="AG60" s="296">
        <f t="shared" si="29"/>
        <v>149141.2</v>
      </c>
    </row>
    <row r="61" spans="1:33" s="209" customFormat="1" ht="12.75">
      <c r="A61" s="206" t="s">
        <v>206</v>
      </c>
      <c r="B61" s="296">
        <f aca="true" t="shared" si="30" ref="B61:AG61">ROUND(IF(B57-B60&gt;0,B57-B60,0),0)</f>
        <v>0</v>
      </c>
      <c r="C61" s="296">
        <f t="shared" si="30"/>
        <v>39780</v>
      </c>
      <c r="D61" s="296">
        <f t="shared" si="30"/>
        <v>257140</v>
      </c>
      <c r="E61" s="296">
        <f t="shared" si="30"/>
        <v>251997</v>
      </c>
      <c r="F61" s="620">
        <f t="shared" si="30"/>
        <v>246854</v>
      </c>
      <c r="G61" s="296">
        <f t="shared" si="30"/>
        <v>241712</v>
      </c>
      <c r="H61" s="296">
        <f t="shared" si="30"/>
        <v>236569</v>
      </c>
      <c r="I61" s="296">
        <f t="shared" si="30"/>
        <v>231426</v>
      </c>
      <c r="J61" s="296">
        <f t="shared" si="30"/>
        <v>226283</v>
      </c>
      <c r="K61" s="296">
        <f t="shared" si="30"/>
        <v>221140</v>
      </c>
      <c r="L61" s="296">
        <f t="shared" si="30"/>
        <v>215998</v>
      </c>
      <c r="M61" s="296">
        <f t="shared" si="30"/>
        <v>210855</v>
      </c>
      <c r="N61" s="296">
        <f t="shared" si="30"/>
        <v>205712</v>
      </c>
      <c r="O61" s="296">
        <f t="shared" si="30"/>
        <v>200569</v>
      </c>
      <c r="P61" s="296">
        <f t="shared" si="30"/>
        <v>195426</v>
      </c>
      <c r="Q61" s="296">
        <f t="shared" si="30"/>
        <v>190284</v>
      </c>
      <c r="R61" s="296">
        <f t="shared" si="30"/>
        <v>185141</v>
      </c>
      <c r="S61" s="296">
        <f t="shared" si="30"/>
        <v>179998</v>
      </c>
      <c r="T61" s="296">
        <f t="shared" si="30"/>
        <v>174855</v>
      </c>
      <c r="U61" s="296">
        <f t="shared" si="30"/>
        <v>169712</v>
      </c>
      <c r="V61" s="296">
        <f t="shared" si="30"/>
        <v>164570</v>
      </c>
      <c r="W61" s="296">
        <f t="shared" si="30"/>
        <v>159427</v>
      </c>
      <c r="X61" s="296">
        <f t="shared" si="30"/>
        <v>154284</v>
      </c>
      <c r="Y61" s="296">
        <f t="shared" si="30"/>
        <v>149141</v>
      </c>
      <c r="Z61" s="296">
        <f t="shared" si="30"/>
        <v>143998</v>
      </c>
      <c r="AA61" s="296">
        <f t="shared" si="30"/>
        <v>138856</v>
      </c>
      <c r="AB61" s="296">
        <f t="shared" si="30"/>
        <v>133713</v>
      </c>
      <c r="AC61" s="296">
        <f t="shared" si="30"/>
        <v>128570</v>
      </c>
      <c r="AD61" s="296">
        <f t="shared" si="30"/>
        <v>123427</v>
      </c>
      <c r="AE61" s="296">
        <f t="shared" si="30"/>
        <v>118284</v>
      </c>
      <c r="AF61" s="296">
        <f t="shared" si="30"/>
        <v>113142</v>
      </c>
      <c r="AG61" s="296">
        <f t="shared" si="30"/>
        <v>107999</v>
      </c>
    </row>
    <row r="62" spans="1:33" s="209" customFormat="1" ht="12.75">
      <c r="A62" s="295" t="s">
        <v>14</v>
      </c>
      <c r="B62" s="292"/>
      <c r="C62" s="292"/>
      <c r="D62" s="292"/>
      <c r="E62" s="292"/>
      <c r="F62" s="625"/>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row>
    <row r="63" spans="1:33" s="209" customFormat="1" ht="12.75">
      <c r="A63" s="206" t="s">
        <v>202</v>
      </c>
      <c r="B63" s="296">
        <f>'Datu ievade'!B66</f>
        <v>0</v>
      </c>
      <c r="C63" s="296">
        <f>'Datu ievade'!C66+B63</f>
        <v>17340</v>
      </c>
      <c r="D63" s="296">
        <f>'Datu ievade'!D66+C63</f>
        <v>63100</v>
      </c>
      <c r="E63" s="296">
        <f>'Datu ievade'!E66+D63</f>
        <v>63100</v>
      </c>
      <c r="F63" s="620">
        <f>'Datu ievade'!F66+E63</f>
        <v>63100</v>
      </c>
      <c r="G63" s="296">
        <f>'Datu ievade'!G66+F63</f>
        <v>63100</v>
      </c>
      <c r="H63" s="296">
        <f>'Datu ievade'!H66+G63</f>
        <v>63100</v>
      </c>
      <c r="I63" s="296">
        <f>'Datu ievade'!I66+H63</f>
        <v>63100</v>
      </c>
      <c r="J63" s="296">
        <f>'Datu ievade'!J66+I63</f>
        <v>63100</v>
      </c>
      <c r="K63" s="296">
        <f>'Datu ievade'!K66+J63</f>
        <v>63100</v>
      </c>
      <c r="L63" s="296">
        <f>'Datu ievade'!L66+K63</f>
        <v>63100</v>
      </c>
      <c r="M63" s="296">
        <f>'Datu ievade'!M66+L63</f>
        <v>63100</v>
      </c>
      <c r="N63" s="296">
        <f>'Datu ievade'!N66+M63</f>
        <v>63100</v>
      </c>
      <c r="O63" s="296">
        <f>'Datu ievade'!O66+N63</f>
        <v>63100</v>
      </c>
      <c r="P63" s="296">
        <f>'Datu ievade'!P66+O63</f>
        <v>63100</v>
      </c>
      <c r="Q63" s="296">
        <f>'Datu ievade'!Q66+P63</f>
        <v>63100</v>
      </c>
      <c r="R63" s="296">
        <f>'Datu ievade'!R66+Q63</f>
        <v>63100</v>
      </c>
      <c r="S63" s="296">
        <f>'Datu ievade'!S66+R63</f>
        <v>63100</v>
      </c>
      <c r="T63" s="296">
        <f>'Datu ievade'!T66+S63</f>
        <v>63100</v>
      </c>
      <c r="U63" s="296">
        <f>'Datu ievade'!U66+T63</f>
        <v>63100</v>
      </c>
      <c r="V63" s="296">
        <f>'Datu ievade'!V66+U63</f>
        <v>63100</v>
      </c>
      <c r="W63" s="296">
        <f>'Datu ievade'!W66+V63</f>
        <v>63100</v>
      </c>
      <c r="X63" s="296">
        <f>'Datu ievade'!X66+W63</f>
        <v>63100</v>
      </c>
      <c r="Y63" s="296">
        <f>'Datu ievade'!Y66+X63</f>
        <v>63100</v>
      </c>
      <c r="Z63" s="296">
        <f>'Datu ievade'!Z66+Y63</f>
        <v>63100</v>
      </c>
      <c r="AA63" s="296">
        <f>'Datu ievade'!AA66+Z63</f>
        <v>63100</v>
      </c>
      <c r="AB63" s="296">
        <f>'Datu ievade'!AB66+AA63</f>
        <v>63100</v>
      </c>
      <c r="AC63" s="296">
        <f>'Datu ievade'!AC66+AB63</f>
        <v>63100</v>
      </c>
      <c r="AD63" s="296">
        <f>'Datu ievade'!AD66+AC63</f>
        <v>63100</v>
      </c>
      <c r="AE63" s="296">
        <f>'Datu ievade'!AE66+AD63</f>
        <v>63100</v>
      </c>
      <c r="AF63" s="296">
        <f>'Datu ievade'!AF66+AE63</f>
        <v>63100</v>
      </c>
      <c r="AG63" s="296">
        <f>'Datu ievade'!AG66+AF63</f>
        <v>63100</v>
      </c>
    </row>
    <row r="64" spans="1:33" s="209" customFormat="1" ht="12.75">
      <c r="A64" s="206" t="s">
        <v>203</v>
      </c>
      <c r="B64" s="297">
        <f>1/'Datu ievade'!$B$26</f>
        <v>0.06666666666666667</v>
      </c>
      <c r="C64" s="297">
        <f>1/'Datu ievade'!$B$26</f>
        <v>0.06666666666666667</v>
      </c>
      <c r="D64" s="297">
        <f>1/'Datu ievade'!$B$26</f>
        <v>0.06666666666666667</v>
      </c>
      <c r="E64" s="297">
        <f>1/'Datu ievade'!$B$26</f>
        <v>0.06666666666666667</v>
      </c>
      <c r="F64" s="626">
        <f>1/'Datu ievade'!$B$26</f>
        <v>0.06666666666666667</v>
      </c>
      <c r="G64" s="297">
        <f>1/'Datu ievade'!$B$26</f>
        <v>0.06666666666666667</v>
      </c>
      <c r="H64" s="297">
        <f>1/'Datu ievade'!$B$26</f>
        <v>0.06666666666666667</v>
      </c>
      <c r="I64" s="297">
        <f>1/'Datu ievade'!$B$26</f>
        <v>0.06666666666666667</v>
      </c>
      <c r="J64" s="297">
        <f>1/'Datu ievade'!$B$26</f>
        <v>0.06666666666666667</v>
      </c>
      <c r="K64" s="297">
        <f>1/'Datu ievade'!$B$26</f>
        <v>0.06666666666666667</v>
      </c>
      <c r="L64" s="297">
        <f>1/'Datu ievade'!$B$26</f>
        <v>0.06666666666666667</v>
      </c>
      <c r="M64" s="297">
        <f>1/'Datu ievade'!$B$26</f>
        <v>0.06666666666666667</v>
      </c>
      <c r="N64" s="297">
        <f>1/'Datu ievade'!$B$26</f>
        <v>0.06666666666666667</v>
      </c>
      <c r="O64" s="297">
        <f>1/'Datu ievade'!$B$26</f>
        <v>0.06666666666666667</v>
      </c>
      <c r="P64" s="297">
        <f>1/'Datu ievade'!$B$26</f>
        <v>0.06666666666666667</v>
      </c>
      <c r="Q64" s="297">
        <f>1/'Datu ievade'!$B$26</f>
        <v>0.06666666666666667</v>
      </c>
      <c r="R64" s="297">
        <f>1/'Datu ievade'!$B$26</f>
        <v>0.06666666666666667</v>
      </c>
      <c r="S64" s="297">
        <f>1/'Datu ievade'!$B$26</f>
        <v>0.06666666666666667</v>
      </c>
      <c r="T64" s="297">
        <f>1/'Datu ievade'!$B$26</f>
        <v>0.06666666666666667</v>
      </c>
      <c r="U64" s="297">
        <f>1/'Datu ievade'!$B$26</f>
        <v>0.06666666666666667</v>
      </c>
      <c r="V64" s="297">
        <f>1/'Datu ievade'!$B$26</f>
        <v>0.06666666666666667</v>
      </c>
      <c r="W64" s="297">
        <f>1/'Datu ievade'!$B$26</f>
        <v>0.06666666666666667</v>
      </c>
      <c r="X64" s="297">
        <f>1/'Datu ievade'!$B$26</f>
        <v>0.06666666666666667</v>
      </c>
      <c r="Y64" s="297">
        <f>1/'Datu ievade'!$B$26</f>
        <v>0.06666666666666667</v>
      </c>
      <c r="Z64" s="297">
        <f>1/'Datu ievade'!$B$26</f>
        <v>0.06666666666666667</v>
      </c>
      <c r="AA64" s="297">
        <f>1/'Datu ievade'!$B$26</f>
        <v>0.06666666666666667</v>
      </c>
      <c r="AB64" s="297">
        <f>1/'Datu ievade'!$B$26</f>
        <v>0.06666666666666667</v>
      </c>
      <c r="AC64" s="297">
        <f>1/'Datu ievade'!$B$26</f>
        <v>0.06666666666666667</v>
      </c>
      <c r="AD64" s="297">
        <f>1/'Datu ievade'!$B$26</f>
        <v>0.06666666666666667</v>
      </c>
      <c r="AE64" s="297">
        <f>1/'Datu ievade'!$B$26</f>
        <v>0.06666666666666667</v>
      </c>
      <c r="AF64" s="297">
        <f>1/'Datu ievade'!$B$26</f>
        <v>0.06666666666666667</v>
      </c>
      <c r="AG64" s="297">
        <f>1/'Datu ievade'!$B$26</f>
        <v>0.06666666666666667</v>
      </c>
    </row>
    <row r="65" spans="1:33" s="209" customFormat="1" ht="12.75">
      <c r="A65" s="206" t="s">
        <v>204</v>
      </c>
      <c r="B65" s="298">
        <v>0</v>
      </c>
      <c r="C65" s="296">
        <f aca="true" t="shared" si="31" ref="C65:AG65">IF(B67&gt;0,IF(C63-B63&gt;0,0,C64*C63),0)</f>
        <v>0</v>
      </c>
      <c r="D65" s="296">
        <f t="shared" si="31"/>
        <v>0</v>
      </c>
      <c r="E65" s="296">
        <f t="shared" si="31"/>
        <v>4206.666666666667</v>
      </c>
      <c r="F65" s="620">
        <f t="shared" si="31"/>
        <v>4206.666666666667</v>
      </c>
      <c r="G65" s="296">
        <f t="shared" si="31"/>
        <v>4206.666666666667</v>
      </c>
      <c r="H65" s="296">
        <f t="shared" si="31"/>
        <v>4206.666666666667</v>
      </c>
      <c r="I65" s="296">
        <f t="shared" si="31"/>
        <v>4206.666666666667</v>
      </c>
      <c r="J65" s="296">
        <f t="shared" si="31"/>
        <v>4206.666666666667</v>
      </c>
      <c r="K65" s="296">
        <f t="shared" si="31"/>
        <v>4206.666666666667</v>
      </c>
      <c r="L65" s="296">
        <f t="shared" si="31"/>
        <v>4206.666666666667</v>
      </c>
      <c r="M65" s="296">
        <f t="shared" si="31"/>
        <v>4206.666666666667</v>
      </c>
      <c r="N65" s="296">
        <f t="shared" si="31"/>
        <v>4206.666666666667</v>
      </c>
      <c r="O65" s="296">
        <f t="shared" si="31"/>
        <v>4206.666666666667</v>
      </c>
      <c r="P65" s="296">
        <f t="shared" si="31"/>
        <v>4206.666666666667</v>
      </c>
      <c r="Q65" s="296">
        <f t="shared" si="31"/>
        <v>4206.666666666667</v>
      </c>
      <c r="R65" s="296">
        <f t="shared" si="31"/>
        <v>4206.666666666667</v>
      </c>
      <c r="S65" s="296">
        <f t="shared" si="31"/>
        <v>4206.666666666667</v>
      </c>
      <c r="T65" s="296">
        <f t="shared" si="31"/>
        <v>0</v>
      </c>
      <c r="U65" s="296">
        <f t="shared" si="31"/>
        <v>0</v>
      </c>
      <c r="V65" s="296">
        <f t="shared" si="31"/>
        <v>0</v>
      </c>
      <c r="W65" s="296">
        <f t="shared" si="31"/>
        <v>0</v>
      </c>
      <c r="X65" s="296">
        <f t="shared" si="31"/>
        <v>0</v>
      </c>
      <c r="Y65" s="296">
        <f t="shared" si="31"/>
        <v>0</v>
      </c>
      <c r="Z65" s="296">
        <f t="shared" si="31"/>
        <v>0</v>
      </c>
      <c r="AA65" s="296">
        <f t="shared" si="31"/>
        <v>0</v>
      </c>
      <c r="AB65" s="296">
        <f t="shared" si="31"/>
        <v>0</v>
      </c>
      <c r="AC65" s="296">
        <f t="shared" si="31"/>
        <v>0</v>
      </c>
      <c r="AD65" s="296">
        <f t="shared" si="31"/>
        <v>0</v>
      </c>
      <c r="AE65" s="296">
        <f t="shared" si="31"/>
        <v>0</v>
      </c>
      <c r="AF65" s="296">
        <f t="shared" si="31"/>
        <v>0</v>
      </c>
      <c r="AG65" s="296">
        <f t="shared" si="31"/>
        <v>0</v>
      </c>
    </row>
    <row r="66" spans="1:33" s="209" customFormat="1" ht="12.75">
      <c r="A66" s="206" t="s">
        <v>205</v>
      </c>
      <c r="B66" s="296">
        <f>B65</f>
        <v>0</v>
      </c>
      <c r="C66" s="296">
        <f aca="true" t="shared" si="32" ref="C66:AG66">C65+B66</f>
        <v>0</v>
      </c>
      <c r="D66" s="296">
        <f t="shared" si="32"/>
        <v>0</v>
      </c>
      <c r="E66" s="296">
        <f t="shared" si="32"/>
        <v>4206.666666666667</v>
      </c>
      <c r="F66" s="620">
        <f t="shared" si="32"/>
        <v>8413.333333333334</v>
      </c>
      <c r="G66" s="296">
        <f t="shared" si="32"/>
        <v>12620</v>
      </c>
      <c r="H66" s="296">
        <f t="shared" si="32"/>
        <v>16826.666666666668</v>
      </c>
      <c r="I66" s="296">
        <f t="shared" si="32"/>
        <v>21033.333333333336</v>
      </c>
      <c r="J66" s="296">
        <f t="shared" si="32"/>
        <v>25240.000000000004</v>
      </c>
      <c r="K66" s="296">
        <f t="shared" si="32"/>
        <v>29446.66666666667</v>
      </c>
      <c r="L66" s="296">
        <f t="shared" si="32"/>
        <v>33653.333333333336</v>
      </c>
      <c r="M66" s="296">
        <f t="shared" si="32"/>
        <v>37860</v>
      </c>
      <c r="N66" s="296">
        <f t="shared" si="32"/>
        <v>42066.666666666664</v>
      </c>
      <c r="O66" s="296">
        <f t="shared" si="32"/>
        <v>46273.33333333333</v>
      </c>
      <c r="P66" s="296">
        <f t="shared" si="32"/>
        <v>50479.99999999999</v>
      </c>
      <c r="Q66" s="296">
        <f t="shared" si="32"/>
        <v>54686.66666666666</v>
      </c>
      <c r="R66" s="296">
        <f t="shared" si="32"/>
        <v>58893.33333333332</v>
      </c>
      <c r="S66" s="296">
        <f t="shared" si="32"/>
        <v>63099.999999999985</v>
      </c>
      <c r="T66" s="296">
        <f t="shared" si="32"/>
        <v>63099.999999999985</v>
      </c>
      <c r="U66" s="296">
        <f t="shared" si="32"/>
        <v>63099.999999999985</v>
      </c>
      <c r="V66" s="296">
        <f t="shared" si="32"/>
        <v>63099.999999999985</v>
      </c>
      <c r="W66" s="296">
        <f t="shared" si="32"/>
        <v>63099.999999999985</v>
      </c>
      <c r="X66" s="296">
        <f t="shared" si="32"/>
        <v>63099.999999999985</v>
      </c>
      <c r="Y66" s="296">
        <f t="shared" si="32"/>
        <v>63099.999999999985</v>
      </c>
      <c r="Z66" s="296">
        <f t="shared" si="32"/>
        <v>63099.999999999985</v>
      </c>
      <c r="AA66" s="296">
        <f t="shared" si="32"/>
        <v>63099.999999999985</v>
      </c>
      <c r="AB66" s="296">
        <f t="shared" si="32"/>
        <v>63099.999999999985</v>
      </c>
      <c r="AC66" s="296">
        <f t="shared" si="32"/>
        <v>63099.999999999985</v>
      </c>
      <c r="AD66" s="296">
        <f t="shared" si="32"/>
        <v>63099.999999999985</v>
      </c>
      <c r="AE66" s="296">
        <f t="shared" si="32"/>
        <v>63099.999999999985</v>
      </c>
      <c r="AF66" s="296">
        <f t="shared" si="32"/>
        <v>63099.999999999985</v>
      </c>
      <c r="AG66" s="296">
        <f t="shared" si="32"/>
        <v>63099.999999999985</v>
      </c>
    </row>
    <row r="67" spans="1:33" s="209" customFormat="1" ht="12.75">
      <c r="A67" s="206" t="s">
        <v>206</v>
      </c>
      <c r="B67" s="296">
        <f aca="true" t="shared" si="33" ref="B67:AG67">ROUND(IF(B63-B66&gt;0,B63-B66,0),0)</f>
        <v>0</v>
      </c>
      <c r="C67" s="296">
        <f t="shared" si="33"/>
        <v>17340</v>
      </c>
      <c r="D67" s="296">
        <f t="shared" si="33"/>
        <v>63100</v>
      </c>
      <c r="E67" s="296">
        <f t="shared" si="33"/>
        <v>58893</v>
      </c>
      <c r="F67" s="620">
        <f t="shared" si="33"/>
        <v>54687</v>
      </c>
      <c r="G67" s="296">
        <f t="shared" si="33"/>
        <v>50480</v>
      </c>
      <c r="H67" s="296">
        <f t="shared" si="33"/>
        <v>46273</v>
      </c>
      <c r="I67" s="296">
        <f t="shared" si="33"/>
        <v>42067</v>
      </c>
      <c r="J67" s="296">
        <f t="shared" si="33"/>
        <v>37860</v>
      </c>
      <c r="K67" s="296">
        <f t="shared" si="33"/>
        <v>33653</v>
      </c>
      <c r="L67" s="296">
        <f t="shared" si="33"/>
        <v>29447</v>
      </c>
      <c r="M67" s="296">
        <f t="shared" si="33"/>
        <v>25240</v>
      </c>
      <c r="N67" s="296">
        <f t="shared" si="33"/>
        <v>21033</v>
      </c>
      <c r="O67" s="296">
        <f t="shared" si="33"/>
        <v>16827</v>
      </c>
      <c r="P67" s="296">
        <f t="shared" si="33"/>
        <v>12620</v>
      </c>
      <c r="Q67" s="296">
        <f t="shared" si="33"/>
        <v>8413</v>
      </c>
      <c r="R67" s="296">
        <f t="shared" si="33"/>
        <v>4207</v>
      </c>
      <c r="S67" s="296">
        <f t="shared" si="33"/>
        <v>0</v>
      </c>
      <c r="T67" s="296">
        <f t="shared" si="33"/>
        <v>0</v>
      </c>
      <c r="U67" s="296">
        <f t="shared" si="33"/>
        <v>0</v>
      </c>
      <c r="V67" s="296">
        <f t="shared" si="33"/>
        <v>0</v>
      </c>
      <c r="W67" s="296">
        <f t="shared" si="33"/>
        <v>0</v>
      </c>
      <c r="X67" s="296">
        <f t="shared" si="33"/>
        <v>0</v>
      </c>
      <c r="Y67" s="296">
        <f t="shared" si="33"/>
        <v>0</v>
      </c>
      <c r="Z67" s="296">
        <f t="shared" si="33"/>
        <v>0</v>
      </c>
      <c r="AA67" s="296">
        <f t="shared" si="33"/>
        <v>0</v>
      </c>
      <c r="AB67" s="296">
        <f t="shared" si="33"/>
        <v>0</v>
      </c>
      <c r="AC67" s="296">
        <f t="shared" si="33"/>
        <v>0</v>
      </c>
      <c r="AD67" s="296">
        <f t="shared" si="33"/>
        <v>0</v>
      </c>
      <c r="AE67" s="296">
        <f t="shared" si="33"/>
        <v>0</v>
      </c>
      <c r="AF67" s="296">
        <f t="shared" si="33"/>
        <v>0</v>
      </c>
      <c r="AG67" s="296">
        <f t="shared" si="33"/>
        <v>0</v>
      </c>
    </row>
    <row r="68" spans="1:33" s="209" customFormat="1" ht="12.75">
      <c r="A68" s="295" t="s">
        <v>15</v>
      </c>
      <c r="B68" s="292"/>
      <c r="C68" s="292"/>
      <c r="D68" s="292"/>
      <c r="E68" s="292"/>
      <c r="F68" s="625"/>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row>
    <row r="69" spans="1:33" s="209" customFormat="1" ht="12.75">
      <c r="A69" s="206" t="s">
        <v>202</v>
      </c>
      <c r="B69" s="296">
        <f>'Datu ievade'!B67+'Datu ievade'!B68+'Datu ievade'!B69</f>
        <v>0</v>
      </c>
      <c r="C69" s="296">
        <f>'Datu ievade'!C67+'Datu ievade'!C68+'Datu ievade'!C69+B69</f>
        <v>6732</v>
      </c>
      <c r="D69" s="296">
        <f>'Datu ievade'!D67+'Datu ievade'!D68+'Datu ievade'!D69+C69</f>
        <v>10684</v>
      </c>
      <c r="E69" s="296">
        <f>'Datu ievade'!E67+'Datu ievade'!E68+'Datu ievade'!E69+D69</f>
        <v>10684</v>
      </c>
      <c r="F69" s="296">
        <f>'Datu ievade'!F67+'Datu ievade'!F68+'Datu ievade'!F69+E69</f>
        <v>10684</v>
      </c>
      <c r="G69" s="296">
        <f>'Datu ievade'!G67+'Datu ievade'!G68+'Datu ievade'!G69+F69</f>
        <v>10684</v>
      </c>
      <c r="H69" s="296">
        <f>'Datu ievade'!H67+'Datu ievade'!H68+'Datu ievade'!H69+G69</f>
        <v>10684</v>
      </c>
      <c r="I69" s="296">
        <f>'Datu ievade'!I67+'Datu ievade'!I68+'Datu ievade'!I69+H69</f>
        <v>10684</v>
      </c>
      <c r="J69" s="296">
        <f>'Datu ievade'!J67+'Datu ievade'!J68+'Datu ievade'!J69+I69</f>
        <v>10684</v>
      </c>
      <c r="K69" s="296">
        <f>'Datu ievade'!K67+'Datu ievade'!K68+'Datu ievade'!K69+J69</f>
        <v>10684</v>
      </c>
      <c r="L69" s="296">
        <f>'Datu ievade'!L67+'Datu ievade'!L68+'Datu ievade'!L69+K69</f>
        <v>10684</v>
      </c>
      <c r="M69" s="296">
        <f>'Datu ievade'!M67+'Datu ievade'!M68+'Datu ievade'!M69+L69</f>
        <v>10684</v>
      </c>
      <c r="N69" s="296">
        <f>'Datu ievade'!N67+'Datu ievade'!N68+'Datu ievade'!N69+M69</f>
        <v>10684</v>
      </c>
      <c r="O69" s="296">
        <f>'Datu ievade'!O67+'Datu ievade'!O68+'Datu ievade'!O69+N69</f>
        <v>10684</v>
      </c>
      <c r="P69" s="296">
        <f>'Datu ievade'!P67+'Datu ievade'!P68+'Datu ievade'!P69+O69</f>
        <v>10684</v>
      </c>
      <c r="Q69" s="296">
        <f>'Datu ievade'!Q67+'Datu ievade'!Q68+'Datu ievade'!Q69+P69</f>
        <v>10684</v>
      </c>
      <c r="R69" s="296">
        <f>'Datu ievade'!R67+'Datu ievade'!R68+'Datu ievade'!R69+Q69</f>
        <v>10684</v>
      </c>
      <c r="S69" s="296">
        <f>'Datu ievade'!S67+'Datu ievade'!S68+'Datu ievade'!S69+R69</f>
        <v>10684</v>
      </c>
      <c r="T69" s="296">
        <f>'Datu ievade'!T67+'Datu ievade'!T68+'Datu ievade'!T69+S69</f>
        <v>10684</v>
      </c>
      <c r="U69" s="296">
        <f>'Datu ievade'!U67+'Datu ievade'!U68+'Datu ievade'!U69+T69</f>
        <v>10684</v>
      </c>
      <c r="V69" s="296">
        <f>'Datu ievade'!V67+'Datu ievade'!V68+'Datu ievade'!V69+U69</f>
        <v>10684</v>
      </c>
      <c r="W69" s="296">
        <f>'Datu ievade'!W67+'Datu ievade'!W68+'Datu ievade'!W69+V69</f>
        <v>10684</v>
      </c>
      <c r="X69" s="296">
        <f>'Datu ievade'!X67+'Datu ievade'!X68+'Datu ievade'!X69+W69</f>
        <v>10684</v>
      </c>
      <c r="Y69" s="296">
        <f>'Datu ievade'!Y67+'Datu ievade'!Y68+'Datu ievade'!Y69+X69</f>
        <v>10684</v>
      </c>
      <c r="Z69" s="296">
        <f>'Datu ievade'!Z67+'Datu ievade'!Z68+'Datu ievade'!Z69+Y69</f>
        <v>10684</v>
      </c>
      <c r="AA69" s="296">
        <f>'Datu ievade'!AA67+'Datu ievade'!AA68+'Datu ievade'!AA69+Z69</f>
        <v>10684</v>
      </c>
      <c r="AB69" s="296">
        <f>'Datu ievade'!AB67+'Datu ievade'!AB68+'Datu ievade'!AB69+AA69</f>
        <v>10684</v>
      </c>
      <c r="AC69" s="296">
        <f>'Datu ievade'!AC67+'Datu ievade'!AC68+'Datu ievade'!AC69+AB69</f>
        <v>10684</v>
      </c>
      <c r="AD69" s="296">
        <f>'Datu ievade'!AD67+'Datu ievade'!AD68+'Datu ievade'!AD69+AC69</f>
        <v>10684</v>
      </c>
      <c r="AE69" s="296">
        <f>'Datu ievade'!AE67+'Datu ievade'!AE68+'Datu ievade'!AE69+AD69</f>
        <v>10684</v>
      </c>
      <c r="AF69" s="296">
        <f>'Datu ievade'!AF67+'Datu ievade'!AF68+'Datu ievade'!AF69+AE69</f>
        <v>10684</v>
      </c>
      <c r="AG69" s="296">
        <f>'Datu ievade'!AG67+'Datu ievade'!AG68+'Datu ievade'!AG69+AF69</f>
        <v>10684</v>
      </c>
    </row>
    <row r="70" spans="1:33" s="209" customFormat="1" ht="12.75">
      <c r="A70" s="206" t="s">
        <v>203</v>
      </c>
      <c r="B70" s="297">
        <f>1/'Datu ievade'!$B$27</f>
        <v>0.1</v>
      </c>
      <c r="C70" s="297">
        <f>1/'Datu ievade'!$B$27</f>
        <v>0.1</v>
      </c>
      <c r="D70" s="297">
        <f>1/'Datu ievade'!$B$27</f>
        <v>0.1</v>
      </c>
      <c r="E70" s="297">
        <f>1/'Datu ievade'!$B$27</f>
        <v>0.1</v>
      </c>
      <c r="F70" s="626">
        <f>1/'Datu ievade'!$B$27</f>
        <v>0.1</v>
      </c>
      <c r="G70" s="297">
        <f>1/'Datu ievade'!$B$27</f>
        <v>0.1</v>
      </c>
      <c r="H70" s="297">
        <f>1/'Datu ievade'!$B$27</f>
        <v>0.1</v>
      </c>
      <c r="I70" s="297">
        <f>1/'Datu ievade'!$B$27</f>
        <v>0.1</v>
      </c>
      <c r="J70" s="297">
        <f>1/'Datu ievade'!$B$27</f>
        <v>0.1</v>
      </c>
      <c r="K70" s="297">
        <f>1/'Datu ievade'!$B$27</f>
        <v>0.1</v>
      </c>
      <c r="L70" s="297">
        <f>1/'Datu ievade'!$B$27</f>
        <v>0.1</v>
      </c>
      <c r="M70" s="297">
        <f>1/'Datu ievade'!$B$27</f>
        <v>0.1</v>
      </c>
      <c r="N70" s="297">
        <f>1/'Datu ievade'!$B$27</f>
        <v>0.1</v>
      </c>
      <c r="O70" s="297">
        <f>1/'Datu ievade'!$B$27</f>
        <v>0.1</v>
      </c>
      <c r="P70" s="297">
        <f>1/'Datu ievade'!$B$27</f>
        <v>0.1</v>
      </c>
      <c r="Q70" s="297">
        <f>1/'Datu ievade'!$B$27</f>
        <v>0.1</v>
      </c>
      <c r="R70" s="297">
        <f>1/'Datu ievade'!$B$27</f>
        <v>0.1</v>
      </c>
      <c r="S70" s="297">
        <f>1/'Datu ievade'!$B$27</f>
        <v>0.1</v>
      </c>
      <c r="T70" s="297">
        <f>1/'Datu ievade'!$B$27</f>
        <v>0.1</v>
      </c>
      <c r="U70" s="297">
        <f>1/'Datu ievade'!$B$27</f>
        <v>0.1</v>
      </c>
      <c r="V70" s="297">
        <f>1/'Datu ievade'!$B$27</f>
        <v>0.1</v>
      </c>
      <c r="W70" s="297">
        <f>1/'Datu ievade'!$B$27</f>
        <v>0.1</v>
      </c>
      <c r="X70" s="297">
        <f>1/'Datu ievade'!$B$27</f>
        <v>0.1</v>
      </c>
      <c r="Y70" s="297">
        <f>1/'Datu ievade'!$B$27</f>
        <v>0.1</v>
      </c>
      <c r="Z70" s="297">
        <f>1/'Datu ievade'!$B$27</f>
        <v>0.1</v>
      </c>
      <c r="AA70" s="297">
        <f>1/'Datu ievade'!$B$27</f>
        <v>0.1</v>
      </c>
      <c r="AB70" s="297">
        <f>1/'Datu ievade'!$B$27</f>
        <v>0.1</v>
      </c>
      <c r="AC70" s="297">
        <f>1/'Datu ievade'!$B$27</f>
        <v>0.1</v>
      </c>
      <c r="AD70" s="297">
        <f>1/'Datu ievade'!$B$27</f>
        <v>0.1</v>
      </c>
      <c r="AE70" s="297">
        <f>1/'Datu ievade'!$B$27</f>
        <v>0.1</v>
      </c>
      <c r="AF70" s="297">
        <f>1/'Datu ievade'!$B$27</f>
        <v>0.1</v>
      </c>
      <c r="AG70" s="297">
        <f>1/'Datu ievade'!$B$27</f>
        <v>0.1</v>
      </c>
    </row>
    <row r="71" spans="1:33" s="209" customFormat="1" ht="12.75">
      <c r="A71" s="206" t="s">
        <v>204</v>
      </c>
      <c r="B71" s="298">
        <v>0</v>
      </c>
      <c r="C71" s="296">
        <f aca="true" t="shared" si="34" ref="C71:AG71">IF(B73&gt;0,IF(C69-B69&gt;0,0,C70*C69),0)</f>
        <v>0</v>
      </c>
      <c r="D71" s="296">
        <f t="shared" si="34"/>
        <v>0</v>
      </c>
      <c r="E71" s="296">
        <f t="shared" si="34"/>
        <v>1068.4</v>
      </c>
      <c r="F71" s="620">
        <f t="shared" si="34"/>
        <v>1068.4</v>
      </c>
      <c r="G71" s="296">
        <f t="shared" si="34"/>
        <v>1068.4</v>
      </c>
      <c r="H71" s="296">
        <f t="shared" si="34"/>
        <v>1068.4</v>
      </c>
      <c r="I71" s="296">
        <f t="shared" si="34"/>
        <v>1068.4</v>
      </c>
      <c r="J71" s="296">
        <f t="shared" si="34"/>
        <v>1068.4</v>
      </c>
      <c r="K71" s="296">
        <f t="shared" si="34"/>
        <v>1068.4</v>
      </c>
      <c r="L71" s="296">
        <f t="shared" si="34"/>
        <v>1068.4</v>
      </c>
      <c r="M71" s="296">
        <f t="shared" si="34"/>
        <v>1068.4</v>
      </c>
      <c r="N71" s="296">
        <f t="shared" si="34"/>
        <v>1068.4</v>
      </c>
      <c r="O71" s="296">
        <f t="shared" si="34"/>
        <v>0</v>
      </c>
      <c r="P71" s="296">
        <f t="shared" si="34"/>
        <v>0</v>
      </c>
      <c r="Q71" s="296">
        <f t="shared" si="34"/>
        <v>0</v>
      </c>
      <c r="R71" s="296">
        <f t="shared" si="34"/>
        <v>0</v>
      </c>
      <c r="S71" s="296">
        <f t="shared" si="34"/>
        <v>0</v>
      </c>
      <c r="T71" s="296">
        <f t="shared" si="34"/>
        <v>0</v>
      </c>
      <c r="U71" s="296">
        <f t="shared" si="34"/>
        <v>0</v>
      </c>
      <c r="V71" s="296">
        <f t="shared" si="34"/>
        <v>0</v>
      </c>
      <c r="W71" s="296">
        <f t="shared" si="34"/>
        <v>0</v>
      </c>
      <c r="X71" s="296">
        <f t="shared" si="34"/>
        <v>0</v>
      </c>
      <c r="Y71" s="296">
        <f t="shared" si="34"/>
        <v>0</v>
      </c>
      <c r="Z71" s="296">
        <f t="shared" si="34"/>
        <v>0</v>
      </c>
      <c r="AA71" s="296">
        <f t="shared" si="34"/>
        <v>0</v>
      </c>
      <c r="AB71" s="296">
        <f t="shared" si="34"/>
        <v>0</v>
      </c>
      <c r="AC71" s="296">
        <f t="shared" si="34"/>
        <v>0</v>
      </c>
      <c r="AD71" s="296">
        <f t="shared" si="34"/>
        <v>0</v>
      </c>
      <c r="AE71" s="296">
        <f t="shared" si="34"/>
        <v>0</v>
      </c>
      <c r="AF71" s="296">
        <f t="shared" si="34"/>
        <v>0</v>
      </c>
      <c r="AG71" s="296">
        <f t="shared" si="34"/>
        <v>0</v>
      </c>
    </row>
    <row r="72" spans="1:33" s="209" customFormat="1" ht="12.75">
      <c r="A72" s="206" t="s">
        <v>205</v>
      </c>
      <c r="B72" s="296">
        <f>B71</f>
        <v>0</v>
      </c>
      <c r="C72" s="296">
        <f aca="true" t="shared" si="35" ref="C72:AG72">C71+B72</f>
        <v>0</v>
      </c>
      <c r="D72" s="296">
        <f t="shared" si="35"/>
        <v>0</v>
      </c>
      <c r="E72" s="296">
        <f t="shared" si="35"/>
        <v>1068.4</v>
      </c>
      <c r="F72" s="620">
        <f t="shared" si="35"/>
        <v>2136.8</v>
      </c>
      <c r="G72" s="296">
        <f t="shared" si="35"/>
        <v>3205.2000000000003</v>
      </c>
      <c r="H72" s="296">
        <f t="shared" si="35"/>
        <v>4273.6</v>
      </c>
      <c r="I72" s="296">
        <f t="shared" si="35"/>
        <v>5342</v>
      </c>
      <c r="J72" s="296">
        <f t="shared" si="35"/>
        <v>6410.4</v>
      </c>
      <c r="K72" s="296">
        <f t="shared" si="35"/>
        <v>7478.799999999999</v>
      </c>
      <c r="L72" s="296">
        <f t="shared" si="35"/>
        <v>8547.199999999999</v>
      </c>
      <c r="M72" s="296">
        <f t="shared" si="35"/>
        <v>9615.599999999999</v>
      </c>
      <c r="N72" s="296">
        <f t="shared" si="35"/>
        <v>10683.999999999998</v>
      </c>
      <c r="O72" s="296">
        <f t="shared" si="35"/>
        <v>10683.999999999998</v>
      </c>
      <c r="P72" s="296">
        <f t="shared" si="35"/>
        <v>10683.999999999998</v>
      </c>
      <c r="Q72" s="296">
        <f t="shared" si="35"/>
        <v>10683.999999999998</v>
      </c>
      <c r="R72" s="296">
        <f t="shared" si="35"/>
        <v>10683.999999999998</v>
      </c>
      <c r="S72" s="296">
        <f t="shared" si="35"/>
        <v>10683.999999999998</v>
      </c>
      <c r="T72" s="296">
        <f t="shared" si="35"/>
        <v>10683.999999999998</v>
      </c>
      <c r="U72" s="296">
        <f t="shared" si="35"/>
        <v>10683.999999999998</v>
      </c>
      <c r="V72" s="296">
        <f t="shared" si="35"/>
        <v>10683.999999999998</v>
      </c>
      <c r="W72" s="296">
        <f t="shared" si="35"/>
        <v>10683.999999999998</v>
      </c>
      <c r="X72" s="296">
        <f t="shared" si="35"/>
        <v>10683.999999999998</v>
      </c>
      <c r="Y72" s="296">
        <f t="shared" si="35"/>
        <v>10683.999999999998</v>
      </c>
      <c r="Z72" s="296">
        <f t="shared" si="35"/>
        <v>10683.999999999998</v>
      </c>
      <c r="AA72" s="296">
        <f t="shared" si="35"/>
        <v>10683.999999999998</v>
      </c>
      <c r="AB72" s="296">
        <f t="shared" si="35"/>
        <v>10683.999999999998</v>
      </c>
      <c r="AC72" s="296">
        <f t="shared" si="35"/>
        <v>10683.999999999998</v>
      </c>
      <c r="AD72" s="296">
        <f t="shared" si="35"/>
        <v>10683.999999999998</v>
      </c>
      <c r="AE72" s="296">
        <f t="shared" si="35"/>
        <v>10683.999999999998</v>
      </c>
      <c r="AF72" s="296">
        <f t="shared" si="35"/>
        <v>10683.999999999998</v>
      </c>
      <c r="AG72" s="296">
        <f t="shared" si="35"/>
        <v>10683.999999999998</v>
      </c>
    </row>
    <row r="73" spans="1:33" s="209" customFormat="1" ht="12.75">
      <c r="A73" s="206" t="s">
        <v>206</v>
      </c>
      <c r="B73" s="296">
        <f aca="true" t="shared" si="36" ref="B73:AG73">ROUND(IF(B69-B72&gt;0,B69-B72,0),0)</f>
        <v>0</v>
      </c>
      <c r="C73" s="296">
        <f t="shared" si="36"/>
        <v>6732</v>
      </c>
      <c r="D73" s="296">
        <f t="shared" si="36"/>
        <v>10684</v>
      </c>
      <c r="E73" s="296">
        <f t="shared" si="36"/>
        <v>9616</v>
      </c>
      <c r="F73" s="620">
        <f t="shared" si="36"/>
        <v>8547</v>
      </c>
      <c r="G73" s="296">
        <f t="shared" si="36"/>
        <v>7479</v>
      </c>
      <c r="H73" s="296">
        <f t="shared" si="36"/>
        <v>6410</v>
      </c>
      <c r="I73" s="296">
        <f t="shared" si="36"/>
        <v>5342</v>
      </c>
      <c r="J73" s="296">
        <f t="shared" si="36"/>
        <v>4274</v>
      </c>
      <c r="K73" s="296">
        <f t="shared" si="36"/>
        <v>3205</v>
      </c>
      <c r="L73" s="296">
        <f t="shared" si="36"/>
        <v>2137</v>
      </c>
      <c r="M73" s="296">
        <f t="shared" si="36"/>
        <v>1068</v>
      </c>
      <c r="N73" s="296">
        <f t="shared" si="36"/>
        <v>0</v>
      </c>
      <c r="O73" s="296">
        <f t="shared" si="36"/>
        <v>0</v>
      </c>
      <c r="P73" s="296">
        <f t="shared" si="36"/>
        <v>0</v>
      </c>
      <c r="Q73" s="296">
        <f t="shared" si="36"/>
        <v>0</v>
      </c>
      <c r="R73" s="296">
        <f t="shared" si="36"/>
        <v>0</v>
      </c>
      <c r="S73" s="296">
        <f t="shared" si="36"/>
        <v>0</v>
      </c>
      <c r="T73" s="296">
        <f t="shared" si="36"/>
        <v>0</v>
      </c>
      <c r="U73" s="296">
        <f t="shared" si="36"/>
        <v>0</v>
      </c>
      <c r="V73" s="296">
        <f t="shared" si="36"/>
        <v>0</v>
      </c>
      <c r="W73" s="296">
        <f t="shared" si="36"/>
        <v>0</v>
      </c>
      <c r="X73" s="296">
        <f t="shared" si="36"/>
        <v>0</v>
      </c>
      <c r="Y73" s="296">
        <f t="shared" si="36"/>
        <v>0</v>
      </c>
      <c r="Z73" s="296">
        <f t="shared" si="36"/>
        <v>0</v>
      </c>
      <c r="AA73" s="296">
        <f t="shared" si="36"/>
        <v>0</v>
      </c>
      <c r="AB73" s="296">
        <f t="shared" si="36"/>
        <v>0</v>
      </c>
      <c r="AC73" s="296">
        <f t="shared" si="36"/>
        <v>0</v>
      </c>
      <c r="AD73" s="296">
        <f t="shared" si="36"/>
        <v>0</v>
      </c>
      <c r="AE73" s="296">
        <f t="shared" si="36"/>
        <v>0</v>
      </c>
      <c r="AF73" s="296">
        <f t="shared" si="36"/>
        <v>0</v>
      </c>
      <c r="AG73" s="296">
        <f t="shared" si="36"/>
        <v>0</v>
      </c>
    </row>
    <row r="74" spans="1:33" s="209" customFormat="1" ht="12.75">
      <c r="A74" s="303"/>
      <c r="B74" s="304"/>
      <c r="C74" s="304"/>
      <c r="D74" s="304"/>
      <c r="E74" s="304"/>
      <c r="F74" s="629"/>
      <c r="G74" s="304"/>
      <c r="H74" s="304"/>
      <c r="I74" s="304"/>
      <c r="J74" s="304"/>
      <c r="K74" s="304"/>
      <c r="L74" s="304"/>
      <c r="M74" s="304"/>
      <c r="N74" s="304"/>
      <c r="O74" s="304"/>
      <c r="P74" s="304"/>
      <c r="Q74" s="304"/>
      <c r="R74" s="304"/>
      <c r="S74" s="304"/>
      <c r="T74" s="304"/>
      <c r="U74" s="304"/>
      <c r="V74" s="304"/>
      <c r="W74" s="304"/>
      <c r="X74" s="305"/>
      <c r="Y74" s="305"/>
      <c r="Z74" s="305"/>
      <c r="AA74" s="305"/>
      <c r="AB74" s="305"/>
      <c r="AC74" s="305"/>
      <c r="AD74" s="305"/>
      <c r="AE74" s="305"/>
      <c r="AF74" s="305"/>
      <c r="AG74" s="305"/>
    </row>
    <row r="75" spans="1:33" s="209" customFormat="1" ht="12.75">
      <c r="A75" s="306" t="s">
        <v>98</v>
      </c>
      <c r="B75" s="307">
        <f aca="true" t="shared" si="37" ref="B75:AG75">B33</f>
        <v>2011</v>
      </c>
      <c r="C75" s="307">
        <f t="shared" si="37"/>
        <v>2012</v>
      </c>
      <c r="D75" s="307">
        <f t="shared" si="37"/>
        <v>2013</v>
      </c>
      <c r="E75" s="307">
        <f t="shared" si="37"/>
        <v>2014</v>
      </c>
      <c r="F75" s="630">
        <f t="shared" si="37"/>
        <v>2015</v>
      </c>
      <c r="G75" s="307">
        <f t="shared" si="37"/>
        <v>2016</v>
      </c>
      <c r="H75" s="307">
        <f t="shared" si="37"/>
        <v>2017</v>
      </c>
      <c r="I75" s="307">
        <f t="shared" si="37"/>
        <v>2018</v>
      </c>
      <c r="J75" s="307">
        <f t="shared" si="37"/>
        <v>2019</v>
      </c>
      <c r="K75" s="307">
        <f t="shared" si="37"/>
        <v>2020</v>
      </c>
      <c r="L75" s="307">
        <f t="shared" si="37"/>
        <v>2021</v>
      </c>
      <c r="M75" s="307">
        <f t="shared" si="37"/>
        <v>2022</v>
      </c>
      <c r="N75" s="307">
        <f t="shared" si="37"/>
        <v>2023</v>
      </c>
      <c r="O75" s="307">
        <f t="shared" si="37"/>
        <v>2024</v>
      </c>
      <c r="P75" s="307">
        <f t="shared" si="37"/>
        <v>2025</v>
      </c>
      <c r="Q75" s="307">
        <f t="shared" si="37"/>
        <v>2026</v>
      </c>
      <c r="R75" s="307">
        <f t="shared" si="37"/>
        <v>2027</v>
      </c>
      <c r="S75" s="307">
        <f t="shared" si="37"/>
        <v>2028</v>
      </c>
      <c r="T75" s="307">
        <f t="shared" si="37"/>
        <v>2029</v>
      </c>
      <c r="U75" s="307">
        <f t="shared" si="37"/>
        <v>2030</v>
      </c>
      <c r="V75" s="307">
        <f t="shared" si="37"/>
        <v>2031</v>
      </c>
      <c r="W75" s="307">
        <f t="shared" si="37"/>
        <v>2032</v>
      </c>
      <c r="X75" s="307">
        <f t="shared" si="37"/>
        <v>2033</v>
      </c>
      <c r="Y75" s="307">
        <f t="shared" si="37"/>
        <v>2034</v>
      </c>
      <c r="Z75" s="307">
        <f t="shared" si="37"/>
        <v>2035</v>
      </c>
      <c r="AA75" s="307">
        <f t="shared" si="37"/>
        <v>2036</v>
      </c>
      <c r="AB75" s="307">
        <f t="shared" si="37"/>
        <v>2037</v>
      </c>
      <c r="AC75" s="307">
        <f t="shared" si="37"/>
        <v>2038</v>
      </c>
      <c r="AD75" s="307">
        <f t="shared" si="37"/>
        <v>2039</v>
      </c>
      <c r="AE75" s="307">
        <f t="shared" si="37"/>
        <v>2040</v>
      </c>
      <c r="AF75" s="307">
        <f t="shared" si="37"/>
        <v>2041</v>
      </c>
      <c r="AG75" s="307">
        <f t="shared" si="37"/>
        <v>2042</v>
      </c>
    </row>
    <row r="76" spans="1:33" s="209" customFormat="1" ht="12.75">
      <c r="A76" s="295" t="s">
        <v>13</v>
      </c>
      <c r="B76" s="292"/>
      <c r="C76" s="292"/>
      <c r="D76" s="292"/>
      <c r="E76" s="292"/>
      <c r="F76" s="625"/>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row>
    <row r="77" spans="1:33" s="209" customFormat="1" ht="12.75">
      <c r="A77" s="206" t="s">
        <v>202</v>
      </c>
      <c r="B77" s="296">
        <f>B37+B57</f>
        <v>0</v>
      </c>
      <c r="C77" s="296">
        <f>C37+C57+B77</f>
        <v>87720</v>
      </c>
      <c r="D77" s="296">
        <f>D37+D57</f>
        <v>570280</v>
      </c>
      <c r="E77" s="296">
        <f aca="true" t="shared" si="38" ref="E77:AG77">E37+E57</f>
        <v>570280</v>
      </c>
      <c r="F77" s="620">
        <f t="shared" si="38"/>
        <v>570280</v>
      </c>
      <c r="G77" s="296">
        <f t="shared" si="38"/>
        <v>570280</v>
      </c>
      <c r="H77" s="296">
        <f t="shared" si="38"/>
        <v>570280</v>
      </c>
      <c r="I77" s="296">
        <f t="shared" si="38"/>
        <v>570280</v>
      </c>
      <c r="J77" s="296">
        <f t="shared" si="38"/>
        <v>570280</v>
      </c>
      <c r="K77" s="296">
        <f t="shared" si="38"/>
        <v>570280</v>
      </c>
      <c r="L77" s="296">
        <f t="shared" si="38"/>
        <v>570280</v>
      </c>
      <c r="M77" s="296">
        <f t="shared" si="38"/>
        <v>570280</v>
      </c>
      <c r="N77" s="296">
        <f t="shared" si="38"/>
        <v>570280</v>
      </c>
      <c r="O77" s="296">
        <f t="shared" si="38"/>
        <v>570280</v>
      </c>
      <c r="P77" s="296">
        <f t="shared" si="38"/>
        <v>570280</v>
      </c>
      <c r="Q77" s="296">
        <f t="shared" si="38"/>
        <v>570280</v>
      </c>
      <c r="R77" s="296">
        <f t="shared" si="38"/>
        <v>570280</v>
      </c>
      <c r="S77" s="296">
        <f t="shared" si="38"/>
        <v>570280</v>
      </c>
      <c r="T77" s="296">
        <f t="shared" si="38"/>
        <v>570280</v>
      </c>
      <c r="U77" s="296">
        <f t="shared" si="38"/>
        <v>570280</v>
      </c>
      <c r="V77" s="296">
        <f t="shared" si="38"/>
        <v>570280</v>
      </c>
      <c r="W77" s="296">
        <f t="shared" si="38"/>
        <v>570280</v>
      </c>
      <c r="X77" s="296">
        <f t="shared" si="38"/>
        <v>570280</v>
      </c>
      <c r="Y77" s="296">
        <f t="shared" si="38"/>
        <v>570280</v>
      </c>
      <c r="Z77" s="296">
        <f t="shared" si="38"/>
        <v>570280</v>
      </c>
      <c r="AA77" s="296">
        <f t="shared" si="38"/>
        <v>570280</v>
      </c>
      <c r="AB77" s="296">
        <f t="shared" si="38"/>
        <v>570280</v>
      </c>
      <c r="AC77" s="296">
        <f t="shared" si="38"/>
        <v>570280</v>
      </c>
      <c r="AD77" s="296">
        <f t="shared" si="38"/>
        <v>570280</v>
      </c>
      <c r="AE77" s="296">
        <f t="shared" si="38"/>
        <v>570280</v>
      </c>
      <c r="AF77" s="296">
        <f t="shared" si="38"/>
        <v>570280</v>
      </c>
      <c r="AG77" s="296">
        <f t="shared" si="38"/>
        <v>570280</v>
      </c>
    </row>
    <row r="78" spans="1:33" s="209" customFormat="1" ht="12.75">
      <c r="A78" s="206" t="s">
        <v>203</v>
      </c>
      <c r="B78" s="297">
        <f>1/'Datu ievade'!$B$23</f>
        <v>0.02</v>
      </c>
      <c r="C78" s="297">
        <f>1/'Datu ievade'!$B$23</f>
        <v>0.02</v>
      </c>
      <c r="D78" s="297">
        <f>1/'Datu ievade'!$B$23</f>
        <v>0.02</v>
      </c>
      <c r="E78" s="297">
        <f>1/'Datu ievade'!$B$23</f>
        <v>0.02</v>
      </c>
      <c r="F78" s="626">
        <f>1/'Datu ievade'!$B$23</f>
        <v>0.02</v>
      </c>
      <c r="G78" s="297">
        <f>1/'Datu ievade'!$B$23</f>
        <v>0.02</v>
      </c>
      <c r="H78" s="297">
        <f>1/'Datu ievade'!$B$23</f>
        <v>0.02</v>
      </c>
      <c r="I78" s="297">
        <f>1/'Datu ievade'!$B$23</f>
        <v>0.02</v>
      </c>
      <c r="J78" s="297">
        <f>1/'Datu ievade'!$B$23</f>
        <v>0.02</v>
      </c>
      <c r="K78" s="297">
        <f>1/'Datu ievade'!$B$23</f>
        <v>0.02</v>
      </c>
      <c r="L78" s="297">
        <f>1/'Datu ievade'!$B$23</f>
        <v>0.02</v>
      </c>
      <c r="M78" s="297">
        <f>1/'Datu ievade'!$B$23</f>
        <v>0.02</v>
      </c>
      <c r="N78" s="297">
        <f>1/'Datu ievade'!$B$23</f>
        <v>0.02</v>
      </c>
      <c r="O78" s="297">
        <f>1/'Datu ievade'!$B$23</f>
        <v>0.02</v>
      </c>
      <c r="P78" s="297">
        <f>1/'Datu ievade'!$B$23</f>
        <v>0.02</v>
      </c>
      <c r="Q78" s="297">
        <f>1/'Datu ievade'!$B$23</f>
        <v>0.02</v>
      </c>
      <c r="R78" s="297">
        <f>1/'Datu ievade'!$B$23</f>
        <v>0.02</v>
      </c>
      <c r="S78" s="297">
        <f>1/'Datu ievade'!$B$23</f>
        <v>0.02</v>
      </c>
      <c r="T78" s="297">
        <f>1/'Datu ievade'!$B$23</f>
        <v>0.02</v>
      </c>
      <c r="U78" s="297">
        <f>1/'Datu ievade'!$B$23</f>
        <v>0.02</v>
      </c>
      <c r="V78" s="297">
        <f>1/'Datu ievade'!$B$23</f>
        <v>0.02</v>
      </c>
      <c r="W78" s="297">
        <f>1/'Datu ievade'!$B$23</f>
        <v>0.02</v>
      </c>
      <c r="X78" s="297">
        <f>1/'Datu ievade'!$B$23</f>
        <v>0.02</v>
      </c>
      <c r="Y78" s="297">
        <f>1/'Datu ievade'!$B$23</f>
        <v>0.02</v>
      </c>
      <c r="Z78" s="297">
        <f>1/'Datu ievade'!$B$23</f>
        <v>0.02</v>
      </c>
      <c r="AA78" s="297">
        <f>1/'Datu ievade'!$B$23</f>
        <v>0.02</v>
      </c>
      <c r="AB78" s="297">
        <f>1/'Datu ievade'!$B$23</f>
        <v>0.02</v>
      </c>
      <c r="AC78" s="297">
        <f>1/'Datu ievade'!$B$23</f>
        <v>0.02</v>
      </c>
      <c r="AD78" s="297">
        <f>1/'Datu ievade'!$B$23</f>
        <v>0.02</v>
      </c>
      <c r="AE78" s="297">
        <f>1/'Datu ievade'!$B$23</f>
        <v>0.02</v>
      </c>
      <c r="AF78" s="297">
        <f>1/'Datu ievade'!$B$23</f>
        <v>0.02</v>
      </c>
      <c r="AG78" s="297">
        <f>1/'Datu ievade'!$B$23</f>
        <v>0.02</v>
      </c>
    </row>
    <row r="79" spans="1:33" s="209" customFormat="1" ht="12.75">
      <c r="A79" s="206" t="s">
        <v>204</v>
      </c>
      <c r="B79" s="298">
        <v>0</v>
      </c>
      <c r="C79" s="296">
        <f aca="true" t="shared" si="39" ref="C79:AG79">IF(B81&gt;0,IF(C77-B77&gt;0,0,C78*C77),0)</f>
        <v>0</v>
      </c>
      <c r="D79" s="296">
        <f t="shared" si="39"/>
        <v>0</v>
      </c>
      <c r="E79" s="296">
        <f t="shared" si="39"/>
        <v>11405.6</v>
      </c>
      <c r="F79" s="620">
        <f t="shared" si="39"/>
        <v>11405.6</v>
      </c>
      <c r="G79" s="296">
        <f t="shared" si="39"/>
        <v>11405.6</v>
      </c>
      <c r="H79" s="296">
        <f t="shared" si="39"/>
        <v>11405.6</v>
      </c>
      <c r="I79" s="296">
        <f t="shared" si="39"/>
        <v>11405.6</v>
      </c>
      <c r="J79" s="296">
        <f t="shared" si="39"/>
        <v>11405.6</v>
      </c>
      <c r="K79" s="296">
        <f t="shared" si="39"/>
        <v>11405.6</v>
      </c>
      <c r="L79" s="296">
        <f t="shared" si="39"/>
        <v>11405.6</v>
      </c>
      <c r="M79" s="296">
        <f t="shared" si="39"/>
        <v>11405.6</v>
      </c>
      <c r="N79" s="296">
        <f t="shared" si="39"/>
        <v>11405.6</v>
      </c>
      <c r="O79" s="296">
        <f t="shared" si="39"/>
        <v>11405.6</v>
      </c>
      <c r="P79" s="296">
        <f t="shared" si="39"/>
        <v>11405.6</v>
      </c>
      <c r="Q79" s="296">
        <f t="shared" si="39"/>
        <v>11405.6</v>
      </c>
      <c r="R79" s="296">
        <f t="shared" si="39"/>
        <v>11405.6</v>
      </c>
      <c r="S79" s="296">
        <f t="shared" si="39"/>
        <v>11405.6</v>
      </c>
      <c r="T79" s="296">
        <f t="shared" si="39"/>
        <v>11405.6</v>
      </c>
      <c r="U79" s="296">
        <f t="shared" si="39"/>
        <v>11405.6</v>
      </c>
      <c r="V79" s="296">
        <f t="shared" si="39"/>
        <v>11405.6</v>
      </c>
      <c r="W79" s="296">
        <f t="shared" si="39"/>
        <v>11405.6</v>
      </c>
      <c r="X79" s="296">
        <f t="shared" si="39"/>
        <v>11405.6</v>
      </c>
      <c r="Y79" s="296">
        <f t="shared" si="39"/>
        <v>11405.6</v>
      </c>
      <c r="Z79" s="296">
        <f t="shared" si="39"/>
        <v>11405.6</v>
      </c>
      <c r="AA79" s="296">
        <f t="shared" si="39"/>
        <v>11405.6</v>
      </c>
      <c r="AB79" s="296">
        <f t="shared" si="39"/>
        <v>11405.6</v>
      </c>
      <c r="AC79" s="296">
        <f t="shared" si="39"/>
        <v>11405.6</v>
      </c>
      <c r="AD79" s="296">
        <f t="shared" si="39"/>
        <v>11405.6</v>
      </c>
      <c r="AE79" s="296">
        <f t="shared" si="39"/>
        <v>11405.6</v>
      </c>
      <c r="AF79" s="296">
        <f t="shared" si="39"/>
        <v>11405.6</v>
      </c>
      <c r="AG79" s="296">
        <f t="shared" si="39"/>
        <v>11405.6</v>
      </c>
    </row>
    <row r="80" spans="1:33" s="209" customFormat="1" ht="12.75">
      <c r="A80" s="206" t="s">
        <v>205</v>
      </c>
      <c r="B80" s="296">
        <f>B79</f>
        <v>0</v>
      </c>
      <c r="C80" s="296">
        <f aca="true" t="shared" si="40" ref="C80:AG80">C79+B80</f>
        <v>0</v>
      </c>
      <c r="D80" s="296">
        <f t="shared" si="40"/>
        <v>0</v>
      </c>
      <c r="E80" s="296">
        <f t="shared" si="40"/>
        <v>11405.6</v>
      </c>
      <c r="F80" s="620">
        <f t="shared" si="40"/>
        <v>22811.2</v>
      </c>
      <c r="G80" s="296">
        <f t="shared" si="40"/>
        <v>34216.8</v>
      </c>
      <c r="H80" s="296">
        <f t="shared" si="40"/>
        <v>45622.4</v>
      </c>
      <c r="I80" s="296">
        <f t="shared" si="40"/>
        <v>57028</v>
      </c>
      <c r="J80" s="296">
        <f t="shared" si="40"/>
        <v>68433.6</v>
      </c>
      <c r="K80" s="296">
        <f t="shared" si="40"/>
        <v>79839.20000000001</v>
      </c>
      <c r="L80" s="296">
        <f t="shared" si="40"/>
        <v>91244.80000000002</v>
      </c>
      <c r="M80" s="296">
        <f t="shared" si="40"/>
        <v>102650.40000000002</v>
      </c>
      <c r="N80" s="296">
        <f t="shared" si="40"/>
        <v>114056.00000000003</v>
      </c>
      <c r="O80" s="296">
        <f t="shared" si="40"/>
        <v>125461.60000000003</v>
      </c>
      <c r="P80" s="296">
        <f t="shared" si="40"/>
        <v>136867.20000000004</v>
      </c>
      <c r="Q80" s="296">
        <f t="shared" si="40"/>
        <v>148272.80000000005</v>
      </c>
      <c r="R80" s="296">
        <f t="shared" si="40"/>
        <v>159678.40000000005</v>
      </c>
      <c r="S80" s="296">
        <f t="shared" si="40"/>
        <v>171084.00000000006</v>
      </c>
      <c r="T80" s="296">
        <f t="shared" si="40"/>
        <v>182489.60000000006</v>
      </c>
      <c r="U80" s="296">
        <f t="shared" si="40"/>
        <v>193895.20000000007</v>
      </c>
      <c r="V80" s="296">
        <f t="shared" si="40"/>
        <v>205300.80000000008</v>
      </c>
      <c r="W80" s="296">
        <f t="shared" si="40"/>
        <v>216706.40000000008</v>
      </c>
      <c r="X80" s="296">
        <f t="shared" si="40"/>
        <v>228112.0000000001</v>
      </c>
      <c r="Y80" s="296">
        <f t="shared" si="40"/>
        <v>239517.6000000001</v>
      </c>
      <c r="Z80" s="296">
        <f t="shared" si="40"/>
        <v>250923.2000000001</v>
      </c>
      <c r="AA80" s="296">
        <f t="shared" si="40"/>
        <v>262328.8000000001</v>
      </c>
      <c r="AB80" s="296">
        <f t="shared" si="40"/>
        <v>273734.4000000001</v>
      </c>
      <c r="AC80" s="296">
        <f t="shared" si="40"/>
        <v>285140.00000000006</v>
      </c>
      <c r="AD80" s="296">
        <f t="shared" si="40"/>
        <v>296545.60000000003</v>
      </c>
      <c r="AE80" s="296">
        <f t="shared" si="40"/>
        <v>307951.2</v>
      </c>
      <c r="AF80" s="296">
        <f t="shared" si="40"/>
        <v>319356.8</v>
      </c>
      <c r="AG80" s="296">
        <f t="shared" si="40"/>
        <v>330762.39999999997</v>
      </c>
    </row>
    <row r="81" spans="1:33" s="209" customFormat="1" ht="12.75">
      <c r="A81" s="206" t="s">
        <v>206</v>
      </c>
      <c r="B81" s="296">
        <f aca="true" t="shared" si="41" ref="B81:AG81">ROUND(IF(B77-B80&gt;0,B77-B80,0),0)</f>
        <v>0</v>
      </c>
      <c r="C81" s="296">
        <f t="shared" si="41"/>
        <v>87720</v>
      </c>
      <c r="D81" s="296">
        <f t="shared" si="41"/>
        <v>570280</v>
      </c>
      <c r="E81" s="296">
        <f t="shared" si="41"/>
        <v>558874</v>
      </c>
      <c r="F81" s="620">
        <f t="shared" si="41"/>
        <v>547469</v>
      </c>
      <c r="G81" s="296">
        <f t="shared" si="41"/>
        <v>536063</v>
      </c>
      <c r="H81" s="296">
        <f t="shared" si="41"/>
        <v>524658</v>
      </c>
      <c r="I81" s="296">
        <f t="shared" si="41"/>
        <v>513252</v>
      </c>
      <c r="J81" s="296">
        <f t="shared" si="41"/>
        <v>501846</v>
      </c>
      <c r="K81" s="296">
        <f t="shared" si="41"/>
        <v>490441</v>
      </c>
      <c r="L81" s="296">
        <f t="shared" si="41"/>
        <v>479035</v>
      </c>
      <c r="M81" s="296">
        <f t="shared" si="41"/>
        <v>467630</v>
      </c>
      <c r="N81" s="296">
        <f t="shared" si="41"/>
        <v>456224</v>
      </c>
      <c r="O81" s="296">
        <f t="shared" si="41"/>
        <v>444818</v>
      </c>
      <c r="P81" s="296">
        <f t="shared" si="41"/>
        <v>433413</v>
      </c>
      <c r="Q81" s="296">
        <f t="shared" si="41"/>
        <v>422007</v>
      </c>
      <c r="R81" s="296">
        <f t="shared" si="41"/>
        <v>410602</v>
      </c>
      <c r="S81" s="296">
        <f t="shared" si="41"/>
        <v>399196</v>
      </c>
      <c r="T81" s="296">
        <f t="shared" si="41"/>
        <v>387790</v>
      </c>
      <c r="U81" s="296">
        <f t="shared" si="41"/>
        <v>376385</v>
      </c>
      <c r="V81" s="296">
        <f t="shared" si="41"/>
        <v>364979</v>
      </c>
      <c r="W81" s="296">
        <f t="shared" si="41"/>
        <v>353574</v>
      </c>
      <c r="X81" s="296">
        <f t="shared" si="41"/>
        <v>342168</v>
      </c>
      <c r="Y81" s="296">
        <f t="shared" si="41"/>
        <v>330762</v>
      </c>
      <c r="Z81" s="296">
        <f t="shared" si="41"/>
        <v>319357</v>
      </c>
      <c r="AA81" s="296">
        <f t="shared" si="41"/>
        <v>307951</v>
      </c>
      <c r="AB81" s="296">
        <f t="shared" si="41"/>
        <v>296546</v>
      </c>
      <c r="AC81" s="296">
        <f t="shared" si="41"/>
        <v>285140</v>
      </c>
      <c r="AD81" s="296">
        <f t="shared" si="41"/>
        <v>273734</v>
      </c>
      <c r="AE81" s="296">
        <f t="shared" si="41"/>
        <v>262329</v>
      </c>
      <c r="AF81" s="296">
        <f t="shared" si="41"/>
        <v>250923</v>
      </c>
      <c r="AG81" s="296">
        <f t="shared" si="41"/>
        <v>239518</v>
      </c>
    </row>
    <row r="82" spans="1:33" s="209" customFormat="1" ht="12.75">
      <c r="A82" s="295" t="s">
        <v>14</v>
      </c>
      <c r="B82" s="292"/>
      <c r="C82" s="292"/>
      <c r="D82" s="292"/>
      <c r="E82" s="292"/>
      <c r="F82" s="625"/>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row>
    <row r="83" spans="1:33" s="209" customFormat="1" ht="12.75">
      <c r="A83" s="206" t="s">
        <v>202</v>
      </c>
      <c r="B83" s="296">
        <f>B43+B63</f>
        <v>0</v>
      </c>
      <c r="C83" s="296">
        <f aca="true" t="shared" si="42" ref="C83:AG83">C43+C63</f>
        <v>32640</v>
      </c>
      <c r="D83" s="296">
        <f t="shared" si="42"/>
        <v>125460</v>
      </c>
      <c r="E83" s="296">
        <f t="shared" si="42"/>
        <v>125460</v>
      </c>
      <c r="F83" s="620">
        <f t="shared" si="42"/>
        <v>125460</v>
      </c>
      <c r="G83" s="296">
        <f t="shared" si="42"/>
        <v>125460</v>
      </c>
      <c r="H83" s="296">
        <f t="shared" si="42"/>
        <v>125460</v>
      </c>
      <c r="I83" s="296">
        <f t="shared" si="42"/>
        <v>125460</v>
      </c>
      <c r="J83" s="296">
        <f t="shared" si="42"/>
        <v>125460</v>
      </c>
      <c r="K83" s="296">
        <f t="shared" si="42"/>
        <v>125460</v>
      </c>
      <c r="L83" s="296">
        <f t="shared" si="42"/>
        <v>125460</v>
      </c>
      <c r="M83" s="296">
        <f t="shared" si="42"/>
        <v>125460</v>
      </c>
      <c r="N83" s="296">
        <f t="shared" si="42"/>
        <v>125460</v>
      </c>
      <c r="O83" s="296">
        <f t="shared" si="42"/>
        <v>125460</v>
      </c>
      <c r="P83" s="296">
        <f t="shared" si="42"/>
        <v>125460</v>
      </c>
      <c r="Q83" s="296">
        <f t="shared" si="42"/>
        <v>125460</v>
      </c>
      <c r="R83" s="296">
        <f t="shared" si="42"/>
        <v>125460</v>
      </c>
      <c r="S83" s="296">
        <f t="shared" si="42"/>
        <v>125460</v>
      </c>
      <c r="T83" s="296">
        <f t="shared" si="42"/>
        <v>125460</v>
      </c>
      <c r="U83" s="296">
        <f t="shared" si="42"/>
        <v>125460</v>
      </c>
      <c r="V83" s="296">
        <f t="shared" si="42"/>
        <v>125460</v>
      </c>
      <c r="W83" s="296">
        <f t="shared" si="42"/>
        <v>125460</v>
      </c>
      <c r="X83" s="296">
        <f t="shared" si="42"/>
        <v>125460</v>
      </c>
      <c r="Y83" s="296">
        <f t="shared" si="42"/>
        <v>125460</v>
      </c>
      <c r="Z83" s="296">
        <f t="shared" si="42"/>
        <v>125460</v>
      </c>
      <c r="AA83" s="296">
        <f t="shared" si="42"/>
        <v>125460</v>
      </c>
      <c r="AB83" s="296">
        <f t="shared" si="42"/>
        <v>125460</v>
      </c>
      <c r="AC83" s="296">
        <f t="shared" si="42"/>
        <v>125460</v>
      </c>
      <c r="AD83" s="296">
        <f t="shared" si="42"/>
        <v>125460</v>
      </c>
      <c r="AE83" s="296">
        <f t="shared" si="42"/>
        <v>125460</v>
      </c>
      <c r="AF83" s="296">
        <f t="shared" si="42"/>
        <v>125460</v>
      </c>
      <c r="AG83" s="296">
        <f t="shared" si="42"/>
        <v>125460</v>
      </c>
    </row>
    <row r="84" spans="1:33" s="209" customFormat="1" ht="12.75">
      <c r="A84" s="206" t="s">
        <v>203</v>
      </c>
      <c r="B84" s="297">
        <f>1/'Datu ievade'!$B$26</f>
        <v>0.06666666666666667</v>
      </c>
      <c r="C84" s="297">
        <f>1/'Datu ievade'!$B$26</f>
        <v>0.06666666666666667</v>
      </c>
      <c r="D84" s="297">
        <f>1/'Datu ievade'!$B$26</f>
        <v>0.06666666666666667</v>
      </c>
      <c r="E84" s="297">
        <f>1/'Datu ievade'!$B$26</f>
        <v>0.06666666666666667</v>
      </c>
      <c r="F84" s="626">
        <f>1/'Datu ievade'!$B$26</f>
        <v>0.06666666666666667</v>
      </c>
      <c r="G84" s="297">
        <f>1/'Datu ievade'!$B$26</f>
        <v>0.06666666666666667</v>
      </c>
      <c r="H84" s="297">
        <f>1/'Datu ievade'!$B$26</f>
        <v>0.06666666666666667</v>
      </c>
      <c r="I84" s="297">
        <f>1/'Datu ievade'!$B$26</f>
        <v>0.06666666666666667</v>
      </c>
      <c r="J84" s="297">
        <f>1/'Datu ievade'!$B$26</f>
        <v>0.06666666666666667</v>
      </c>
      <c r="K84" s="297">
        <f>1/'Datu ievade'!$B$26</f>
        <v>0.06666666666666667</v>
      </c>
      <c r="L84" s="297">
        <f>1/'Datu ievade'!$B$26</f>
        <v>0.06666666666666667</v>
      </c>
      <c r="M84" s="297">
        <f>1/'Datu ievade'!$B$26</f>
        <v>0.06666666666666667</v>
      </c>
      <c r="N84" s="297">
        <f>1/'Datu ievade'!$B$26</f>
        <v>0.06666666666666667</v>
      </c>
      <c r="O84" s="297">
        <f>1/'Datu ievade'!$B$26</f>
        <v>0.06666666666666667</v>
      </c>
      <c r="P84" s="297">
        <f>1/'Datu ievade'!$B$26</f>
        <v>0.06666666666666667</v>
      </c>
      <c r="Q84" s="297">
        <f>1/'Datu ievade'!$B$26</f>
        <v>0.06666666666666667</v>
      </c>
      <c r="R84" s="297">
        <f>1/'Datu ievade'!$B$26</f>
        <v>0.06666666666666667</v>
      </c>
      <c r="S84" s="297">
        <f>1/'Datu ievade'!$B$26</f>
        <v>0.06666666666666667</v>
      </c>
      <c r="T84" s="297">
        <f>1/'Datu ievade'!$B$26</f>
        <v>0.06666666666666667</v>
      </c>
      <c r="U84" s="297">
        <f>1/'Datu ievade'!$B$26</f>
        <v>0.06666666666666667</v>
      </c>
      <c r="V84" s="297">
        <f>1/'Datu ievade'!$B$26</f>
        <v>0.06666666666666667</v>
      </c>
      <c r="W84" s="297">
        <f>1/'Datu ievade'!$B$26</f>
        <v>0.06666666666666667</v>
      </c>
      <c r="X84" s="297">
        <f>1/'Datu ievade'!$B$26</f>
        <v>0.06666666666666667</v>
      </c>
      <c r="Y84" s="297">
        <f>1/'Datu ievade'!$B$26</f>
        <v>0.06666666666666667</v>
      </c>
      <c r="Z84" s="297">
        <f>1/'Datu ievade'!$B$26</f>
        <v>0.06666666666666667</v>
      </c>
      <c r="AA84" s="297">
        <f>1/'Datu ievade'!$B$26</f>
        <v>0.06666666666666667</v>
      </c>
      <c r="AB84" s="297">
        <f>1/'Datu ievade'!$B$26</f>
        <v>0.06666666666666667</v>
      </c>
      <c r="AC84" s="297">
        <f>1/'Datu ievade'!$B$26</f>
        <v>0.06666666666666667</v>
      </c>
      <c r="AD84" s="297">
        <f>1/'Datu ievade'!$B$26</f>
        <v>0.06666666666666667</v>
      </c>
      <c r="AE84" s="297">
        <f>1/'Datu ievade'!$B$26</f>
        <v>0.06666666666666667</v>
      </c>
      <c r="AF84" s="297">
        <f>1/'Datu ievade'!$B$26</f>
        <v>0.06666666666666667</v>
      </c>
      <c r="AG84" s="297">
        <f>1/'Datu ievade'!$B$26</f>
        <v>0.06666666666666667</v>
      </c>
    </row>
    <row r="85" spans="1:33" s="209" customFormat="1" ht="12.75">
      <c r="A85" s="206" t="s">
        <v>204</v>
      </c>
      <c r="B85" s="298">
        <v>0</v>
      </c>
      <c r="C85" s="296">
        <f aca="true" t="shared" si="43" ref="C85:AG85">IF(B87&gt;0,IF(C83-B83&gt;0,0,C84*C83),0)</f>
        <v>0</v>
      </c>
      <c r="D85" s="296">
        <f t="shared" si="43"/>
        <v>0</v>
      </c>
      <c r="E85" s="296">
        <f t="shared" si="43"/>
        <v>8364</v>
      </c>
      <c r="F85" s="620">
        <f t="shared" si="43"/>
        <v>8364</v>
      </c>
      <c r="G85" s="296">
        <f t="shared" si="43"/>
        <v>8364</v>
      </c>
      <c r="H85" s="296">
        <f t="shared" si="43"/>
        <v>8364</v>
      </c>
      <c r="I85" s="296">
        <f t="shared" si="43"/>
        <v>8364</v>
      </c>
      <c r="J85" s="296">
        <f t="shared" si="43"/>
        <v>8364</v>
      </c>
      <c r="K85" s="296">
        <f t="shared" si="43"/>
        <v>8364</v>
      </c>
      <c r="L85" s="296">
        <f t="shared" si="43"/>
        <v>8364</v>
      </c>
      <c r="M85" s="296">
        <f t="shared" si="43"/>
        <v>8364</v>
      </c>
      <c r="N85" s="296">
        <f t="shared" si="43"/>
        <v>8364</v>
      </c>
      <c r="O85" s="296">
        <f t="shared" si="43"/>
        <v>8364</v>
      </c>
      <c r="P85" s="296">
        <f t="shared" si="43"/>
        <v>8364</v>
      </c>
      <c r="Q85" s="296">
        <f t="shared" si="43"/>
        <v>8364</v>
      </c>
      <c r="R85" s="296">
        <f t="shared" si="43"/>
        <v>8364</v>
      </c>
      <c r="S85" s="296">
        <f t="shared" si="43"/>
        <v>8364</v>
      </c>
      <c r="T85" s="296">
        <f t="shared" si="43"/>
        <v>0</v>
      </c>
      <c r="U85" s="296">
        <f t="shared" si="43"/>
        <v>0</v>
      </c>
      <c r="V85" s="296">
        <f t="shared" si="43"/>
        <v>0</v>
      </c>
      <c r="W85" s="296">
        <f t="shared" si="43"/>
        <v>0</v>
      </c>
      <c r="X85" s="296">
        <f t="shared" si="43"/>
        <v>0</v>
      </c>
      <c r="Y85" s="296">
        <f t="shared" si="43"/>
        <v>0</v>
      </c>
      <c r="Z85" s="296">
        <f t="shared" si="43"/>
        <v>0</v>
      </c>
      <c r="AA85" s="296">
        <f t="shared" si="43"/>
        <v>0</v>
      </c>
      <c r="AB85" s="296">
        <f t="shared" si="43"/>
        <v>0</v>
      </c>
      <c r="AC85" s="296">
        <f t="shared" si="43"/>
        <v>0</v>
      </c>
      <c r="AD85" s="296">
        <f t="shared" si="43"/>
        <v>0</v>
      </c>
      <c r="AE85" s="296">
        <f t="shared" si="43"/>
        <v>0</v>
      </c>
      <c r="AF85" s="296">
        <f t="shared" si="43"/>
        <v>0</v>
      </c>
      <c r="AG85" s="296">
        <f t="shared" si="43"/>
        <v>0</v>
      </c>
    </row>
    <row r="86" spans="1:33" s="209" customFormat="1" ht="12.75">
      <c r="A86" s="206" t="s">
        <v>205</v>
      </c>
      <c r="B86" s="296">
        <f>B85</f>
        <v>0</v>
      </c>
      <c r="C86" s="296">
        <f aca="true" t="shared" si="44" ref="C86:AG86">C85+B86</f>
        <v>0</v>
      </c>
      <c r="D86" s="296">
        <f t="shared" si="44"/>
        <v>0</v>
      </c>
      <c r="E86" s="296">
        <f t="shared" si="44"/>
        <v>8364</v>
      </c>
      <c r="F86" s="620">
        <f t="shared" si="44"/>
        <v>16728</v>
      </c>
      <c r="G86" s="296">
        <f t="shared" si="44"/>
        <v>25092</v>
      </c>
      <c r="H86" s="296">
        <f t="shared" si="44"/>
        <v>33456</v>
      </c>
      <c r="I86" s="296">
        <f t="shared" si="44"/>
        <v>41820</v>
      </c>
      <c r="J86" s="296">
        <f t="shared" si="44"/>
        <v>50184</v>
      </c>
      <c r="K86" s="296">
        <f t="shared" si="44"/>
        <v>58548</v>
      </c>
      <c r="L86" s="296">
        <f t="shared" si="44"/>
        <v>66912</v>
      </c>
      <c r="M86" s="296">
        <f t="shared" si="44"/>
        <v>75276</v>
      </c>
      <c r="N86" s="296">
        <f t="shared" si="44"/>
        <v>83640</v>
      </c>
      <c r="O86" s="296">
        <f t="shared" si="44"/>
        <v>92004</v>
      </c>
      <c r="P86" s="296">
        <f t="shared" si="44"/>
        <v>100368</v>
      </c>
      <c r="Q86" s="296">
        <f t="shared" si="44"/>
        <v>108732</v>
      </c>
      <c r="R86" s="296">
        <f t="shared" si="44"/>
        <v>117096</v>
      </c>
      <c r="S86" s="296">
        <f t="shared" si="44"/>
        <v>125460</v>
      </c>
      <c r="T86" s="296">
        <f t="shared" si="44"/>
        <v>125460</v>
      </c>
      <c r="U86" s="296">
        <f t="shared" si="44"/>
        <v>125460</v>
      </c>
      <c r="V86" s="296">
        <f t="shared" si="44"/>
        <v>125460</v>
      </c>
      <c r="W86" s="296">
        <f t="shared" si="44"/>
        <v>125460</v>
      </c>
      <c r="X86" s="296">
        <f t="shared" si="44"/>
        <v>125460</v>
      </c>
      <c r="Y86" s="296">
        <f t="shared" si="44"/>
        <v>125460</v>
      </c>
      <c r="Z86" s="296">
        <f t="shared" si="44"/>
        <v>125460</v>
      </c>
      <c r="AA86" s="296">
        <f t="shared" si="44"/>
        <v>125460</v>
      </c>
      <c r="AB86" s="296">
        <f t="shared" si="44"/>
        <v>125460</v>
      </c>
      <c r="AC86" s="296">
        <f t="shared" si="44"/>
        <v>125460</v>
      </c>
      <c r="AD86" s="296">
        <f t="shared" si="44"/>
        <v>125460</v>
      </c>
      <c r="AE86" s="296">
        <f t="shared" si="44"/>
        <v>125460</v>
      </c>
      <c r="AF86" s="296">
        <f t="shared" si="44"/>
        <v>125460</v>
      </c>
      <c r="AG86" s="296">
        <f t="shared" si="44"/>
        <v>125460</v>
      </c>
    </row>
    <row r="87" spans="1:33" s="209" customFormat="1" ht="12.75">
      <c r="A87" s="206" t="s">
        <v>206</v>
      </c>
      <c r="B87" s="296">
        <f aca="true" t="shared" si="45" ref="B87:AG87">ROUND(IF(B83-B86&gt;0,B83-B86,0),0)</f>
        <v>0</v>
      </c>
      <c r="C87" s="296">
        <f t="shared" si="45"/>
        <v>32640</v>
      </c>
      <c r="D87" s="296">
        <f t="shared" si="45"/>
        <v>125460</v>
      </c>
      <c r="E87" s="296">
        <f t="shared" si="45"/>
        <v>117096</v>
      </c>
      <c r="F87" s="620">
        <f t="shared" si="45"/>
        <v>108732</v>
      </c>
      <c r="G87" s="296">
        <f t="shared" si="45"/>
        <v>100368</v>
      </c>
      <c r="H87" s="296">
        <f t="shared" si="45"/>
        <v>92004</v>
      </c>
      <c r="I87" s="296">
        <f t="shared" si="45"/>
        <v>83640</v>
      </c>
      <c r="J87" s="296">
        <f t="shared" si="45"/>
        <v>75276</v>
      </c>
      <c r="K87" s="296">
        <f t="shared" si="45"/>
        <v>66912</v>
      </c>
      <c r="L87" s="296">
        <f t="shared" si="45"/>
        <v>58548</v>
      </c>
      <c r="M87" s="296">
        <f t="shared" si="45"/>
        <v>50184</v>
      </c>
      <c r="N87" s="296">
        <f t="shared" si="45"/>
        <v>41820</v>
      </c>
      <c r="O87" s="296">
        <f t="shared" si="45"/>
        <v>33456</v>
      </c>
      <c r="P87" s="296">
        <f t="shared" si="45"/>
        <v>25092</v>
      </c>
      <c r="Q87" s="296">
        <f t="shared" si="45"/>
        <v>16728</v>
      </c>
      <c r="R87" s="296">
        <f t="shared" si="45"/>
        <v>8364</v>
      </c>
      <c r="S87" s="296">
        <f t="shared" si="45"/>
        <v>0</v>
      </c>
      <c r="T87" s="296">
        <f t="shared" si="45"/>
        <v>0</v>
      </c>
      <c r="U87" s="296">
        <f t="shared" si="45"/>
        <v>0</v>
      </c>
      <c r="V87" s="296">
        <f t="shared" si="45"/>
        <v>0</v>
      </c>
      <c r="W87" s="296">
        <f t="shared" si="45"/>
        <v>0</v>
      </c>
      <c r="X87" s="296">
        <f t="shared" si="45"/>
        <v>0</v>
      </c>
      <c r="Y87" s="296">
        <f t="shared" si="45"/>
        <v>0</v>
      </c>
      <c r="Z87" s="296">
        <f t="shared" si="45"/>
        <v>0</v>
      </c>
      <c r="AA87" s="296">
        <f t="shared" si="45"/>
        <v>0</v>
      </c>
      <c r="AB87" s="296">
        <f t="shared" si="45"/>
        <v>0</v>
      </c>
      <c r="AC87" s="296">
        <f t="shared" si="45"/>
        <v>0</v>
      </c>
      <c r="AD87" s="296">
        <f t="shared" si="45"/>
        <v>0</v>
      </c>
      <c r="AE87" s="296">
        <f t="shared" si="45"/>
        <v>0</v>
      </c>
      <c r="AF87" s="296">
        <f t="shared" si="45"/>
        <v>0</v>
      </c>
      <c r="AG87" s="296">
        <f t="shared" si="45"/>
        <v>0</v>
      </c>
    </row>
    <row r="88" spans="1:33" s="209" customFormat="1" ht="12.75">
      <c r="A88" s="295" t="s">
        <v>15</v>
      </c>
      <c r="B88" s="292"/>
      <c r="C88" s="292"/>
      <c r="D88" s="292"/>
      <c r="E88" s="292"/>
      <c r="F88" s="625"/>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3" s="209" customFormat="1" ht="12.75">
      <c r="A89" s="206" t="s">
        <v>202</v>
      </c>
      <c r="B89" s="296">
        <f>B49+B69</f>
        <v>0</v>
      </c>
      <c r="C89" s="296">
        <f aca="true" t="shared" si="46" ref="C89:AG89">C49+C69</f>
        <v>13260</v>
      </c>
      <c r="D89" s="296">
        <f t="shared" si="46"/>
        <v>22412</v>
      </c>
      <c r="E89" s="296">
        <f t="shared" si="46"/>
        <v>22412</v>
      </c>
      <c r="F89" s="620">
        <f t="shared" si="46"/>
        <v>22412</v>
      </c>
      <c r="G89" s="296">
        <f t="shared" si="46"/>
        <v>22412</v>
      </c>
      <c r="H89" s="296">
        <f t="shared" si="46"/>
        <v>22412</v>
      </c>
      <c r="I89" s="296">
        <f t="shared" si="46"/>
        <v>22412</v>
      </c>
      <c r="J89" s="296">
        <f t="shared" si="46"/>
        <v>22412</v>
      </c>
      <c r="K89" s="296">
        <f t="shared" si="46"/>
        <v>22412</v>
      </c>
      <c r="L89" s="296">
        <f t="shared" si="46"/>
        <v>22412</v>
      </c>
      <c r="M89" s="296">
        <f t="shared" si="46"/>
        <v>22412</v>
      </c>
      <c r="N89" s="296">
        <f t="shared" si="46"/>
        <v>22412</v>
      </c>
      <c r="O89" s="296">
        <f t="shared" si="46"/>
        <v>22412</v>
      </c>
      <c r="P89" s="296">
        <f t="shared" si="46"/>
        <v>22412</v>
      </c>
      <c r="Q89" s="296">
        <f t="shared" si="46"/>
        <v>22412</v>
      </c>
      <c r="R89" s="296">
        <f t="shared" si="46"/>
        <v>22412</v>
      </c>
      <c r="S89" s="296">
        <f t="shared" si="46"/>
        <v>22412</v>
      </c>
      <c r="T89" s="296">
        <f t="shared" si="46"/>
        <v>22412</v>
      </c>
      <c r="U89" s="296">
        <f t="shared" si="46"/>
        <v>22412</v>
      </c>
      <c r="V89" s="296">
        <f t="shared" si="46"/>
        <v>22412</v>
      </c>
      <c r="W89" s="296">
        <f t="shared" si="46"/>
        <v>22412</v>
      </c>
      <c r="X89" s="296">
        <f t="shared" si="46"/>
        <v>22412</v>
      </c>
      <c r="Y89" s="296">
        <f t="shared" si="46"/>
        <v>22412</v>
      </c>
      <c r="Z89" s="296">
        <f t="shared" si="46"/>
        <v>22412</v>
      </c>
      <c r="AA89" s="296">
        <f t="shared" si="46"/>
        <v>22412</v>
      </c>
      <c r="AB89" s="296">
        <f t="shared" si="46"/>
        <v>22412</v>
      </c>
      <c r="AC89" s="296">
        <f t="shared" si="46"/>
        <v>22412</v>
      </c>
      <c r="AD89" s="296">
        <f t="shared" si="46"/>
        <v>22412</v>
      </c>
      <c r="AE89" s="296">
        <f t="shared" si="46"/>
        <v>22412</v>
      </c>
      <c r="AF89" s="296">
        <f t="shared" si="46"/>
        <v>22412</v>
      </c>
      <c r="AG89" s="296">
        <f t="shared" si="46"/>
        <v>22412</v>
      </c>
    </row>
    <row r="90" spans="1:33" s="209" customFormat="1" ht="12.75">
      <c r="A90" s="206" t="s">
        <v>203</v>
      </c>
      <c r="B90" s="297">
        <f>1/'Datu ievade'!$B$27</f>
        <v>0.1</v>
      </c>
      <c r="C90" s="297">
        <f>1/'Datu ievade'!$B$27</f>
        <v>0.1</v>
      </c>
      <c r="D90" s="297">
        <f>1/'Datu ievade'!$B$27</f>
        <v>0.1</v>
      </c>
      <c r="E90" s="297">
        <f>1/'Datu ievade'!$B$27</f>
        <v>0.1</v>
      </c>
      <c r="F90" s="626">
        <f>1/'Datu ievade'!$B$27</f>
        <v>0.1</v>
      </c>
      <c r="G90" s="297">
        <f>1/'Datu ievade'!$B$27</f>
        <v>0.1</v>
      </c>
      <c r="H90" s="297">
        <f>1/'Datu ievade'!$B$27</f>
        <v>0.1</v>
      </c>
      <c r="I90" s="297">
        <f>1/'Datu ievade'!$B$27</f>
        <v>0.1</v>
      </c>
      <c r="J90" s="297">
        <f>1/'Datu ievade'!$B$27</f>
        <v>0.1</v>
      </c>
      <c r="K90" s="297">
        <f>1/'Datu ievade'!$B$27</f>
        <v>0.1</v>
      </c>
      <c r="L90" s="297">
        <f>1/'Datu ievade'!$B$27</f>
        <v>0.1</v>
      </c>
      <c r="M90" s="297">
        <f>1/'Datu ievade'!$B$27</f>
        <v>0.1</v>
      </c>
      <c r="N90" s="297">
        <f>1/'Datu ievade'!$B$27</f>
        <v>0.1</v>
      </c>
      <c r="O90" s="297">
        <f>1/'Datu ievade'!$B$27</f>
        <v>0.1</v>
      </c>
      <c r="P90" s="297">
        <f>1/'Datu ievade'!$B$27</f>
        <v>0.1</v>
      </c>
      <c r="Q90" s="297">
        <f>1/'Datu ievade'!$B$27</f>
        <v>0.1</v>
      </c>
      <c r="R90" s="297">
        <f>1/'Datu ievade'!$B$27</f>
        <v>0.1</v>
      </c>
      <c r="S90" s="297">
        <f>1/'Datu ievade'!$B$27</f>
        <v>0.1</v>
      </c>
      <c r="T90" s="297">
        <f>1/'Datu ievade'!$B$27</f>
        <v>0.1</v>
      </c>
      <c r="U90" s="297">
        <f>1/'Datu ievade'!$B$27</f>
        <v>0.1</v>
      </c>
      <c r="V90" s="297">
        <f>1/'Datu ievade'!$B$27</f>
        <v>0.1</v>
      </c>
      <c r="W90" s="297">
        <f>1/'Datu ievade'!$B$27</f>
        <v>0.1</v>
      </c>
      <c r="X90" s="297">
        <f>1/'Datu ievade'!$B$27</f>
        <v>0.1</v>
      </c>
      <c r="Y90" s="297">
        <f>1/'Datu ievade'!$B$27</f>
        <v>0.1</v>
      </c>
      <c r="Z90" s="297">
        <f>1/'Datu ievade'!$B$27</f>
        <v>0.1</v>
      </c>
      <c r="AA90" s="297">
        <f>1/'Datu ievade'!$B$27</f>
        <v>0.1</v>
      </c>
      <c r="AB90" s="297">
        <f>1/'Datu ievade'!$B$27</f>
        <v>0.1</v>
      </c>
      <c r="AC90" s="297">
        <f>1/'Datu ievade'!$B$27</f>
        <v>0.1</v>
      </c>
      <c r="AD90" s="297">
        <f>1/'Datu ievade'!$B$27</f>
        <v>0.1</v>
      </c>
      <c r="AE90" s="297">
        <f>1/'Datu ievade'!$B$27</f>
        <v>0.1</v>
      </c>
      <c r="AF90" s="297">
        <f>1/'Datu ievade'!$B$27</f>
        <v>0.1</v>
      </c>
      <c r="AG90" s="297">
        <f>1/'Datu ievade'!$B$27</f>
        <v>0.1</v>
      </c>
    </row>
    <row r="91" spans="1:33" s="209" customFormat="1" ht="12.75">
      <c r="A91" s="206" t="s">
        <v>204</v>
      </c>
      <c r="B91" s="298">
        <v>0</v>
      </c>
      <c r="C91" s="296">
        <f aca="true" t="shared" si="47" ref="C91:AG91">IF(B93&gt;0,IF(C89-B89&gt;0,0,C90*C89),0)</f>
        <v>0</v>
      </c>
      <c r="D91" s="296">
        <f t="shared" si="47"/>
        <v>0</v>
      </c>
      <c r="E91" s="296">
        <f t="shared" si="47"/>
        <v>2241.2000000000003</v>
      </c>
      <c r="F91" s="620">
        <f t="shared" si="47"/>
        <v>2241.2000000000003</v>
      </c>
      <c r="G91" s="296">
        <f t="shared" si="47"/>
        <v>2241.2000000000003</v>
      </c>
      <c r="H91" s="296">
        <f t="shared" si="47"/>
        <v>2241.2000000000003</v>
      </c>
      <c r="I91" s="296">
        <f t="shared" si="47"/>
        <v>2241.2000000000003</v>
      </c>
      <c r="J91" s="296">
        <f t="shared" si="47"/>
        <v>2241.2000000000003</v>
      </c>
      <c r="K91" s="296">
        <f t="shared" si="47"/>
        <v>2241.2000000000003</v>
      </c>
      <c r="L91" s="296">
        <f t="shared" si="47"/>
        <v>2241.2000000000003</v>
      </c>
      <c r="M91" s="296">
        <f t="shared" si="47"/>
        <v>2241.2000000000003</v>
      </c>
      <c r="N91" s="296">
        <f t="shared" si="47"/>
        <v>2241.2000000000003</v>
      </c>
      <c r="O91" s="296">
        <f t="shared" si="47"/>
        <v>0</v>
      </c>
      <c r="P91" s="296">
        <f t="shared" si="47"/>
        <v>0</v>
      </c>
      <c r="Q91" s="296">
        <f t="shared" si="47"/>
        <v>0</v>
      </c>
      <c r="R91" s="296">
        <f t="shared" si="47"/>
        <v>0</v>
      </c>
      <c r="S91" s="296">
        <f t="shared" si="47"/>
        <v>0</v>
      </c>
      <c r="T91" s="296">
        <f t="shared" si="47"/>
        <v>0</v>
      </c>
      <c r="U91" s="296">
        <f t="shared" si="47"/>
        <v>0</v>
      </c>
      <c r="V91" s="296">
        <f t="shared" si="47"/>
        <v>0</v>
      </c>
      <c r="W91" s="296">
        <f t="shared" si="47"/>
        <v>0</v>
      </c>
      <c r="X91" s="296">
        <f t="shared" si="47"/>
        <v>0</v>
      </c>
      <c r="Y91" s="296">
        <f t="shared" si="47"/>
        <v>0</v>
      </c>
      <c r="Z91" s="296">
        <f t="shared" si="47"/>
        <v>0</v>
      </c>
      <c r="AA91" s="296">
        <f t="shared" si="47"/>
        <v>0</v>
      </c>
      <c r="AB91" s="296">
        <f t="shared" si="47"/>
        <v>0</v>
      </c>
      <c r="AC91" s="296">
        <f t="shared" si="47"/>
        <v>0</v>
      </c>
      <c r="AD91" s="296">
        <f t="shared" si="47"/>
        <v>0</v>
      </c>
      <c r="AE91" s="296">
        <f t="shared" si="47"/>
        <v>0</v>
      </c>
      <c r="AF91" s="296">
        <f t="shared" si="47"/>
        <v>0</v>
      </c>
      <c r="AG91" s="296">
        <f t="shared" si="47"/>
        <v>0</v>
      </c>
    </row>
    <row r="92" spans="1:33" s="209" customFormat="1" ht="12.75">
      <c r="A92" s="206" t="s">
        <v>205</v>
      </c>
      <c r="B92" s="296">
        <f>B91</f>
        <v>0</v>
      </c>
      <c r="C92" s="296">
        <f aca="true" t="shared" si="48" ref="C92:AG92">C91+B92</f>
        <v>0</v>
      </c>
      <c r="D92" s="296">
        <f t="shared" si="48"/>
        <v>0</v>
      </c>
      <c r="E92" s="296">
        <f t="shared" si="48"/>
        <v>2241.2000000000003</v>
      </c>
      <c r="F92" s="620">
        <f t="shared" si="48"/>
        <v>4482.400000000001</v>
      </c>
      <c r="G92" s="296">
        <f t="shared" si="48"/>
        <v>6723.6</v>
      </c>
      <c r="H92" s="296">
        <f t="shared" si="48"/>
        <v>8964.800000000001</v>
      </c>
      <c r="I92" s="296">
        <f t="shared" si="48"/>
        <v>11206.000000000002</v>
      </c>
      <c r="J92" s="296">
        <f t="shared" si="48"/>
        <v>13447.200000000003</v>
      </c>
      <c r="K92" s="296">
        <f t="shared" si="48"/>
        <v>15688.400000000003</v>
      </c>
      <c r="L92" s="296">
        <f t="shared" si="48"/>
        <v>17929.600000000002</v>
      </c>
      <c r="M92" s="296">
        <f t="shared" si="48"/>
        <v>20170.800000000003</v>
      </c>
      <c r="N92" s="296">
        <f t="shared" si="48"/>
        <v>22412.000000000004</v>
      </c>
      <c r="O92" s="296">
        <f t="shared" si="48"/>
        <v>22412.000000000004</v>
      </c>
      <c r="P92" s="296">
        <f t="shared" si="48"/>
        <v>22412.000000000004</v>
      </c>
      <c r="Q92" s="296">
        <f t="shared" si="48"/>
        <v>22412.000000000004</v>
      </c>
      <c r="R92" s="296">
        <f t="shared" si="48"/>
        <v>22412.000000000004</v>
      </c>
      <c r="S92" s="296">
        <f t="shared" si="48"/>
        <v>22412.000000000004</v>
      </c>
      <c r="T92" s="296">
        <f t="shared" si="48"/>
        <v>22412.000000000004</v>
      </c>
      <c r="U92" s="296">
        <f t="shared" si="48"/>
        <v>22412.000000000004</v>
      </c>
      <c r="V92" s="296">
        <f t="shared" si="48"/>
        <v>22412.000000000004</v>
      </c>
      <c r="W92" s="296">
        <f t="shared" si="48"/>
        <v>22412.000000000004</v>
      </c>
      <c r="X92" s="296">
        <f t="shared" si="48"/>
        <v>22412.000000000004</v>
      </c>
      <c r="Y92" s="296">
        <f t="shared" si="48"/>
        <v>22412.000000000004</v>
      </c>
      <c r="Z92" s="296">
        <f t="shared" si="48"/>
        <v>22412.000000000004</v>
      </c>
      <c r="AA92" s="296">
        <f t="shared" si="48"/>
        <v>22412.000000000004</v>
      </c>
      <c r="AB92" s="296">
        <f t="shared" si="48"/>
        <v>22412.000000000004</v>
      </c>
      <c r="AC92" s="296">
        <f t="shared" si="48"/>
        <v>22412.000000000004</v>
      </c>
      <c r="AD92" s="296">
        <f t="shared" si="48"/>
        <v>22412.000000000004</v>
      </c>
      <c r="AE92" s="296">
        <f t="shared" si="48"/>
        <v>22412.000000000004</v>
      </c>
      <c r="AF92" s="296">
        <f t="shared" si="48"/>
        <v>22412.000000000004</v>
      </c>
      <c r="AG92" s="296">
        <f t="shared" si="48"/>
        <v>22412.000000000004</v>
      </c>
    </row>
    <row r="93" spans="1:33" s="209" customFormat="1" ht="12.75">
      <c r="A93" s="206" t="s">
        <v>206</v>
      </c>
      <c r="B93" s="296">
        <f aca="true" t="shared" si="49" ref="B93:AG93">ROUND(IF(B89-B92&gt;0,B89-B92,0),0)</f>
        <v>0</v>
      </c>
      <c r="C93" s="296">
        <f t="shared" si="49"/>
        <v>13260</v>
      </c>
      <c r="D93" s="296">
        <f t="shared" si="49"/>
        <v>22412</v>
      </c>
      <c r="E93" s="296">
        <f t="shared" si="49"/>
        <v>20171</v>
      </c>
      <c r="F93" s="620">
        <f t="shared" si="49"/>
        <v>17930</v>
      </c>
      <c r="G93" s="296">
        <f t="shared" si="49"/>
        <v>15688</v>
      </c>
      <c r="H93" s="296">
        <f t="shared" si="49"/>
        <v>13447</v>
      </c>
      <c r="I93" s="296">
        <f t="shared" si="49"/>
        <v>11206</v>
      </c>
      <c r="J93" s="296">
        <f t="shared" si="49"/>
        <v>8965</v>
      </c>
      <c r="K93" s="296">
        <f t="shared" si="49"/>
        <v>6724</v>
      </c>
      <c r="L93" s="296">
        <f t="shared" si="49"/>
        <v>4482</v>
      </c>
      <c r="M93" s="296">
        <f t="shared" si="49"/>
        <v>2241</v>
      </c>
      <c r="N93" s="296">
        <f t="shared" si="49"/>
        <v>0</v>
      </c>
      <c r="O93" s="296">
        <f t="shared" si="49"/>
        <v>0</v>
      </c>
      <c r="P93" s="296">
        <f t="shared" si="49"/>
        <v>0</v>
      </c>
      <c r="Q93" s="296">
        <f t="shared" si="49"/>
        <v>0</v>
      </c>
      <c r="R93" s="296">
        <f t="shared" si="49"/>
        <v>0</v>
      </c>
      <c r="S93" s="296">
        <f t="shared" si="49"/>
        <v>0</v>
      </c>
      <c r="T93" s="296">
        <f t="shared" si="49"/>
        <v>0</v>
      </c>
      <c r="U93" s="296">
        <f t="shared" si="49"/>
        <v>0</v>
      </c>
      <c r="V93" s="296">
        <f t="shared" si="49"/>
        <v>0</v>
      </c>
      <c r="W93" s="296">
        <f t="shared" si="49"/>
        <v>0</v>
      </c>
      <c r="X93" s="296">
        <f t="shared" si="49"/>
        <v>0</v>
      </c>
      <c r="Y93" s="296">
        <f t="shared" si="49"/>
        <v>0</v>
      </c>
      <c r="Z93" s="296">
        <f t="shared" si="49"/>
        <v>0</v>
      </c>
      <c r="AA93" s="296">
        <f t="shared" si="49"/>
        <v>0</v>
      </c>
      <c r="AB93" s="296">
        <f t="shared" si="49"/>
        <v>0</v>
      </c>
      <c r="AC93" s="296">
        <f t="shared" si="49"/>
        <v>0</v>
      </c>
      <c r="AD93" s="296">
        <f t="shared" si="49"/>
        <v>0</v>
      </c>
      <c r="AE93" s="296">
        <f t="shared" si="49"/>
        <v>0</v>
      </c>
      <c r="AF93" s="296">
        <f t="shared" si="49"/>
        <v>0</v>
      </c>
      <c r="AG93" s="296">
        <f t="shared" si="49"/>
        <v>0</v>
      </c>
    </row>
    <row r="94" spans="1:33" s="209" customFormat="1" ht="17.25" customHeight="1">
      <c r="A94" s="286" t="s">
        <v>208</v>
      </c>
      <c r="B94" s="308"/>
      <c r="C94" s="308"/>
      <c r="D94" s="308"/>
      <c r="E94" s="308"/>
      <c r="F94" s="631"/>
      <c r="G94" s="308"/>
      <c r="H94" s="308"/>
      <c r="I94" s="308"/>
      <c r="J94" s="308"/>
      <c r="K94" s="308"/>
      <c r="L94" s="308"/>
      <c r="M94" s="308"/>
      <c r="N94" s="308"/>
      <c r="O94" s="308"/>
      <c r="P94" s="308"/>
      <c r="Q94" s="308"/>
      <c r="R94" s="308"/>
      <c r="S94" s="308"/>
      <c r="T94" s="308"/>
      <c r="U94" s="308"/>
      <c r="V94" s="308"/>
      <c r="W94" s="308"/>
      <c r="X94" s="309"/>
      <c r="Y94" s="309"/>
      <c r="Z94" s="309"/>
      <c r="AA94" s="309"/>
      <c r="AB94" s="309"/>
      <c r="AC94" s="309"/>
      <c r="AD94" s="309"/>
      <c r="AE94" s="309"/>
      <c r="AF94" s="309"/>
      <c r="AG94" s="309"/>
    </row>
    <row r="95" spans="1:33" s="209" customFormat="1" ht="12.75">
      <c r="A95" s="206" t="s">
        <v>209</v>
      </c>
      <c r="B95" s="442">
        <f>ROUND(SUM('Datu ievade'!B96:F96)/1.22,0)</f>
        <v>718152</v>
      </c>
      <c r="C95" s="310"/>
      <c r="D95" s="310"/>
      <c r="E95" s="310"/>
      <c r="F95" s="632"/>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row>
    <row r="96" spans="1:33" s="209" customFormat="1" ht="12.75">
      <c r="A96" s="206" t="s">
        <v>210</v>
      </c>
      <c r="B96" s="442">
        <f>B110+NPV('Datu ievade'!B432,C110:F110)</f>
        <v>635431.391387894</v>
      </c>
      <c r="C96" s="310"/>
      <c r="D96" s="310"/>
      <c r="E96" s="310"/>
      <c r="F96" s="632"/>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row>
    <row r="97" spans="1:33" s="209" customFormat="1" ht="12.75">
      <c r="A97" s="206" t="s">
        <v>211</v>
      </c>
      <c r="B97" s="442">
        <f>SUM('Datu ievade'!B98:F98)</f>
        <v>718152</v>
      </c>
      <c r="C97" s="310"/>
      <c r="D97" s="310"/>
      <c r="E97" s="310"/>
      <c r="F97" s="632"/>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row>
    <row r="98" spans="1:33" s="209" customFormat="1" ht="12.75">
      <c r="A98" s="206" t="s">
        <v>212</v>
      </c>
      <c r="B98" s="627">
        <f>'Datu ievade'!B98+NPV('Datu ievade'!B432,'Datu ievade'!B98:F98)</f>
        <v>593861.1134466301</v>
      </c>
      <c r="C98" s="310"/>
      <c r="D98" s="310"/>
      <c r="E98" s="310"/>
      <c r="F98" s="632"/>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row>
    <row r="99" spans="1:33" s="209" customFormat="1" ht="12.75">
      <c r="A99" s="206" t="s">
        <v>213</v>
      </c>
      <c r="B99" s="296">
        <f>NPV('Datu ievade'!B432,'Saimnieciskas pamatdarbibas NP'!D112:AG112)</f>
        <v>282840.7024055456</v>
      </c>
      <c r="C99" s="310"/>
      <c r="D99" s="310"/>
      <c r="E99" s="310"/>
      <c r="F99" s="632"/>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row>
    <row r="100" spans="1:33" s="209" customFormat="1" ht="12.75">
      <c r="A100" s="311" t="s">
        <v>214</v>
      </c>
      <c r="B100" s="296">
        <f>NPV('Datu ievade'!B432,'Saimnieciskas pamatdarbibas NP'!D111:AG111)</f>
        <v>146097.89462234857</v>
      </c>
      <c r="C100" s="310"/>
      <c r="D100" s="310"/>
      <c r="E100" s="310"/>
      <c r="F100" s="632"/>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row>
    <row r="101" spans="1:33" s="209" customFormat="1" ht="12.75">
      <c r="A101" s="206" t="s">
        <v>215</v>
      </c>
      <c r="B101" s="296">
        <f>NPV('Datu ievade'!B432,'Saimnieciskas pamatdarbibas NP'!D102:AG102)</f>
        <v>-136742.80778319723</v>
      </c>
      <c r="C101" s="310"/>
      <c r="D101" s="310"/>
      <c r="E101" s="310"/>
      <c r="F101" s="632"/>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row>
    <row r="102" spans="1:33" s="209" customFormat="1" ht="12.75">
      <c r="A102" s="311" t="s">
        <v>216</v>
      </c>
      <c r="B102" s="296">
        <f>NPV('Datu ievade'!B432,C183:AG183)</f>
        <v>165946.4334476462</v>
      </c>
      <c r="C102" s="310"/>
      <c r="D102" s="310"/>
      <c r="E102" s="310"/>
      <c r="F102" s="632"/>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row>
    <row r="103" spans="1:33" s="209" customFormat="1" ht="12.75">
      <c r="A103" s="206" t="s">
        <v>217</v>
      </c>
      <c r="B103" s="296">
        <f>NPV('Datu ievade'!B432,C184:AG184)</f>
        <v>-127797.01661981041</v>
      </c>
      <c r="C103" s="310"/>
      <c r="D103" s="310"/>
      <c r="E103" s="310"/>
      <c r="F103" s="632"/>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row>
    <row r="104" spans="1:33" s="209" customFormat="1" ht="12.75">
      <c r="A104" s="206" t="s">
        <v>218</v>
      </c>
      <c r="B104" s="296">
        <f>IF('Datu ievade'!$B$32=Aprekini!B75,B81+B87+B93,0)</f>
        <v>0</v>
      </c>
      <c r="C104" s="296">
        <f>IF('Datu ievade'!$B$32=Aprekini!C75,C81+C87+C93,0)</f>
        <v>0</v>
      </c>
      <c r="D104" s="296">
        <f>IF('Datu ievade'!$B$32=Aprekini!D75,D81+D87+D93,0)</f>
        <v>0</v>
      </c>
      <c r="E104" s="296">
        <f>IF('Datu ievade'!$B$32=Aprekini!E75,E81+E87+E93,0)</f>
        <v>0</v>
      </c>
      <c r="F104" s="296">
        <f>IF('Datu ievade'!$B$32=Aprekini!F75,F81+F87+F93,0)</f>
        <v>0</v>
      </c>
      <c r="G104" s="296">
        <f>IF('Datu ievade'!$B$32=Aprekini!G75,G81+G87+G93,0)</f>
        <v>0</v>
      </c>
      <c r="H104" s="296">
        <f>IF('Datu ievade'!$B$32=Aprekini!H75,H81+H87+H93,0)</f>
        <v>0</v>
      </c>
      <c r="I104" s="296">
        <f>IF('Datu ievade'!$B$32=Aprekini!I75,I81+I87+I93,0)</f>
        <v>0</v>
      </c>
      <c r="J104" s="296">
        <f>IF('Datu ievade'!$B$32=Aprekini!J75,J81+J87+J93,0)</f>
        <v>0</v>
      </c>
      <c r="K104" s="296">
        <f>IF('Datu ievade'!$B$32=Aprekini!K75,K81+K87+K93,0)</f>
        <v>0</v>
      </c>
      <c r="L104" s="296">
        <f>IF('Datu ievade'!$B$32=Aprekini!L75,L81+L87+L93,0)</f>
        <v>0</v>
      </c>
      <c r="M104" s="296">
        <f>IF('Datu ievade'!$B$32=Aprekini!M75,M81+M87+M93,0)</f>
        <v>0</v>
      </c>
      <c r="N104" s="296">
        <f>IF('Datu ievade'!$B$32=Aprekini!N75,N81+N87+N93,0)</f>
        <v>0</v>
      </c>
      <c r="O104" s="296">
        <f>IF('Datu ievade'!$B$32=Aprekini!O75,O81+O87+O93,0)</f>
        <v>0</v>
      </c>
      <c r="P104" s="296">
        <f>IF('Datu ievade'!$B$32=Aprekini!P75,P81+P87+P93,0)</f>
        <v>0</v>
      </c>
      <c r="Q104" s="296">
        <f>IF('Datu ievade'!$B$32=Aprekini!Q75,Q81+Q87+Q93,0)</f>
        <v>0</v>
      </c>
      <c r="R104" s="296">
        <f>IF('Datu ievade'!$B$32=Aprekini!R75,R81+R87+R93,0)</f>
        <v>0</v>
      </c>
      <c r="S104" s="296">
        <f>IF('Datu ievade'!$B$32=Aprekini!S75,S81+S87+S93,0)</f>
        <v>0</v>
      </c>
      <c r="T104" s="296">
        <f>IF('Datu ievade'!$B$32=Aprekini!T75,T81+T87+T93,0)</f>
        <v>0</v>
      </c>
      <c r="U104" s="296">
        <f>IF('Datu ievade'!$B$32=Aprekini!U75,U81+U87+U93,0)</f>
        <v>0</v>
      </c>
      <c r="V104" s="296">
        <f>IF('Datu ievade'!$B$32=Aprekini!V75,V81+V87+V93,0)</f>
        <v>0</v>
      </c>
      <c r="W104" s="296">
        <f>IF('Datu ievade'!$B$32=Aprekini!W75,W81+W87+W93,0)</f>
        <v>0</v>
      </c>
      <c r="X104" s="296">
        <f>IF('Datu ievade'!$B$32=Aprekini!X75,X81+X87+X93,0)</f>
        <v>0</v>
      </c>
      <c r="Y104" s="296">
        <f>IF('Datu ievade'!$B$32=Aprekini!Y75,Y81+Y87+Y93,0)</f>
        <v>0</v>
      </c>
      <c r="Z104" s="296">
        <f>IF('Datu ievade'!$B$32=Aprekini!Z75,Z81+Z87+Z93,0)</f>
        <v>0</v>
      </c>
      <c r="AA104" s="296">
        <f>IF('Datu ievade'!$B$32=Aprekini!AA75,AA81+AA87+AA93,0)</f>
        <v>0</v>
      </c>
      <c r="AB104" s="296">
        <f>IF('Datu ievade'!$B$32=Aprekini!AB75,AB81+AB87+AB93,0)</f>
        <v>0</v>
      </c>
      <c r="AC104" s="296">
        <f>IF('Datu ievade'!$B$32=Aprekini!AC75,AC81+AC87+AC93,0)</f>
        <v>0</v>
      </c>
      <c r="AD104" s="296">
        <f>IF('Datu ievade'!$B$32=Aprekini!AD75,AD81+AD87+AD93,0)</f>
        <v>0</v>
      </c>
      <c r="AE104" s="296">
        <f>IF('Datu ievade'!$B$32=Aprekini!AE75,AE81+AE87+AE93,0)</f>
        <v>0</v>
      </c>
      <c r="AF104" s="296">
        <f>IF('Datu ievade'!$B$32=Aprekini!AF75,AF81+AF87+AF93,0)</f>
        <v>0</v>
      </c>
      <c r="AG104" s="296">
        <f>IF('Datu ievade'!$B$32=Aprekini!AG75,AG81+AG87+AG93,0)</f>
        <v>239518</v>
      </c>
    </row>
    <row r="105" spans="1:33" s="209" customFormat="1" ht="12.75">
      <c r="A105" s="206" t="s">
        <v>218</v>
      </c>
      <c r="B105" s="296">
        <f>SUM(B104:AG104)</f>
        <v>239518</v>
      </c>
      <c r="C105" s="310"/>
      <c r="D105" s="310"/>
      <c r="E105" s="310"/>
      <c r="F105" s="632"/>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row>
    <row r="106" spans="1:33" s="209" customFormat="1" ht="12.75">
      <c r="A106" s="206" t="s">
        <v>219</v>
      </c>
      <c r="B106" s="296">
        <f>NPV('Datu ievade'!B432,Aprekini!C104:AG104)</f>
        <v>29406.345015544834</v>
      </c>
      <c r="C106" s="310"/>
      <c r="D106" s="310"/>
      <c r="E106" s="310"/>
      <c r="F106" s="632"/>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row>
    <row r="107" spans="1:33" s="209" customFormat="1" ht="12.75">
      <c r="A107" s="312" t="s">
        <v>220</v>
      </c>
      <c r="B107" s="313"/>
      <c r="C107" s="310"/>
      <c r="D107" s="310"/>
      <c r="E107" s="310"/>
      <c r="F107" s="632"/>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row>
    <row r="108" spans="1:6" s="209" customFormat="1" ht="12.75">
      <c r="A108" s="206" t="s">
        <v>221</v>
      </c>
      <c r="B108" s="314">
        <f>IF(SUM('Datu ievade'!B58:F61,'Datu ievade'!B65:F70)=0,0,SUM('Datu ievade'!B58:F63)/SUM('Datu ievade'!B58:F63,'Datu ievade'!B65:F70))</f>
        <v>0.5392006149116065</v>
      </c>
      <c r="F108" s="633"/>
    </row>
    <row r="109" spans="1:6" s="209" customFormat="1" ht="12.75">
      <c r="A109" s="206" t="s">
        <v>222</v>
      </c>
      <c r="B109" s="314">
        <f>IF(SUM('Datu ievade'!B58:F63,'Datu ievade'!B65:F70)=0,0,SUM('Datu ievade'!B65:F70)/SUM('Datu ievade'!B58:F63,'Datu ievade'!B65:F70))</f>
        <v>0.46079938508839363</v>
      </c>
      <c r="F109" s="633"/>
    </row>
    <row r="110" spans="1:33" s="209" customFormat="1" ht="25.5">
      <c r="A110" s="206" t="s">
        <v>209</v>
      </c>
      <c r="B110" s="296">
        <f>'Datu ievade'!B96/1.22</f>
        <v>0</v>
      </c>
      <c r="C110" s="296">
        <f>'Datu ievade'!C96/1.22</f>
        <v>133620</v>
      </c>
      <c r="D110" s="296">
        <f>'Datu ievade'!D96/1.22</f>
        <v>584532</v>
      </c>
      <c r="E110" s="296">
        <f>'Datu ievade'!E96/1.22</f>
        <v>0</v>
      </c>
      <c r="F110" s="296">
        <f>'Datu ievade'!F96/1.22</f>
        <v>0</v>
      </c>
      <c r="G110" s="296">
        <v>0</v>
      </c>
      <c r="H110" s="296">
        <f>'Datu ievade'!H96/1.22</f>
        <v>0</v>
      </c>
      <c r="I110" s="296">
        <f>'Datu ievade'!I96/1.22</f>
        <v>0</v>
      </c>
      <c r="J110" s="296">
        <f>'Datu ievade'!J96/1.22</f>
        <v>0</v>
      </c>
      <c r="K110" s="296">
        <f>'Datu ievade'!K96/1.22</f>
        <v>0</v>
      </c>
      <c r="L110" s="296">
        <f>'Datu ievade'!L96/1.22</f>
        <v>0</v>
      </c>
      <c r="M110" s="296">
        <f>'Datu ievade'!M96/1.22</f>
        <v>0</v>
      </c>
      <c r="N110" s="296">
        <f>'Datu ievade'!N96/1.22</f>
        <v>0</v>
      </c>
      <c r="O110" s="296">
        <f>'Datu ievade'!O96/1.22</f>
        <v>0</v>
      </c>
      <c r="P110" s="296">
        <f>'Datu ievade'!P96/1.22</f>
        <v>0</v>
      </c>
      <c r="Q110" s="296">
        <f>'Datu ievade'!Q96/1.22</f>
        <v>0</v>
      </c>
      <c r="R110" s="296">
        <f>'Datu ievade'!R96/1.22</f>
        <v>0</v>
      </c>
      <c r="S110" s="296">
        <f>'Datu ievade'!S96/1.22</f>
        <v>0</v>
      </c>
      <c r="T110" s="296">
        <f>'Datu ievade'!T96/1.22</f>
        <v>0</v>
      </c>
      <c r="U110" s="296">
        <f>'Datu ievade'!U96/1.22</f>
        <v>0</v>
      </c>
      <c r="V110" s="296">
        <f>'Datu ievade'!V96/1.22</f>
        <v>0</v>
      </c>
      <c r="W110" s="296">
        <f>'Datu ievade'!W96/1.22</f>
        <v>0</v>
      </c>
      <c r="X110" s="296">
        <f>'Datu ievade'!X96/1.22</f>
        <v>0</v>
      </c>
      <c r="Y110" s="296">
        <f>'Datu ievade'!Y96/1.22</f>
        <v>0</v>
      </c>
      <c r="Z110" s="296">
        <f>'Datu ievade'!Z96/1.22</f>
        <v>0</v>
      </c>
      <c r="AA110" s="296">
        <f>'Datu ievade'!AA96/1.22</f>
        <v>0</v>
      </c>
      <c r="AB110" s="296">
        <f>'Datu ievade'!AB96/1.22</f>
        <v>0</v>
      </c>
      <c r="AC110" s="296">
        <f>'Datu ievade'!AC96/1.22</f>
        <v>0</v>
      </c>
      <c r="AD110" s="296">
        <f>'Datu ievade'!AD96/1.22</f>
        <v>0</v>
      </c>
      <c r="AE110" s="296">
        <f>'Datu ievade'!AE96/1.22</f>
        <v>0</v>
      </c>
      <c r="AF110" s="296">
        <f>'Datu ievade'!AF96/1.22</f>
        <v>0</v>
      </c>
      <c r="AG110" s="296">
        <f>'Datu ievade'!AG96/1.22</f>
        <v>0</v>
      </c>
    </row>
    <row r="111" spans="1:6" s="209" customFormat="1" ht="12.75">
      <c r="A111" s="311"/>
      <c r="F111" s="633"/>
    </row>
    <row r="112" spans="1:6" s="209" customFormat="1" ht="12.75">
      <c r="A112" s="311"/>
      <c r="F112" s="633"/>
    </row>
    <row r="113" spans="1:254" s="209" customFormat="1" ht="31.5">
      <c r="A113" s="447" t="s">
        <v>390</v>
      </c>
      <c r="B113" s="315"/>
      <c r="C113" s="315"/>
      <c r="D113" s="315"/>
      <c r="E113" s="316"/>
      <c r="F113" s="612"/>
      <c r="G113" s="316"/>
      <c r="H113" s="316"/>
      <c r="I113" s="316"/>
      <c r="J113" s="316"/>
      <c r="K113" s="316"/>
      <c r="L113" s="316"/>
      <c r="M113" s="316"/>
      <c r="N113" s="316"/>
      <c r="O113" s="316"/>
      <c r="P113" s="316"/>
      <c r="Q113" s="316"/>
      <c r="R113" s="316"/>
      <c r="S113" s="317"/>
      <c r="T113" s="317"/>
      <c r="U113" s="317"/>
      <c r="V113" s="317"/>
      <c r="W113" s="317"/>
      <c r="X113" s="317"/>
      <c r="Y113" s="317"/>
      <c r="Z113" s="317"/>
      <c r="AA113" s="317"/>
      <c r="AB113" s="317"/>
      <c r="AC113" s="317"/>
      <c r="AD113" s="317"/>
      <c r="AE113" s="317"/>
      <c r="AF113" s="317"/>
      <c r="AG113" s="317"/>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208"/>
      <c r="DO113" s="208"/>
      <c r="DP113" s="208"/>
      <c r="DQ113" s="208"/>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c r="GF113" s="208"/>
      <c r="GG113" s="208"/>
      <c r="GH113" s="208"/>
      <c r="GI113" s="208"/>
      <c r="GJ113" s="208"/>
      <c r="GK113" s="208"/>
      <c r="GL113" s="208"/>
      <c r="GM113" s="208"/>
      <c r="GN113" s="208"/>
      <c r="GO113" s="208"/>
      <c r="GP113" s="208"/>
      <c r="GQ113" s="208"/>
      <c r="GR113" s="208"/>
      <c r="GS113" s="208"/>
      <c r="GT113" s="208"/>
      <c r="GU113" s="208"/>
      <c r="GV113" s="208"/>
      <c r="GW113" s="208"/>
      <c r="GX113" s="208"/>
      <c r="GY113" s="208"/>
      <c r="GZ113" s="208"/>
      <c r="HA113" s="208"/>
      <c r="HB113" s="208"/>
      <c r="HC113" s="208"/>
      <c r="HD113" s="208"/>
      <c r="HE113" s="208"/>
      <c r="HF113" s="208"/>
      <c r="HG113" s="208"/>
      <c r="HH113" s="208"/>
      <c r="HI113" s="208"/>
      <c r="HJ113" s="208"/>
      <c r="HK113" s="208"/>
      <c r="HL113" s="208"/>
      <c r="HM113" s="208"/>
      <c r="HN113" s="208"/>
      <c r="HO113" s="208"/>
      <c r="HP113" s="208"/>
      <c r="HQ113" s="208"/>
      <c r="HR113" s="208"/>
      <c r="HS113" s="208"/>
      <c r="HT113" s="208"/>
      <c r="HU113" s="208"/>
      <c r="HV113" s="208"/>
      <c r="HW113" s="208"/>
      <c r="HX113" s="208"/>
      <c r="HY113" s="208"/>
      <c r="HZ113" s="208"/>
      <c r="IA113" s="208"/>
      <c r="IB113" s="208"/>
      <c r="IC113" s="208"/>
      <c r="ID113" s="208"/>
      <c r="IE113" s="208"/>
      <c r="IF113" s="208"/>
      <c r="IG113" s="208"/>
      <c r="IH113" s="208"/>
      <c r="II113" s="208"/>
      <c r="IJ113" s="208"/>
      <c r="IK113" s="208"/>
      <c r="IL113" s="208"/>
      <c r="IM113" s="208"/>
      <c r="IN113" s="208"/>
      <c r="IO113" s="208"/>
      <c r="IP113" s="208"/>
      <c r="IQ113" s="208"/>
      <c r="IR113" s="208"/>
      <c r="IS113" s="208"/>
      <c r="IT113" s="208"/>
    </row>
    <row r="114" spans="1:33" s="209" customFormat="1" ht="12.75">
      <c r="A114" s="318"/>
      <c r="B114" s="287"/>
      <c r="C114" s="287"/>
      <c r="D114" s="287"/>
      <c r="E114" s="287"/>
      <c r="F114" s="621"/>
      <c r="G114" s="287"/>
      <c r="H114" s="287"/>
      <c r="I114" s="287"/>
      <c r="J114" s="287"/>
      <c r="K114" s="319" t="s">
        <v>25</v>
      </c>
      <c r="L114" s="287"/>
      <c r="M114" s="287"/>
      <c r="O114" s="287"/>
      <c r="P114" s="287"/>
      <c r="Q114" s="287"/>
      <c r="R114" s="287"/>
      <c r="S114" s="287"/>
      <c r="T114" s="287"/>
      <c r="U114" s="287"/>
      <c r="V114" s="287"/>
      <c r="W114" s="287"/>
      <c r="X114" s="287"/>
      <c r="Y114" s="287"/>
      <c r="Z114" s="287"/>
      <c r="AA114" s="287"/>
      <c r="AB114" s="287"/>
      <c r="AC114" s="287"/>
      <c r="AD114" s="287"/>
      <c r="AE114" s="287"/>
      <c r="AF114" s="287"/>
      <c r="AG114" s="287"/>
    </row>
    <row r="115" spans="1:33" s="323" customFormat="1" ht="13.5">
      <c r="A115" s="320" t="s">
        <v>223</v>
      </c>
      <c r="B115" s="321">
        <f>Aprekini!B5</f>
        <v>2011</v>
      </c>
      <c r="C115" s="321">
        <f aca="true" t="shared" si="50" ref="C115:AG115">B115+1</f>
        <v>2012</v>
      </c>
      <c r="D115" s="321">
        <f t="shared" si="50"/>
        <v>2013</v>
      </c>
      <c r="E115" s="321">
        <f t="shared" si="50"/>
        <v>2014</v>
      </c>
      <c r="F115" s="634">
        <f t="shared" si="50"/>
        <v>2015</v>
      </c>
      <c r="G115" s="321">
        <f t="shared" si="50"/>
        <v>2016</v>
      </c>
      <c r="H115" s="321">
        <f t="shared" si="50"/>
        <v>2017</v>
      </c>
      <c r="I115" s="321">
        <f t="shared" si="50"/>
        <v>2018</v>
      </c>
      <c r="J115" s="321">
        <f t="shared" si="50"/>
        <v>2019</v>
      </c>
      <c r="K115" s="321">
        <f t="shared" si="50"/>
        <v>2020</v>
      </c>
      <c r="L115" s="321">
        <f t="shared" si="50"/>
        <v>2021</v>
      </c>
      <c r="M115" s="321">
        <f t="shared" si="50"/>
        <v>2022</v>
      </c>
      <c r="N115" s="321">
        <f t="shared" si="50"/>
        <v>2023</v>
      </c>
      <c r="O115" s="321">
        <f t="shared" si="50"/>
        <v>2024</v>
      </c>
      <c r="P115" s="321">
        <f t="shared" si="50"/>
        <v>2025</v>
      </c>
      <c r="Q115" s="321">
        <f t="shared" si="50"/>
        <v>2026</v>
      </c>
      <c r="R115" s="321">
        <f t="shared" si="50"/>
        <v>2027</v>
      </c>
      <c r="S115" s="321">
        <f t="shared" si="50"/>
        <v>2028</v>
      </c>
      <c r="T115" s="321">
        <f t="shared" si="50"/>
        <v>2029</v>
      </c>
      <c r="U115" s="321">
        <f t="shared" si="50"/>
        <v>2030</v>
      </c>
      <c r="V115" s="322">
        <f t="shared" si="50"/>
        <v>2031</v>
      </c>
      <c r="W115" s="322">
        <f t="shared" si="50"/>
        <v>2032</v>
      </c>
      <c r="X115" s="322">
        <f t="shared" si="50"/>
        <v>2033</v>
      </c>
      <c r="Y115" s="322">
        <f t="shared" si="50"/>
        <v>2034</v>
      </c>
      <c r="Z115" s="322">
        <f t="shared" si="50"/>
        <v>2035</v>
      </c>
      <c r="AA115" s="322">
        <f t="shared" si="50"/>
        <v>2036</v>
      </c>
      <c r="AB115" s="322">
        <f t="shared" si="50"/>
        <v>2037</v>
      </c>
      <c r="AC115" s="322">
        <f t="shared" si="50"/>
        <v>2038</v>
      </c>
      <c r="AD115" s="322">
        <f t="shared" si="50"/>
        <v>2039</v>
      </c>
      <c r="AE115" s="322">
        <f t="shared" si="50"/>
        <v>2040</v>
      </c>
      <c r="AF115" s="322">
        <f t="shared" si="50"/>
        <v>2041</v>
      </c>
      <c r="AG115" s="322">
        <f t="shared" si="50"/>
        <v>2042</v>
      </c>
    </row>
    <row r="116" spans="1:33" s="323" customFormat="1" ht="12.75">
      <c r="A116" s="206" t="s">
        <v>224</v>
      </c>
      <c r="B116" s="207">
        <f>'Datu ievade'!B58</f>
        <v>0</v>
      </c>
      <c r="C116" s="635">
        <f>'Datu ievade'!C58</f>
        <v>47940</v>
      </c>
      <c r="D116" s="635">
        <f>'Datu ievade'!D58</f>
        <v>265200</v>
      </c>
      <c r="E116" s="207">
        <f>'Datu ievade'!E58</f>
        <v>0</v>
      </c>
      <c r="F116" s="635">
        <f>'Datu ievade'!F58</f>
        <v>0</v>
      </c>
      <c r="G116" s="207">
        <f>'Datu ievade'!G58</f>
        <v>0</v>
      </c>
      <c r="H116" s="207">
        <f>'Datu ievade'!H58</f>
        <v>0</v>
      </c>
      <c r="I116" s="207">
        <f>'Datu ievade'!I58</f>
        <v>0</v>
      </c>
      <c r="J116" s="207">
        <f>'Datu ievade'!J58</f>
        <v>0</v>
      </c>
      <c r="K116" s="207">
        <f>'Datu ievade'!K58</f>
        <v>0</v>
      </c>
      <c r="L116" s="207">
        <f>'Datu ievade'!L58</f>
        <v>0</v>
      </c>
      <c r="M116" s="207">
        <f>'Datu ievade'!M58</f>
        <v>0</v>
      </c>
      <c r="N116" s="207">
        <f>'Datu ievade'!N58</f>
        <v>0</v>
      </c>
      <c r="O116" s="207">
        <f>'Datu ievade'!O58</f>
        <v>0</v>
      </c>
      <c r="P116" s="207">
        <f>'Datu ievade'!P58</f>
        <v>0</v>
      </c>
      <c r="Q116" s="207">
        <f>'Datu ievade'!Q58</f>
        <v>0</v>
      </c>
      <c r="R116" s="207">
        <f>'Datu ievade'!R58</f>
        <v>0</v>
      </c>
      <c r="S116" s="207">
        <f>'Datu ievade'!S58</f>
        <v>0</v>
      </c>
      <c r="T116" s="207">
        <f>'Datu ievade'!T58</f>
        <v>0</v>
      </c>
      <c r="U116" s="207">
        <f>'Datu ievade'!U58</f>
        <v>0</v>
      </c>
      <c r="V116" s="207">
        <f>'Datu ievade'!V58</f>
        <v>0</v>
      </c>
      <c r="W116" s="207">
        <f>'Datu ievade'!W58</f>
        <v>0</v>
      </c>
      <c r="X116" s="207">
        <f>'Datu ievade'!X58</f>
        <v>0</v>
      </c>
      <c r="Y116" s="207">
        <f>'Datu ievade'!Y58</f>
        <v>0</v>
      </c>
      <c r="Z116" s="207">
        <f>'Datu ievade'!Z58</f>
        <v>0</v>
      </c>
      <c r="AA116" s="207">
        <f>'Datu ievade'!AA58</f>
        <v>0</v>
      </c>
      <c r="AB116" s="207">
        <f>'Datu ievade'!AB58</f>
        <v>0</v>
      </c>
      <c r="AC116" s="207">
        <f>'Datu ievade'!AC58</f>
        <v>0</v>
      </c>
      <c r="AD116" s="207">
        <f>'Datu ievade'!AD58</f>
        <v>0</v>
      </c>
      <c r="AE116" s="207">
        <f>'Datu ievade'!AE58</f>
        <v>0</v>
      </c>
      <c r="AF116" s="207">
        <f>'Datu ievade'!AF58</f>
        <v>0</v>
      </c>
      <c r="AG116" s="207">
        <f>'Datu ievade'!AG58</f>
        <v>0</v>
      </c>
    </row>
    <row r="117" spans="1:33" s="323" customFormat="1" ht="12.75">
      <c r="A117" s="206" t="s">
        <v>225</v>
      </c>
      <c r="B117" s="207">
        <f>'Datu ievade'!B59</f>
        <v>0</v>
      </c>
      <c r="C117" s="635">
        <f>'Datu ievade'!C59</f>
        <v>15300</v>
      </c>
      <c r="D117" s="635">
        <f>'Datu ievade'!D59</f>
        <v>47060</v>
      </c>
      <c r="E117" s="207">
        <f>'Datu ievade'!E59</f>
        <v>0</v>
      </c>
      <c r="F117" s="635">
        <f>'Datu ievade'!F59</f>
        <v>0</v>
      </c>
      <c r="G117" s="207">
        <f>'Datu ievade'!G59</f>
        <v>0</v>
      </c>
      <c r="H117" s="207">
        <f>'Datu ievade'!H59</f>
        <v>0</v>
      </c>
      <c r="I117" s="207">
        <f>'Datu ievade'!I59</f>
        <v>0</v>
      </c>
      <c r="J117" s="207">
        <f>'Datu ievade'!J59</f>
        <v>0</v>
      </c>
      <c r="K117" s="207">
        <f>'Datu ievade'!K59</f>
        <v>0</v>
      </c>
      <c r="L117" s="207">
        <f>'Datu ievade'!L59</f>
        <v>0</v>
      </c>
      <c r="M117" s="207">
        <f>'Datu ievade'!M59</f>
        <v>0</v>
      </c>
      <c r="N117" s="207">
        <f>'Datu ievade'!N59</f>
        <v>0</v>
      </c>
      <c r="O117" s="207">
        <f>'Datu ievade'!O59</f>
        <v>0</v>
      </c>
      <c r="P117" s="207">
        <f>'Datu ievade'!P59</f>
        <v>0</v>
      </c>
      <c r="Q117" s="207">
        <f>'Datu ievade'!Q59</f>
        <v>0</v>
      </c>
      <c r="R117" s="207">
        <f>'Datu ievade'!R59</f>
        <v>0</v>
      </c>
      <c r="S117" s="207">
        <f>'Datu ievade'!S59</f>
        <v>0</v>
      </c>
      <c r="T117" s="207">
        <f>'Datu ievade'!T59</f>
        <v>0</v>
      </c>
      <c r="U117" s="207">
        <f>'Datu ievade'!U59</f>
        <v>0</v>
      </c>
      <c r="V117" s="207">
        <f>'Datu ievade'!V59</f>
        <v>0</v>
      </c>
      <c r="W117" s="207">
        <f>'Datu ievade'!W59</f>
        <v>0</v>
      </c>
      <c r="X117" s="207">
        <f>'Datu ievade'!X59</f>
        <v>0</v>
      </c>
      <c r="Y117" s="207">
        <f>'Datu ievade'!Y59</f>
        <v>0</v>
      </c>
      <c r="Z117" s="207">
        <f>'Datu ievade'!Z59</f>
        <v>0</v>
      </c>
      <c r="AA117" s="207">
        <f>'Datu ievade'!AA59</f>
        <v>0</v>
      </c>
      <c r="AB117" s="207">
        <f>'Datu ievade'!AB59</f>
        <v>0</v>
      </c>
      <c r="AC117" s="207">
        <f>'Datu ievade'!AC59</f>
        <v>0</v>
      </c>
      <c r="AD117" s="207">
        <f>'Datu ievade'!AD59</f>
        <v>0</v>
      </c>
      <c r="AE117" s="207">
        <f>'Datu ievade'!AE59</f>
        <v>0</v>
      </c>
      <c r="AF117" s="207">
        <f>'Datu ievade'!AF59</f>
        <v>0</v>
      </c>
      <c r="AG117" s="207">
        <f>'Datu ievade'!AG59</f>
        <v>0</v>
      </c>
    </row>
    <row r="118" spans="1:33" s="323" customFormat="1" ht="12.75">
      <c r="A118" s="324" t="s">
        <v>226</v>
      </c>
      <c r="B118" s="325">
        <f aca="true" t="shared" si="51" ref="B118:AG118">B116+B117</f>
        <v>0</v>
      </c>
      <c r="C118" s="636">
        <f t="shared" si="51"/>
        <v>63240</v>
      </c>
      <c r="D118" s="636">
        <f t="shared" si="51"/>
        <v>312260</v>
      </c>
      <c r="E118" s="325">
        <f t="shared" si="51"/>
        <v>0</v>
      </c>
      <c r="F118" s="636">
        <f t="shared" si="51"/>
        <v>0</v>
      </c>
      <c r="G118" s="325">
        <f t="shared" si="51"/>
        <v>0</v>
      </c>
      <c r="H118" s="325">
        <f t="shared" si="51"/>
        <v>0</v>
      </c>
      <c r="I118" s="325">
        <f t="shared" si="51"/>
        <v>0</v>
      </c>
      <c r="J118" s="325">
        <f t="shared" si="51"/>
        <v>0</v>
      </c>
      <c r="K118" s="325">
        <f t="shared" si="51"/>
        <v>0</v>
      </c>
      <c r="L118" s="325">
        <f t="shared" si="51"/>
        <v>0</v>
      </c>
      <c r="M118" s="325">
        <f t="shared" si="51"/>
        <v>0</v>
      </c>
      <c r="N118" s="325">
        <f t="shared" si="51"/>
        <v>0</v>
      </c>
      <c r="O118" s="325">
        <f t="shared" si="51"/>
        <v>0</v>
      </c>
      <c r="P118" s="325">
        <f t="shared" si="51"/>
        <v>0</v>
      </c>
      <c r="Q118" s="325">
        <f t="shared" si="51"/>
        <v>0</v>
      </c>
      <c r="R118" s="325">
        <f t="shared" si="51"/>
        <v>0</v>
      </c>
      <c r="S118" s="325">
        <f t="shared" si="51"/>
        <v>0</v>
      </c>
      <c r="T118" s="325">
        <f t="shared" si="51"/>
        <v>0</v>
      </c>
      <c r="U118" s="325">
        <f t="shared" si="51"/>
        <v>0</v>
      </c>
      <c r="V118" s="325">
        <f t="shared" si="51"/>
        <v>0</v>
      </c>
      <c r="W118" s="325">
        <f t="shared" si="51"/>
        <v>0</v>
      </c>
      <c r="X118" s="325">
        <f t="shared" si="51"/>
        <v>0</v>
      </c>
      <c r="Y118" s="325">
        <f t="shared" si="51"/>
        <v>0</v>
      </c>
      <c r="Z118" s="325">
        <f t="shared" si="51"/>
        <v>0</v>
      </c>
      <c r="AA118" s="325">
        <f t="shared" si="51"/>
        <v>0</v>
      </c>
      <c r="AB118" s="325">
        <f t="shared" si="51"/>
        <v>0</v>
      </c>
      <c r="AC118" s="325">
        <f t="shared" si="51"/>
        <v>0</v>
      </c>
      <c r="AD118" s="325">
        <f t="shared" si="51"/>
        <v>0</v>
      </c>
      <c r="AE118" s="325">
        <f t="shared" si="51"/>
        <v>0</v>
      </c>
      <c r="AF118" s="325">
        <f t="shared" si="51"/>
        <v>0</v>
      </c>
      <c r="AG118" s="325">
        <f t="shared" si="51"/>
        <v>0</v>
      </c>
    </row>
    <row r="119" spans="1:33" s="323" customFormat="1" ht="12.75">
      <c r="A119" s="206" t="s">
        <v>227</v>
      </c>
      <c r="B119" s="207">
        <f>'Datu ievade'!B60+'Datu ievade'!B61</f>
        <v>0</v>
      </c>
      <c r="C119" s="207">
        <f>'Datu ievade'!C60+'Datu ievade'!C61</f>
        <v>2448</v>
      </c>
      <c r="D119" s="207">
        <f>'Datu ievade'!D60+'Datu ievade'!D61</f>
        <v>5200</v>
      </c>
      <c r="E119" s="207">
        <f>'Datu ievade'!E60+'Datu ievade'!E61</f>
        <v>0</v>
      </c>
      <c r="F119" s="207">
        <f>'Datu ievade'!F60+'Datu ievade'!F61</f>
        <v>0</v>
      </c>
      <c r="G119" s="207">
        <f>'Datu ievade'!G60+'Datu ievade'!G61</f>
        <v>0</v>
      </c>
      <c r="H119" s="207">
        <f>'Datu ievade'!H60+'Datu ievade'!H61</f>
        <v>0</v>
      </c>
      <c r="I119" s="207">
        <f>'Datu ievade'!I60+'Datu ievade'!I61</f>
        <v>0</v>
      </c>
      <c r="J119" s="207">
        <f>'Datu ievade'!J60+'Datu ievade'!J61</f>
        <v>0</v>
      </c>
      <c r="K119" s="207">
        <f>'Datu ievade'!K60+'Datu ievade'!K61</f>
        <v>0</v>
      </c>
      <c r="L119" s="207">
        <f>'Datu ievade'!L60+'Datu ievade'!L61</f>
        <v>0</v>
      </c>
      <c r="M119" s="207">
        <f>'Datu ievade'!M60+'Datu ievade'!M61</f>
        <v>0</v>
      </c>
      <c r="N119" s="207">
        <f>'Datu ievade'!N60+'Datu ievade'!N61</f>
        <v>0</v>
      </c>
      <c r="O119" s="207">
        <f>'Datu ievade'!O60+'Datu ievade'!O61</f>
        <v>0</v>
      </c>
      <c r="P119" s="207">
        <f>'Datu ievade'!P60+'Datu ievade'!P61</f>
        <v>0</v>
      </c>
      <c r="Q119" s="207">
        <f>'Datu ievade'!Q60+'Datu ievade'!Q61</f>
        <v>0</v>
      </c>
      <c r="R119" s="207">
        <f>'Datu ievade'!R60+'Datu ievade'!R61</f>
        <v>0</v>
      </c>
      <c r="S119" s="207">
        <f>'Datu ievade'!S60+'Datu ievade'!S61</f>
        <v>0</v>
      </c>
      <c r="T119" s="207">
        <f>'Datu ievade'!T60+'Datu ievade'!T61</f>
        <v>0</v>
      </c>
      <c r="U119" s="207">
        <f>'Datu ievade'!U60+'Datu ievade'!U61</f>
        <v>0</v>
      </c>
      <c r="V119" s="207">
        <f>'Datu ievade'!V60+'Datu ievade'!V61</f>
        <v>0</v>
      </c>
      <c r="W119" s="207">
        <f>'Datu ievade'!W60+'Datu ievade'!W61</f>
        <v>0</v>
      </c>
      <c r="X119" s="207">
        <f>'Datu ievade'!X60+'Datu ievade'!X61</f>
        <v>0</v>
      </c>
      <c r="Y119" s="207">
        <f>'Datu ievade'!Y60+'Datu ievade'!Y61</f>
        <v>0</v>
      </c>
      <c r="Z119" s="207">
        <f>'Datu ievade'!Z60+'Datu ievade'!Z61</f>
        <v>0</v>
      </c>
      <c r="AA119" s="207">
        <f>'Datu ievade'!AA60+'Datu ievade'!AA61</f>
        <v>0</v>
      </c>
      <c r="AB119" s="207">
        <f>'Datu ievade'!AB60+'Datu ievade'!AB61</f>
        <v>0</v>
      </c>
      <c r="AC119" s="207">
        <f>'Datu ievade'!AC60+'Datu ievade'!AC61</f>
        <v>0</v>
      </c>
      <c r="AD119" s="207">
        <f>'Datu ievade'!AD60+'Datu ievade'!AD61</f>
        <v>0</v>
      </c>
      <c r="AE119" s="207">
        <f>'Datu ievade'!AE60+'Datu ievade'!AE61</f>
        <v>0</v>
      </c>
      <c r="AF119" s="207">
        <f>'Datu ievade'!AF60+'Datu ievade'!AF61</f>
        <v>0</v>
      </c>
      <c r="AG119" s="207">
        <f>'Datu ievade'!AG60+'Datu ievade'!AG61</f>
        <v>0</v>
      </c>
    </row>
    <row r="120" spans="1:33" s="323" customFormat="1" ht="12.75">
      <c r="A120" s="206" t="s">
        <v>228</v>
      </c>
      <c r="B120" s="635">
        <f>'Datu ievade'!B62</f>
        <v>0</v>
      </c>
      <c r="C120" s="635">
        <f>'Datu ievade'!C62</f>
        <v>4080</v>
      </c>
      <c r="D120" s="635">
        <f>'Datu ievade'!D62</f>
        <v>0</v>
      </c>
      <c r="E120" s="207">
        <f>'Datu ievade'!E62</f>
        <v>0</v>
      </c>
      <c r="F120" s="635">
        <f>'Datu ievade'!F62</f>
        <v>0</v>
      </c>
      <c r="G120" s="207">
        <f>'Datu ievade'!G62</f>
        <v>0</v>
      </c>
      <c r="H120" s="207">
        <f>'Datu ievade'!H62</f>
        <v>0</v>
      </c>
      <c r="I120" s="207">
        <f>'Datu ievade'!I62</f>
        <v>0</v>
      </c>
      <c r="J120" s="207">
        <f>'Datu ievade'!J62</f>
        <v>0</v>
      </c>
      <c r="K120" s="207">
        <f>'Datu ievade'!K62</f>
        <v>0</v>
      </c>
      <c r="L120" s="207">
        <f>'Datu ievade'!L62</f>
        <v>0</v>
      </c>
      <c r="M120" s="207">
        <f>'Datu ievade'!M62</f>
        <v>0</v>
      </c>
      <c r="N120" s="207">
        <f>'Datu ievade'!N62</f>
        <v>0</v>
      </c>
      <c r="O120" s="207">
        <f>'Datu ievade'!O62</f>
        <v>0</v>
      </c>
      <c r="P120" s="207">
        <f>'Datu ievade'!P62</f>
        <v>0</v>
      </c>
      <c r="Q120" s="207">
        <f>'Datu ievade'!Q62</f>
        <v>0</v>
      </c>
      <c r="R120" s="207">
        <f>'Datu ievade'!R62</f>
        <v>0</v>
      </c>
      <c r="S120" s="207">
        <f>'Datu ievade'!S62</f>
        <v>0</v>
      </c>
      <c r="T120" s="207">
        <f>'Datu ievade'!T62</f>
        <v>0</v>
      </c>
      <c r="U120" s="207">
        <f>'Datu ievade'!U62</f>
        <v>0</v>
      </c>
      <c r="V120" s="207">
        <f>'Datu ievade'!V62</f>
        <v>0</v>
      </c>
      <c r="W120" s="207">
        <f>'Datu ievade'!W62</f>
        <v>0</v>
      </c>
      <c r="X120" s="207">
        <f>'Datu ievade'!X62</f>
        <v>0</v>
      </c>
      <c r="Y120" s="207">
        <f>'Datu ievade'!Y62</f>
        <v>0</v>
      </c>
      <c r="Z120" s="207">
        <f>'Datu ievade'!Z62</f>
        <v>0</v>
      </c>
      <c r="AA120" s="207">
        <f>'Datu ievade'!AA62</f>
        <v>0</v>
      </c>
      <c r="AB120" s="207">
        <f>'Datu ievade'!AB62</f>
        <v>0</v>
      </c>
      <c r="AC120" s="207">
        <f>'Datu ievade'!AC62</f>
        <v>0</v>
      </c>
      <c r="AD120" s="207">
        <f>'Datu ievade'!AD62</f>
        <v>0</v>
      </c>
      <c r="AE120" s="207">
        <f>'Datu ievade'!AE62</f>
        <v>0</v>
      </c>
      <c r="AF120" s="207">
        <f>'Datu ievade'!AF62</f>
        <v>0</v>
      </c>
      <c r="AG120" s="207">
        <f>'Datu ievade'!AG62</f>
        <v>0</v>
      </c>
    </row>
    <row r="121" spans="1:33" s="323" customFormat="1" ht="12.75">
      <c r="A121" s="324" t="s">
        <v>229</v>
      </c>
      <c r="B121" s="325">
        <f aca="true" t="shared" si="52" ref="B121:AG121">B120+B119</f>
        <v>0</v>
      </c>
      <c r="C121" s="636">
        <f t="shared" si="52"/>
        <v>6528</v>
      </c>
      <c r="D121" s="636">
        <f t="shared" si="52"/>
        <v>5200</v>
      </c>
      <c r="E121" s="325">
        <f t="shared" si="52"/>
        <v>0</v>
      </c>
      <c r="F121" s="636">
        <f t="shared" si="52"/>
        <v>0</v>
      </c>
      <c r="G121" s="325">
        <f t="shared" si="52"/>
        <v>0</v>
      </c>
      <c r="H121" s="325">
        <f t="shared" si="52"/>
        <v>0</v>
      </c>
      <c r="I121" s="325">
        <f t="shared" si="52"/>
        <v>0</v>
      </c>
      <c r="J121" s="325">
        <f t="shared" si="52"/>
        <v>0</v>
      </c>
      <c r="K121" s="325">
        <f t="shared" si="52"/>
        <v>0</v>
      </c>
      <c r="L121" s="325">
        <f t="shared" si="52"/>
        <v>0</v>
      </c>
      <c r="M121" s="325">
        <f t="shared" si="52"/>
        <v>0</v>
      </c>
      <c r="N121" s="325">
        <f t="shared" si="52"/>
        <v>0</v>
      </c>
      <c r="O121" s="325">
        <f t="shared" si="52"/>
        <v>0</v>
      </c>
      <c r="P121" s="325">
        <f t="shared" si="52"/>
        <v>0</v>
      </c>
      <c r="Q121" s="325">
        <f t="shared" si="52"/>
        <v>0</v>
      </c>
      <c r="R121" s="325">
        <f t="shared" si="52"/>
        <v>0</v>
      </c>
      <c r="S121" s="325">
        <f t="shared" si="52"/>
        <v>0</v>
      </c>
      <c r="T121" s="325">
        <f t="shared" si="52"/>
        <v>0</v>
      </c>
      <c r="U121" s="325">
        <f t="shared" si="52"/>
        <v>0</v>
      </c>
      <c r="V121" s="325">
        <f t="shared" si="52"/>
        <v>0</v>
      </c>
      <c r="W121" s="325">
        <f t="shared" si="52"/>
        <v>0</v>
      </c>
      <c r="X121" s="325">
        <f t="shared" si="52"/>
        <v>0</v>
      </c>
      <c r="Y121" s="325">
        <f t="shared" si="52"/>
        <v>0</v>
      </c>
      <c r="Z121" s="325">
        <f t="shared" si="52"/>
        <v>0</v>
      </c>
      <c r="AA121" s="325">
        <f t="shared" si="52"/>
        <v>0</v>
      </c>
      <c r="AB121" s="325">
        <f t="shared" si="52"/>
        <v>0</v>
      </c>
      <c r="AC121" s="325">
        <f t="shared" si="52"/>
        <v>0</v>
      </c>
      <c r="AD121" s="325">
        <f t="shared" si="52"/>
        <v>0</v>
      </c>
      <c r="AE121" s="325">
        <f t="shared" si="52"/>
        <v>0</v>
      </c>
      <c r="AF121" s="325">
        <f t="shared" si="52"/>
        <v>0</v>
      </c>
      <c r="AG121" s="325">
        <f t="shared" si="52"/>
        <v>0</v>
      </c>
    </row>
    <row r="122" spans="1:33" s="323" customFormat="1" ht="12.75">
      <c r="A122" s="324" t="s">
        <v>230</v>
      </c>
      <c r="B122" s="325">
        <f aca="true" t="shared" si="53" ref="B122:AG122">B121+B118</f>
        <v>0</v>
      </c>
      <c r="C122" s="636">
        <f t="shared" si="53"/>
        <v>69768</v>
      </c>
      <c r="D122" s="636">
        <f t="shared" si="53"/>
        <v>317460</v>
      </c>
      <c r="E122" s="325">
        <f t="shared" si="53"/>
        <v>0</v>
      </c>
      <c r="F122" s="636">
        <f t="shared" si="53"/>
        <v>0</v>
      </c>
      <c r="G122" s="325">
        <f t="shared" si="53"/>
        <v>0</v>
      </c>
      <c r="H122" s="325">
        <f t="shared" si="53"/>
        <v>0</v>
      </c>
      <c r="I122" s="325">
        <f t="shared" si="53"/>
        <v>0</v>
      </c>
      <c r="J122" s="325">
        <f t="shared" si="53"/>
        <v>0</v>
      </c>
      <c r="K122" s="325">
        <f t="shared" si="53"/>
        <v>0</v>
      </c>
      <c r="L122" s="325">
        <f t="shared" si="53"/>
        <v>0</v>
      </c>
      <c r="M122" s="325">
        <f t="shared" si="53"/>
        <v>0</v>
      </c>
      <c r="N122" s="325">
        <f t="shared" si="53"/>
        <v>0</v>
      </c>
      <c r="O122" s="325">
        <f t="shared" si="53"/>
        <v>0</v>
      </c>
      <c r="P122" s="325">
        <f t="shared" si="53"/>
        <v>0</v>
      </c>
      <c r="Q122" s="325">
        <f t="shared" si="53"/>
        <v>0</v>
      </c>
      <c r="R122" s="325">
        <f t="shared" si="53"/>
        <v>0</v>
      </c>
      <c r="S122" s="325">
        <f t="shared" si="53"/>
        <v>0</v>
      </c>
      <c r="T122" s="325">
        <f t="shared" si="53"/>
        <v>0</v>
      </c>
      <c r="U122" s="325">
        <f t="shared" si="53"/>
        <v>0</v>
      </c>
      <c r="V122" s="325">
        <f t="shared" si="53"/>
        <v>0</v>
      </c>
      <c r="W122" s="325">
        <f t="shared" si="53"/>
        <v>0</v>
      </c>
      <c r="X122" s="325">
        <f t="shared" si="53"/>
        <v>0</v>
      </c>
      <c r="Y122" s="325">
        <f t="shared" si="53"/>
        <v>0</v>
      </c>
      <c r="Z122" s="325">
        <f t="shared" si="53"/>
        <v>0</v>
      </c>
      <c r="AA122" s="325">
        <f t="shared" si="53"/>
        <v>0</v>
      </c>
      <c r="AB122" s="325">
        <f t="shared" si="53"/>
        <v>0</v>
      </c>
      <c r="AC122" s="325">
        <f t="shared" si="53"/>
        <v>0</v>
      </c>
      <c r="AD122" s="325">
        <f t="shared" si="53"/>
        <v>0</v>
      </c>
      <c r="AE122" s="325">
        <f t="shared" si="53"/>
        <v>0</v>
      </c>
      <c r="AF122" s="325">
        <f t="shared" si="53"/>
        <v>0</v>
      </c>
      <c r="AG122" s="325">
        <f t="shared" si="53"/>
        <v>0</v>
      </c>
    </row>
    <row r="123" spans="1:33" s="323" customFormat="1" ht="12.75">
      <c r="A123" s="318"/>
      <c r="B123" s="287"/>
      <c r="C123" s="621"/>
      <c r="D123" s="621"/>
      <c r="E123" s="287"/>
      <c r="F123" s="621"/>
      <c r="G123" s="287"/>
      <c r="H123" s="287"/>
      <c r="I123" s="287"/>
      <c r="J123" s="287"/>
      <c r="K123" s="319"/>
      <c r="L123" s="287"/>
      <c r="M123" s="287"/>
      <c r="N123" s="209"/>
      <c r="O123" s="287"/>
      <c r="P123" s="287"/>
      <c r="Q123" s="287"/>
      <c r="R123" s="287"/>
      <c r="S123" s="287"/>
      <c r="T123" s="287"/>
      <c r="U123" s="308"/>
      <c r="V123" s="308"/>
      <c r="W123" s="287"/>
      <c r="X123" s="287"/>
      <c r="Y123" s="287"/>
      <c r="Z123" s="326"/>
      <c r="AA123" s="326"/>
      <c r="AB123" s="326"/>
      <c r="AC123" s="326"/>
      <c r="AD123" s="326"/>
      <c r="AE123" s="326"/>
      <c r="AF123" s="326"/>
      <c r="AG123" s="326"/>
    </row>
    <row r="124" spans="1:33" s="323" customFormat="1" ht="13.5">
      <c r="A124" s="320" t="s">
        <v>231</v>
      </c>
      <c r="B124" s="327"/>
      <c r="C124" s="637"/>
      <c r="D124" s="637"/>
      <c r="E124" s="327"/>
      <c r="F124" s="637"/>
      <c r="G124" s="327"/>
      <c r="H124" s="327"/>
      <c r="I124" s="327"/>
      <c r="J124" s="327"/>
      <c r="K124" s="327"/>
      <c r="L124" s="327"/>
      <c r="M124" s="327"/>
      <c r="N124" s="327"/>
      <c r="O124" s="327"/>
      <c r="P124" s="327"/>
      <c r="Q124" s="327"/>
      <c r="R124" s="327"/>
      <c r="S124" s="327"/>
      <c r="T124" s="327"/>
      <c r="U124" s="327"/>
      <c r="V124" s="327"/>
      <c r="W124" s="327"/>
      <c r="X124" s="327"/>
      <c r="Y124" s="327"/>
      <c r="Z124" s="322"/>
      <c r="AA124" s="322"/>
      <c r="AB124" s="322"/>
      <c r="AC124" s="322"/>
      <c r="AD124" s="322"/>
      <c r="AE124" s="322"/>
      <c r="AF124" s="322"/>
      <c r="AG124" s="322"/>
    </row>
    <row r="125" spans="1:33" s="323" customFormat="1" ht="12.75">
      <c r="A125" s="206" t="s">
        <v>224</v>
      </c>
      <c r="B125" s="207">
        <f>'Datu ievade'!B65</f>
        <v>0</v>
      </c>
      <c r="C125" s="635">
        <f>'Datu ievade'!C65</f>
        <v>39780</v>
      </c>
      <c r="D125" s="635">
        <f>'Datu ievade'!D65</f>
        <v>217360</v>
      </c>
      <c r="E125" s="207">
        <f>'Datu ievade'!E65</f>
        <v>0</v>
      </c>
      <c r="F125" s="635">
        <f>'Datu ievade'!F65</f>
        <v>0</v>
      </c>
      <c r="G125" s="207">
        <f>'Datu ievade'!G65</f>
        <v>0</v>
      </c>
      <c r="H125" s="207">
        <f>'Datu ievade'!H65</f>
        <v>0</v>
      </c>
      <c r="I125" s="207">
        <f>'Datu ievade'!I65</f>
        <v>0</v>
      </c>
      <c r="J125" s="207">
        <f>'Datu ievade'!J65</f>
        <v>0</v>
      </c>
      <c r="K125" s="207">
        <f>'Datu ievade'!K65</f>
        <v>0</v>
      </c>
      <c r="L125" s="207">
        <f>'Datu ievade'!L65</f>
        <v>0</v>
      </c>
      <c r="M125" s="207">
        <f>'Datu ievade'!M65</f>
        <v>0</v>
      </c>
      <c r="N125" s="207">
        <f>'Datu ievade'!N65</f>
        <v>0</v>
      </c>
      <c r="O125" s="207">
        <f>'Datu ievade'!O65</f>
        <v>0</v>
      </c>
      <c r="P125" s="207">
        <f>'Datu ievade'!P65</f>
        <v>0</v>
      </c>
      <c r="Q125" s="207">
        <f>'Datu ievade'!Q65</f>
        <v>0</v>
      </c>
      <c r="R125" s="207">
        <f>'Datu ievade'!R65</f>
        <v>0</v>
      </c>
      <c r="S125" s="207">
        <f>'Datu ievade'!S65</f>
        <v>0</v>
      </c>
      <c r="T125" s="207">
        <f>'Datu ievade'!T65</f>
        <v>0</v>
      </c>
      <c r="U125" s="207">
        <f>'Datu ievade'!U65</f>
        <v>0</v>
      </c>
      <c r="V125" s="207">
        <f>'Datu ievade'!V65</f>
        <v>0</v>
      </c>
      <c r="W125" s="207">
        <f>'Datu ievade'!W65</f>
        <v>0</v>
      </c>
      <c r="X125" s="207">
        <f>'Datu ievade'!X65</f>
        <v>0</v>
      </c>
      <c r="Y125" s="207">
        <f>'Datu ievade'!Y65</f>
        <v>0</v>
      </c>
      <c r="Z125" s="207">
        <f>'Datu ievade'!Z65</f>
        <v>0</v>
      </c>
      <c r="AA125" s="207">
        <f>'Datu ievade'!AA65</f>
        <v>0</v>
      </c>
      <c r="AB125" s="207">
        <f>'Datu ievade'!AB65</f>
        <v>0</v>
      </c>
      <c r="AC125" s="207">
        <f>'Datu ievade'!AC65</f>
        <v>0</v>
      </c>
      <c r="AD125" s="207">
        <f>'Datu ievade'!AD65</f>
        <v>0</v>
      </c>
      <c r="AE125" s="207">
        <f>'Datu ievade'!AE65</f>
        <v>0</v>
      </c>
      <c r="AF125" s="207">
        <f>'Datu ievade'!AF65</f>
        <v>0</v>
      </c>
      <c r="AG125" s="207">
        <f>'Datu ievade'!AG65</f>
        <v>0</v>
      </c>
    </row>
    <row r="126" spans="1:33" s="323" customFormat="1" ht="12.75">
      <c r="A126" s="206" t="s">
        <v>225</v>
      </c>
      <c r="B126" s="207">
        <f>'Datu ievade'!B66</f>
        <v>0</v>
      </c>
      <c r="C126" s="635">
        <f>'Datu ievade'!C66</f>
        <v>17340</v>
      </c>
      <c r="D126" s="635">
        <f>'Datu ievade'!D66</f>
        <v>45760</v>
      </c>
      <c r="E126" s="207">
        <f>'Datu ievade'!E66</f>
        <v>0</v>
      </c>
      <c r="F126" s="635">
        <f>'Datu ievade'!F66</f>
        <v>0</v>
      </c>
      <c r="G126" s="207">
        <f>'Datu ievade'!G66</f>
        <v>0</v>
      </c>
      <c r="H126" s="207">
        <f>'Datu ievade'!H66</f>
        <v>0</v>
      </c>
      <c r="I126" s="207">
        <f>'Datu ievade'!I66</f>
        <v>0</v>
      </c>
      <c r="J126" s="207">
        <f>'Datu ievade'!J66</f>
        <v>0</v>
      </c>
      <c r="K126" s="207">
        <f>'Datu ievade'!K66</f>
        <v>0</v>
      </c>
      <c r="L126" s="207">
        <f>'Datu ievade'!L66</f>
        <v>0</v>
      </c>
      <c r="M126" s="207">
        <f>'Datu ievade'!M66</f>
        <v>0</v>
      </c>
      <c r="N126" s="207">
        <f>'Datu ievade'!N66</f>
        <v>0</v>
      </c>
      <c r="O126" s="207">
        <f>'Datu ievade'!O66</f>
        <v>0</v>
      </c>
      <c r="P126" s="207">
        <f>'Datu ievade'!P66</f>
        <v>0</v>
      </c>
      <c r="Q126" s="207">
        <f>'Datu ievade'!Q66</f>
        <v>0</v>
      </c>
      <c r="R126" s="207">
        <f>'Datu ievade'!R66</f>
        <v>0</v>
      </c>
      <c r="S126" s="207">
        <f>'Datu ievade'!S66</f>
        <v>0</v>
      </c>
      <c r="T126" s="207">
        <f>'Datu ievade'!T66</f>
        <v>0</v>
      </c>
      <c r="U126" s="207">
        <f>'Datu ievade'!U66</f>
        <v>0</v>
      </c>
      <c r="V126" s="207">
        <f>'Datu ievade'!V66</f>
        <v>0</v>
      </c>
      <c r="W126" s="207">
        <f>'Datu ievade'!W66</f>
        <v>0</v>
      </c>
      <c r="X126" s="207">
        <f>'Datu ievade'!X66</f>
        <v>0</v>
      </c>
      <c r="Y126" s="207">
        <f>'Datu ievade'!Y66</f>
        <v>0</v>
      </c>
      <c r="Z126" s="207">
        <f>'Datu ievade'!Z66</f>
        <v>0</v>
      </c>
      <c r="AA126" s="207">
        <f>'Datu ievade'!AA66</f>
        <v>0</v>
      </c>
      <c r="AB126" s="207">
        <f>'Datu ievade'!AB66</f>
        <v>0</v>
      </c>
      <c r="AC126" s="207">
        <f>'Datu ievade'!AC66</f>
        <v>0</v>
      </c>
      <c r="AD126" s="207">
        <f>'Datu ievade'!AD66</f>
        <v>0</v>
      </c>
      <c r="AE126" s="207">
        <f>'Datu ievade'!AE66</f>
        <v>0</v>
      </c>
      <c r="AF126" s="207">
        <f>'Datu ievade'!AF66</f>
        <v>0</v>
      </c>
      <c r="AG126" s="207">
        <f>'Datu ievade'!AG66</f>
        <v>0</v>
      </c>
    </row>
    <row r="127" spans="1:33" s="323" customFormat="1" ht="12.75">
      <c r="A127" s="324" t="s">
        <v>226</v>
      </c>
      <c r="B127" s="325">
        <f aca="true" t="shared" si="54" ref="B127:AG127">SUM(B125:B126)</f>
        <v>0</v>
      </c>
      <c r="C127" s="636">
        <f t="shared" si="54"/>
        <v>57120</v>
      </c>
      <c r="D127" s="636">
        <f t="shared" si="54"/>
        <v>263120</v>
      </c>
      <c r="E127" s="325">
        <f t="shared" si="54"/>
        <v>0</v>
      </c>
      <c r="F127" s="636">
        <f t="shared" si="54"/>
        <v>0</v>
      </c>
      <c r="G127" s="325">
        <f t="shared" si="54"/>
        <v>0</v>
      </c>
      <c r="H127" s="325">
        <f t="shared" si="54"/>
        <v>0</v>
      </c>
      <c r="I127" s="325">
        <f t="shared" si="54"/>
        <v>0</v>
      </c>
      <c r="J127" s="325">
        <f t="shared" si="54"/>
        <v>0</v>
      </c>
      <c r="K127" s="325">
        <f t="shared" si="54"/>
        <v>0</v>
      </c>
      <c r="L127" s="325">
        <f t="shared" si="54"/>
        <v>0</v>
      </c>
      <c r="M127" s="325">
        <f t="shared" si="54"/>
        <v>0</v>
      </c>
      <c r="N127" s="325">
        <f t="shared" si="54"/>
        <v>0</v>
      </c>
      <c r="O127" s="325">
        <f t="shared" si="54"/>
        <v>0</v>
      </c>
      <c r="P127" s="325">
        <f t="shared" si="54"/>
        <v>0</v>
      </c>
      <c r="Q127" s="325">
        <f t="shared" si="54"/>
        <v>0</v>
      </c>
      <c r="R127" s="325">
        <f t="shared" si="54"/>
        <v>0</v>
      </c>
      <c r="S127" s="325">
        <f t="shared" si="54"/>
        <v>0</v>
      </c>
      <c r="T127" s="325">
        <f t="shared" si="54"/>
        <v>0</v>
      </c>
      <c r="U127" s="325">
        <f t="shared" si="54"/>
        <v>0</v>
      </c>
      <c r="V127" s="325">
        <f t="shared" si="54"/>
        <v>0</v>
      </c>
      <c r="W127" s="325">
        <f t="shared" si="54"/>
        <v>0</v>
      </c>
      <c r="X127" s="325">
        <f t="shared" si="54"/>
        <v>0</v>
      </c>
      <c r="Y127" s="325">
        <f t="shared" si="54"/>
        <v>0</v>
      </c>
      <c r="Z127" s="325">
        <f t="shared" si="54"/>
        <v>0</v>
      </c>
      <c r="AA127" s="325">
        <f t="shared" si="54"/>
        <v>0</v>
      </c>
      <c r="AB127" s="325">
        <f t="shared" si="54"/>
        <v>0</v>
      </c>
      <c r="AC127" s="325">
        <f t="shared" si="54"/>
        <v>0</v>
      </c>
      <c r="AD127" s="325">
        <f t="shared" si="54"/>
        <v>0</v>
      </c>
      <c r="AE127" s="325">
        <f t="shared" si="54"/>
        <v>0</v>
      </c>
      <c r="AF127" s="325">
        <f t="shared" si="54"/>
        <v>0</v>
      </c>
      <c r="AG127" s="325">
        <f t="shared" si="54"/>
        <v>0</v>
      </c>
    </row>
    <row r="128" spans="1:33" s="323" customFormat="1" ht="12.75">
      <c r="A128" s="206" t="s">
        <v>227</v>
      </c>
      <c r="B128" s="207">
        <f>'Datu ievade'!B67+'Datu ievade'!B68</f>
        <v>0</v>
      </c>
      <c r="C128" s="207">
        <f>'Datu ievade'!C67+'Datu ievade'!C68</f>
        <v>1632</v>
      </c>
      <c r="D128" s="207">
        <f>'Datu ievade'!D67+'Datu ievade'!D68</f>
        <v>3952</v>
      </c>
      <c r="E128" s="207">
        <f>'Datu ievade'!E67+'Datu ievade'!E68</f>
        <v>0</v>
      </c>
      <c r="F128" s="207">
        <f>'Datu ievade'!F67+'Datu ievade'!F68</f>
        <v>0</v>
      </c>
      <c r="G128" s="207">
        <f>'Datu ievade'!G67+'Datu ievade'!G68</f>
        <v>0</v>
      </c>
      <c r="H128" s="207">
        <f>'Datu ievade'!H67+'Datu ievade'!H68</f>
        <v>0</v>
      </c>
      <c r="I128" s="207">
        <f>'Datu ievade'!I67+'Datu ievade'!I68</f>
        <v>0</v>
      </c>
      <c r="J128" s="207">
        <f>'Datu ievade'!J67+'Datu ievade'!J68</f>
        <v>0</v>
      </c>
      <c r="K128" s="207">
        <f>'Datu ievade'!K67+'Datu ievade'!K68</f>
        <v>0</v>
      </c>
      <c r="L128" s="207">
        <f>'Datu ievade'!L67+'Datu ievade'!L68</f>
        <v>0</v>
      </c>
      <c r="M128" s="207">
        <f>'Datu ievade'!M67+'Datu ievade'!M68</f>
        <v>0</v>
      </c>
      <c r="N128" s="207">
        <f>'Datu ievade'!N67+'Datu ievade'!N68</f>
        <v>0</v>
      </c>
      <c r="O128" s="207">
        <f>'Datu ievade'!O67+'Datu ievade'!O68</f>
        <v>0</v>
      </c>
      <c r="P128" s="207">
        <f>'Datu ievade'!P67+'Datu ievade'!P68</f>
        <v>0</v>
      </c>
      <c r="Q128" s="207">
        <f>'Datu ievade'!Q67+'Datu ievade'!Q68</f>
        <v>0</v>
      </c>
      <c r="R128" s="207">
        <f>'Datu ievade'!R67+'Datu ievade'!R68</f>
        <v>0</v>
      </c>
      <c r="S128" s="207">
        <f>'Datu ievade'!S67+'Datu ievade'!S68</f>
        <v>0</v>
      </c>
      <c r="T128" s="207">
        <f>'Datu ievade'!T67+'Datu ievade'!T68</f>
        <v>0</v>
      </c>
      <c r="U128" s="207">
        <f>'Datu ievade'!U67+'Datu ievade'!U68</f>
        <v>0</v>
      </c>
      <c r="V128" s="207">
        <f>'Datu ievade'!V67+'Datu ievade'!V68</f>
        <v>0</v>
      </c>
      <c r="W128" s="207">
        <f>'Datu ievade'!W67+'Datu ievade'!W68</f>
        <v>0</v>
      </c>
      <c r="X128" s="207">
        <f>'Datu ievade'!X67+'Datu ievade'!X68</f>
        <v>0</v>
      </c>
      <c r="Y128" s="207">
        <f>'Datu ievade'!Y67+'Datu ievade'!Y68</f>
        <v>0</v>
      </c>
      <c r="Z128" s="207">
        <f>'Datu ievade'!Z67+'Datu ievade'!Z68</f>
        <v>0</v>
      </c>
      <c r="AA128" s="207">
        <f>'Datu ievade'!AA67+'Datu ievade'!AA68</f>
        <v>0</v>
      </c>
      <c r="AB128" s="207">
        <f>'Datu ievade'!AB67+'Datu ievade'!AB68</f>
        <v>0</v>
      </c>
      <c r="AC128" s="207">
        <f>'Datu ievade'!AC67+'Datu ievade'!AC68</f>
        <v>0</v>
      </c>
      <c r="AD128" s="207">
        <f>'Datu ievade'!AD67+'Datu ievade'!AD68</f>
        <v>0</v>
      </c>
      <c r="AE128" s="207">
        <f>'Datu ievade'!AE67+'Datu ievade'!AE68</f>
        <v>0</v>
      </c>
      <c r="AF128" s="207">
        <f>'Datu ievade'!AF67+'Datu ievade'!AF68</f>
        <v>0</v>
      </c>
      <c r="AG128" s="207">
        <f>'Datu ievade'!AG67+'Datu ievade'!AG68</f>
        <v>0</v>
      </c>
    </row>
    <row r="129" spans="1:33" s="323" customFormat="1" ht="12.75">
      <c r="A129" s="206" t="s">
        <v>228</v>
      </c>
      <c r="B129" s="635">
        <f>'Datu ievade'!B69</f>
        <v>0</v>
      </c>
      <c r="C129" s="635">
        <f>'Datu ievade'!C69</f>
        <v>5100</v>
      </c>
      <c r="D129" s="635">
        <f>'Datu ievade'!D69</f>
        <v>0</v>
      </c>
      <c r="E129" s="207">
        <f>'Datu ievade'!E69</f>
        <v>0</v>
      </c>
      <c r="F129" s="635">
        <f>'Datu ievade'!F69</f>
        <v>0</v>
      </c>
      <c r="G129" s="207">
        <f>'Datu ievade'!G69</f>
        <v>0</v>
      </c>
      <c r="H129" s="207">
        <f>'Datu ievade'!H69</f>
        <v>0</v>
      </c>
      <c r="I129" s="207">
        <f>'Datu ievade'!I69</f>
        <v>0</v>
      </c>
      <c r="J129" s="207">
        <f>'Datu ievade'!J69</f>
        <v>0</v>
      </c>
      <c r="K129" s="207">
        <f>'Datu ievade'!K69</f>
        <v>0</v>
      </c>
      <c r="L129" s="207">
        <f>'Datu ievade'!L69</f>
        <v>0</v>
      </c>
      <c r="M129" s="207">
        <f>'Datu ievade'!M69</f>
        <v>0</v>
      </c>
      <c r="N129" s="207">
        <f>'Datu ievade'!N69</f>
        <v>0</v>
      </c>
      <c r="O129" s="207">
        <f>'Datu ievade'!O69</f>
        <v>0</v>
      </c>
      <c r="P129" s="207">
        <f>'Datu ievade'!P69</f>
        <v>0</v>
      </c>
      <c r="Q129" s="207">
        <f>'Datu ievade'!Q69</f>
        <v>0</v>
      </c>
      <c r="R129" s="207">
        <f>'Datu ievade'!R69</f>
        <v>0</v>
      </c>
      <c r="S129" s="207">
        <f>'Datu ievade'!S69</f>
        <v>0</v>
      </c>
      <c r="T129" s="207">
        <f>'Datu ievade'!T69</f>
        <v>0</v>
      </c>
      <c r="U129" s="207">
        <f>'Datu ievade'!U69</f>
        <v>0</v>
      </c>
      <c r="V129" s="207">
        <f>'Datu ievade'!V69</f>
        <v>0</v>
      </c>
      <c r="W129" s="207">
        <f>'Datu ievade'!W69</f>
        <v>0</v>
      </c>
      <c r="X129" s="207">
        <f>'Datu ievade'!X69</f>
        <v>0</v>
      </c>
      <c r="Y129" s="207">
        <f>'Datu ievade'!Y69</f>
        <v>0</v>
      </c>
      <c r="Z129" s="207">
        <f>'Datu ievade'!Z69</f>
        <v>0</v>
      </c>
      <c r="AA129" s="207">
        <f>'Datu ievade'!AA69</f>
        <v>0</v>
      </c>
      <c r="AB129" s="207">
        <f>'Datu ievade'!AB69</f>
        <v>0</v>
      </c>
      <c r="AC129" s="207">
        <f>'Datu ievade'!AC69</f>
        <v>0</v>
      </c>
      <c r="AD129" s="207">
        <f>'Datu ievade'!AD69</f>
        <v>0</v>
      </c>
      <c r="AE129" s="207">
        <f>'Datu ievade'!AE69</f>
        <v>0</v>
      </c>
      <c r="AF129" s="207">
        <f>'Datu ievade'!AF69</f>
        <v>0</v>
      </c>
      <c r="AG129" s="207">
        <f>'Datu ievade'!AG69</f>
        <v>0</v>
      </c>
    </row>
    <row r="130" spans="1:33" s="323" customFormat="1" ht="12.75">
      <c r="A130" s="324" t="s">
        <v>229</v>
      </c>
      <c r="B130" s="325">
        <f aca="true" t="shared" si="55" ref="B130:AG130">SUM(B128:B129)</f>
        <v>0</v>
      </c>
      <c r="C130" s="325">
        <f t="shared" si="55"/>
        <v>6732</v>
      </c>
      <c r="D130" s="325">
        <f t="shared" si="55"/>
        <v>3952</v>
      </c>
      <c r="E130" s="325">
        <f t="shared" si="55"/>
        <v>0</v>
      </c>
      <c r="F130" s="636">
        <f t="shared" si="55"/>
        <v>0</v>
      </c>
      <c r="G130" s="325">
        <f t="shared" si="55"/>
        <v>0</v>
      </c>
      <c r="H130" s="325">
        <f t="shared" si="55"/>
        <v>0</v>
      </c>
      <c r="I130" s="325">
        <f t="shared" si="55"/>
        <v>0</v>
      </c>
      <c r="J130" s="325">
        <f t="shared" si="55"/>
        <v>0</v>
      </c>
      <c r="K130" s="325">
        <f t="shared" si="55"/>
        <v>0</v>
      </c>
      <c r="L130" s="325">
        <f t="shared" si="55"/>
        <v>0</v>
      </c>
      <c r="M130" s="325">
        <f t="shared" si="55"/>
        <v>0</v>
      </c>
      <c r="N130" s="325">
        <f t="shared" si="55"/>
        <v>0</v>
      </c>
      <c r="O130" s="325">
        <f t="shared" si="55"/>
        <v>0</v>
      </c>
      <c r="P130" s="325">
        <f t="shared" si="55"/>
        <v>0</v>
      </c>
      <c r="Q130" s="325">
        <f t="shared" si="55"/>
        <v>0</v>
      </c>
      <c r="R130" s="325">
        <f t="shared" si="55"/>
        <v>0</v>
      </c>
      <c r="S130" s="325">
        <f t="shared" si="55"/>
        <v>0</v>
      </c>
      <c r="T130" s="325">
        <f t="shared" si="55"/>
        <v>0</v>
      </c>
      <c r="U130" s="325">
        <f t="shared" si="55"/>
        <v>0</v>
      </c>
      <c r="V130" s="325">
        <f t="shared" si="55"/>
        <v>0</v>
      </c>
      <c r="W130" s="325">
        <f t="shared" si="55"/>
        <v>0</v>
      </c>
      <c r="X130" s="325">
        <f t="shared" si="55"/>
        <v>0</v>
      </c>
      <c r="Y130" s="325">
        <f t="shared" si="55"/>
        <v>0</v>
      </c>
      <c r="Z130" s="325">
        <f t="shared" si="55"/>
        <v>0</v>
      </c>
      <c r="AA130" s="325">
        <f t="shared" si="55"/>
        <v>0</v>
      </c>
      <c r="AB130" s="325">
        <f t="shared" si="55"/>
        <v>0</v>
      </c>
      <c r="AC130" s="325">
        <f t="shared" si="55"/>
        <v>0</v>
      </c>
      <c r="AD130" s="325">
        <f t="shared" si="55"/>
        <v>0</v>
      </c>
      <c r="AE130" s="325">
        <f t="shared" si="55"/>
        <v>0</v>
      </c>
      <c r="AF130" s="325">
        <f t="shared" si="55"/>
        <v>0</v>
      </c>
      <c r="AG130" s="325">
        <f t="shared" si="55"/>
        <v>0</v>
      </c>
    </row>
    <row r="131" spans="1:33" s="323" customFormat="1" ht="12.75">
      <c r="A131" s="324" t="s">
        <v>230</v>
      </c>
      <c r="B131" s="325">
        <f aca="true" t="shared" si="56" ref="B131:AG131">B127+B130</f>
        <v>0</v>
      </c>
      <c r="C131" s="325">
        <f t="shared" si="56"/>
        <v>63852</v>
      </c>
      <c r="D131" s="325">
        <f t="shared" si="56"/>
        <v>267072</v>
      </c>
      <c r="E131" s="325">
        <f t="shared" si="56"/>
        <v>0</v>
      </c>
      <c r="F131" s="636">
        <f t="shared" si="56"/>
        <v>0</v>
      </c>
      <c r="G131" s="325">
        <f t="shared" si="56"/>
        <v>0</v>
      </c>
      <c r="H131" s="325">
        <f t="shared" si="56"/>
        <v>0</v>
      </c>
      <c r="I131" s="325">
        <f t="shared" si="56"/>
        <v>0</v>
      </c>
      <c r="J131" s="325">
        <f t="shared" si="56"/>
        <v>0</v>
      </c>
      <c r="K131" s="325">
        <f t="shared" si="56"/>
        <v>0</v>
      </c>
      <c r="L131" s="325">
        <f t="shared" si="56"/>
        <v>0</v>
      </c>
      <c r="M131" s="325">
        <f t="shared" si="56"/>
        <v>0</v>
      </c>
      <c r="N131" s="325">
        <f t="shared" si="56"/>
        <v>0</v>
      </c>
      <c r="O131" s="325">
        <f t="shared" si="56"/>
        <v>0</v>
      </c>
      <c r="P131" s="325">
        <f t="shared" si="56"/>
        <v>0</v>
      </c>
      <c r="Q131" s="325">
        <f t="shared" si="56"/>
        <v>0</v>
      </c>
      <c r="R131" s="325">
        <f t="shared" si="56"/>
        <v>0</v>
      </c>
      <c r="S131" s="325">
        <f t="shared" si="56"/>
        <v>0</v>
      </c>
      <c r="T131" s="325">
        <f t="shared" si="56"/>
        <v>0</v>
      </c>
      <c r="U131" s="325">
        <f t="shared" si="56"/>
        <v>0</v>
      </c>
      <c r="V131" s="325">
        <f t="shared" si="56"/>
        <v>0</v>
      </c>
      <c r="W131" s="325">
        <f t="shared" si="56"/>
        <v>0</v>
      </c>
      <c r="X131" s="325">
        <f t="shared" si="56"/>
        <v>0</v>
      </c>
      <c r="Y131" s="325">
        <f t="shared" si="56"/>
        <v>0</v>
      </c>
      <c r="Z131" s="325">
        <f t="shared" si="56"/>
        <v>0</v>
      </c>
      <c r="AA131" s="325">
        <f t="shared" si="56"/>
        <v>0</v>
      </c>
      <c r="AB131" s="325">
        <f t="shared" si="56"/>
        <v>0</v>
      </c>
      <c r="AC131" s="325">
        <f t="shared" si="56"/>
        <v>0</v>
      </c>
      <c r="AD131" s="325">
        <f t="shared" si="56"/>
        <v>0</v>
      </c>
      <c r="AE131" s="325">
        <f t="shared" si="56"/>
        <v>0</v>
      </c>
      <c r="AF131" s="325">
        <f t="shared" si="56"/>
        <v>0</v>
      </c>
      <c r="AG131" s="325">
        <f t="shared" si="56"/>
        <v>0</v>
      </c>
    </row>
    <row r="132" spans="1:33" s="323" customFormat="1" ht="12.75">
      <c r="A132" s="318"/>
      <c r="B132" s="287"/>
      <c r="C132" s="287"/>
      <c r="D132" s="287"/>
      <c r="E132" s="287"/>
      <c r="F132" s="621"/>
      <c r="G132" s="287"/>
      <c r="H132" s="287"/>
      <c r="I132" s="287"/>
      <c r="J132" s="287"/>
      <c r="K132" s="319"/>
      <c r="L132" s="287"/>
      <c r="M132" s="287"/>
      <c r="N132" s="209"/>
      <c r="O132" s="287"/>
      <c r="P132" s="287"/>
      <c r="Q132" s="287"/>
      <c r="R132" s="287"/>
      <c r="S132" s="287"/>
      <c r="T132" s="287"/>
      <c r="U132" s="308"/>
      <c r="V132" s="308"/>
      <c r="W132" s="287"/>
      <c r="X132" s="287"/>
      <c r="Y132" s="287"/>
      <c r="Z132" s="326"/>
      <c r="AA132" s="326"/>
      <c r="AB132" s="326"/>
      <c r="AC132" s="326"/>
      <c r="AD132" s="326"/>
      <c r="AE132" s="326"/>
      <c r="AF132" s="326"/>
      <c r="AG132" s="326"/>
    </row>
    <row r="133" spans="1:33" s="209" customFormat="1" ht="13.5">
      <c r="A133" s="320" t="s">
        <v>98</v>
      </c>
      <c r="B133" s="327"/>
      <c r="C133" s="327"/>
      <c r="D133" s="327"/>
      <c r="E133" s="327"/>
      <c r="F133" s="637"/>
      <c r="G133" s="327"/>
      <c r="H133" s="327"/>
      <c r="I133" s="327"/>
      <c r="J133" s="327"/>
      <c r="K133" s="327"/>
      <c r="L133" s="327"/>
      <c r="M133" s="327"/>
      <c r="N133" s="327"/>
      <c r="O133" s="327"/>
      <c r="P133" s="327"/>
      <c r="Q133" s="327"/>
      <c r="R133" s="327"/>
      <c r="S133" s="327"/>
      <c r="T133" s="327"/>
      <c r="U133" s="327"/>
      <c r="V133" s="327"/>
      <c r="W133" s="327"/>
      <c r="X133" s="327"/>
      <c r="Y133" s="327"/>
      <c r="Z133" s="322"/>
      <c r="AA133" s="322"/>
      <c r="AB133" s="322"/>
      <c r="AC133" s="322"/>
      <c r="AD133" s="322"/>
      <c r="AE133" s="322"/>
      <c r="AF133" s="322"/>
      <c r="AG133" s="322"/>
    </row>
    <row r="134" spans="1:33" s="209" customFormat="1" ht="12.75">
      <c r="A134" s="206" t="s">
        <v>224</v>
      </c>
      <c r="B134" s="207">
        <f aca="true" t="shared" si="57" ref="B134:AG134">B116+B125</f>
        <v>0</v>
      </c>
      <c r="C134" s="207">
        <f t="shared" si="57"/>
        <v>87720</v>
      </c>
      <c r="D134" s="207">
        <f t="shared" si="57"/>
        <v>482560</v>
      </c>
      <c r="E134" s="207">
        <f t="shared" si="57"/>
        <v>0</v>
      </c>
      <c r="F134" s="635">
        <f t="shared" si="57"/>
        <v>0</v>
      </c>
      <c r="G134" s="207">
        <f t="shared" si="57"/>
        <v>0</v>
      </c>
      <c r="H134" s="207">
        <f t="shared" si="57"/>
        <v>0</v>
      </c>
      <c r="I134" s="207">
        <f t="shared" si="57"/>
        <v>0</v>
      </c>
      <c r="J134" s="207">
        <f t="shared" si="57"/>
        <v>0</v>
      </c>
      <c r="K134" s="207">
        <f t="shared" si="57"/>
        <v>0</v>
      </c>
      <c r="L134" s="207">
        <f t="shared" si="57"/>
        <v>0</v>
      </c>
      <c r="M134" s="207">
        <f t="shared" si="57"/>
        <v>0</v>
      </c>
      <c r="N134" s="207">
        <f t="shared" si="57"/>
        <v>0</v>
      </c>
      <c r="O134" s="207">
        <f t="shared" si="57"/>
        <v>0</v>
      </c>
      <c r="P134" s="207">
        <f t="shared" si="57"/>
        <v>0</v>
      </c>
      <c r="Q134" s="207">
        <f t="shared" si="57"/>
        <v>0</v>
      </c>
      <c r="R134" s="207">
        <f t="shared" si="57"/>
        <v>0</v>
      </c>
      <c r="S134" s="207">
        <f t="shared" si="57"/>
        <v>0</v>
      </c>
      <c r="T134" s="207">
        <f t="shared" si="57"/>
        <v>0</v>
      </c>
      <c r="U134" s="207">
        <f t="shared" si="57"/>
        <v>0</v>
      </c>
      <c r="V134" s="207">
        <f t="shared" si="57"/>
        <v>0</v>
      </c>
      <c r="W134" s="207">
        <f t="shared" si="57"/>
        <v>0</v>
      </c>
      <c r="X134" s="207">
        <f t="shared" si="57"/>
        <v>0</v>
      </c>
      <c r="Y134" s="207">
        <f t="shared" si="57"/>
        <v>0</v>
      </c>
      <c r="Z134" s="207">
        <f t="shared" si="57"/>
        <v>0</v>
      </c>
      <c r="AA134" s="207">
        <f t="shared" si="57"/>
        <v>0</v>
      </c>
      <c r="AB134" s="207">
        <f t="shared" si="57"/>
        <v>0</v>
      </c>
      <c r="AC134" s="207">
        <f t="shared" si="57"/>
        <v>0</v>
      </c>
      <c r="AD134" s="207">
        <f t="shared" si="57"/>
        <v>0</v>
      </c>
      <c r="AE134" s="207">
        <f t="shared" si="57"/>
        <v>0</v>
      </c>
      <c r="AF134" s="207">
        <f t="shared" si="57"/>
        <v>0</v>
      </c>
      <c r="AG134" s="207">
        <f t="shared" si="57"/>
        <v>0</v>
      </c>
    </row>
    <row r="135" spans="1:33" s="209" customFormat="1" ht="12.75">
      <c r="A135" s="206" t="s">
        <v>225</v>
      </c>
      <c r="B135" s="207">
        <f aca="true" t="shared" si="58" ref="B135:AG135">B117+B126</f>
        <v>0</v>
      </c>
      <c r="C135" s="207">
        <f t="shared" si="58"/>
        <v>32640</v>
      </c>
      <c r="D135" s="207">
        <f t="shared" si="58"/>
        <v>92820</v>
      </c>
      <c r="E135" s="207">
        <f t="shared" si="58"/>
        <v>0</v>
      </c>
      <c r="F135" s="635">
        <f t="shared" si="58"/>
        <v>0</v>
      </c>
      <c r="G135" s="207">
        <f t="shared" si="58"/>
        <v>0</v>
      </c>
      <c r="H135" s="207">
        <f t="shared" si="58"/>
        <v>0</v>
      </c>
      <c r="I135" s="207">
        <f t="shared" si="58"/>
        <v>0</v>
      </c>
      <c r="J135" s="207">
        <f t="shared" si="58"/>
        <v>0</v>
      </c>
      <c r="K135" s="207">
        <f t="shared" si="58"/>
        <v>0</v>
      </c>
      <c r="L135" s="207">
        <f t="shared" si="58"/>
        <v>0</v>
      </c>
      <c r="M135" s="207">
        <f t="shared" si="58"/>
        <v>0</v>
      </c>
      <c r="N135" s="207">
        <f t="shared" si="58"/>
        <v>0</v>
      </c>
      <c r="O135" s="207">
        <f t="shared" si="58"/>
        <v>0</v>
      </c>
      <c r="P135" s="207">
        <f t="shared" si="58"/>
        <v>0</v>
      </c>
      <c r="Q135" s="207">
        <f t="shared" si="58"/>
        <v>0</v>
      </c>
      <c r="R135" s="207">
        <f t="shared" si="58"/>
        <v>0</v>
      </c>
      <c r="S135" s="207">
        <f t="shared" si="58"/>
        <v>0</v>
      </c>
      <c r="T135" s="207">
        <f t="shared" si="58"/>
        <v>0</v>
      </c>
      <c r="U135" s="207">
        <f t="shared" si="58"/>
        <v>0</v>
      </c>
      <c r="V135" s="207">
        <f t="shared" si="58"/>
        <v>0</v>
      </c>
      <c r="W135" s="207">
        <f t="shared" si="58"/>
        <v>0</v>
      </c>
      <c r="X135" s="207">
        <f t="shared" si="58"/>
        <v>0</v>
      </c>
      <c r="Y135" s="207">
        <f t="shared" si="58"/>
        <v>0</v>
      </c>
      <c r="Z135" s="207">
        <f t="shared" si="58"/>
        <v>0</v>
      </c>
      <c r="AA135" s="207">
        <f t="shared" si="58"/>
        <v>0</v>
      </c>
      <c r="AB135" s="207">
        <f t="shared" si="58"/>
        <v>0</v>
      </c>
      <c r="AC135" s="207">
        <f t="shared" si="58"/>
        <v>0</v>
      </c>
      <c r="AD135" s="207">
        <f t="shared" si="58"/>
        <v>0</v>
      </c>
      <c r="AE135" s="207">
        <f t="shared" si="58"/>
        <v>0</v>
      </c>
      <c r="AF135" s="207">
        <f t="shared" si="58"/>
        <v>0</v>
      </c>
      <c r="AG135" s="207">
        <f t="shared" si="58"/>
        <v>0</v>
      </c>
    </row>
    <row r="136" spans="1:33" s="209" customFormat="1" ht="12.75">
      <c r="A136" s="324" t="s">
        <v>226</v>
      </c>
      <c r="B136" s="325">
        <f aca="true" t="shared" si="59" ref="B136:AG136">SUM(B134:B135)</f>
        <v>0</v>
      </c>
      <c r="C136" s="325">
        <f t="shared" si="59"/>
        <v>120360</v>
      </c>
      <c r="D136" s="325">
        <f t="shared" si="59"/>
        <v>575380</v>
      </c>
      <c r="E136" s="325">
        <f t="shared" si="59"/>
        <v>0</v>
      </c>
      <c r="F136" s="636">
        <f t="shared" si="59"/>
        <v>0</v>
      </c>
      <c r="G136" s="325">
        <f t="shared" si="59"/>
        <v>0</v>
      </c>
      <c r="H136" s="325">
        <f t="shared" si="59"/>
        <v>0</v>
      </c>
      <c r="I136" s="325">
        <f t="shared" si="59"/>
        <v>0</v>
      </c>
      <c r="J136" s="325">
        <f t="shared" si="59"/>
        <v>0</v>
      </c>
      <c r="K136" s="325">
        <f t="shared" si="59"/>
        <v>0</v>
      </c>
      <c r="L136" s="325">
        <f t="shared" si="59"/>
        <v>0</v>
      </c>
      <c r="M136" s="325">
        <f t="shared" si="59"/>
        <v>0</v>
      </c>
      <c r="N136" s="325">
        <f t="shared" si="59"/>
        <v>0</v>
      </c>
      <c r="O136" s="325">
        <f t="shared" si="59"/>
        <v>0</v>
      </c>
      <c r="P136" s="325">
        <f t="shared" si="59"/>
        <v>0</v>
      </c>
      <c r="Q136" s="325">
        <f t="shared" si="59"/>
        <v>0</v>
      </c>
      <c r="R136" s="325">
        <f t="shared" si="59"/>
        <v>0</v>
      </c>
      <c r="S136" s="325">
        <f t="shared" si="59"/>
        <v>0</v>
      </c>
      <c r="T136" s="325">
        <f t="shared" si="59"/>
        <v>0</v>
      </c>
      <c r="U136" s="325">
        <f t="shared" si="59"/>
        <v>0</v>
      </c>
      <c r="V136" s="325">
        <f t="shared" si="59"/>
        <v>0</v>
      </c>
      <c r="W136" s="325">
        <f t="shared" si="59"/>
        <v>0</v>
      </c>
      <c r="X136" s="325">
        <f t="shared" si="59"/>
        <v>0</v>
      </c>
      <c r="Y136" s="325">
        <f t="shared" si="59"/>
        <v>0</v>
      </c>
      <c r="Z136" s="325">
        <f t="shared" si="59"/>
        <v>0</v>
      </c>
      <c r="AA136" s="325">
        <f t="shared" si="59"/>
        <v>0</v>
      </c>
      <c r="AB136" s="325">
        <f t="shared" si="59"/>
        <v>0</v>
      </c>
      <c r="AC136" s="325">
        <f t="shared" si="59"/>
        <v>0</v>
      </c>
      <c r="AD136" s="325">
        <f t="shared" si="59"/>
        <v>0</v>
      </c>
      <c r="AE136" s="325">
        <f t="shared" si="59"/>
        <v>0</v>
      </c>
      <c r="AF136" s="325">
        <f t="shared" si="59"/>
        <v>0</v>
      </c>
      <c r="AG136" s="325">
        <f t="shared" si="59"/>
        <v>0</v>
      </c>
    </row>
    <row r="137" spans="1:33" s="209" customFormat="1" ht="12.75">
      <c r="A137" s="206" t="s">
        <v>227</v>
      </c>
      <c r="B137" s="207">
        <f aca="true" t="shared" si="60" ref="B137:AG137">B119+B128</f>
        <v>0</v>
      </c>
      <c r="C137" s="207">
        <f t="shared" si="60"/>
        <v>4080</v>
      </c>
      <c r="D137" s="207">
        <f t="shared" si="60"/>
        <v>9152</v>
      </c>
      <c r="E137" s="207">
        <f t="shared" si="60"/>
        <v>0</v>
      </c>
      <c r="F137" s="635">
        <f t="shared" si="60"/>
        <v>0</v>
      </c>
      <c r="G137" s="207">
        <f t="shared" si="60"/>
        <v>0</v>
      </c>
      <c r="H137" s="207">
        <f t="shared" si="60"/>
        <v>0</v>
      </c>
      <c r="I137" s="207">
        <f t="shared" si="60"/>
        <v>0</v>
      </c>
      <c r="J137" s="207">
        <f t="shared" si="60"/>
        <v>0</v>
      </c>
      <c r="K137" s="207">
        <f t="shared" si="60"/>
        <v>0</v>
      </c>
      <c r="L137" s="207">
        <f t="shared" si="60"/>
        <v>0</v>
      </c>
      <c r="M137" s="207">
        <f t="shared" si="60"/>
        <v>0</v>
      </c>
      <c r="N137" s="207">
        <f t="shared" si="60"/>
        <v>0</v>
      </c>
      <c r="O137" s="207">
        <f t="shared" si="60"/>
        <v>0</v>
      </c>
      <c r="P137" s="207">
        <f t="shared" si="60"/>
        <v>0</v>
      </c>
      <c r="Q137" s="207">
        <f t="shared" si="60"/>
        <v>0</v>
      </c>
      <c r="R137" s="207">
        <f t="shared" si="60"/>
        <v>0</v>
      </c>
      <c r="S137" s="207">
        <f t="shared" si="60"/>
        <v>0</v>
      </c>
      <c r="T137" s="207">
        <f t="shared" si="60"/>
        <v>0</v>
      </c>
      <c r="U137" s="207">
        <f t="shared" si="60"/>
        <v>0</v>
      </c>
      <c r="V137" s="207">
        <f t="shared" si="60"/>
        <v>0</v>
      </c>
      <c r="W137" s="207">
        <f t="shared" si="60"/>
        <v>0</v>
      </c>
      <c r="X137" s="207">
        <f t="shared" si="60"/>
        <v>0</v>
      </c>
      <c r="Y137" s="207">
        <f t="shared" si="60"/>
        <v>0</v>
      </c>
      <c r="Z137" s="207">
        <f t="shared" si="60"/>
        <v>0</v>
      </c>
      <c r="AA137" s="207">
        <f t="shared" si="60"/>
        <v>0</v>
      </c>
      <c r="AB137" s="207">
        <f t="shared" si="60"/>
        <v>0</v>
      </c>
      <c r="AC137" s="207">
        <f t="shared" si="60"/>
        <v>0</v>
      </c>
      <c r="AD137" s="207">
        <f t="shared" si="60"/>
        <v>0</v>
      </c>
      <c r="AE137" s="207">
        <f t="shared" si="60"/>
        <v>0</v>
      </c>
      <c r="AF137" s="207">
        <f t="shared" si="60"/>
        <v>0</v>
      </c>
      <c r="AG137" s="207">
        <f t="shared" si="60"/>
        <v>0</v>
      </c>
    </row>
    <row r="138" spans="1:33" s="209" customFormat="1" ht="12.75">
      <c r="A138" s="206" t="s">
        <v>228</v>
      </c>
      <c r="B138" s="207">
        <f aca="true" t="shared" si="61" ref="B138:AG138">B120+B129</f>
        <v>0</v>
      </c>
      <c r="C138" s="207">
        <f t="shared" si="61"/>
        <v>9180</v>
      </c>
      <c r="D138" s="207">
        <f t="shared" si="61"/>
        <v>0</v>
      </c>
      <c r="E138" s="207">
        <f t="shared" si="61"/>
        <v>0</v>
      </c>
      <c r="F138" s="635">
        <f t="shared" si="61"/>
        <v>0</v>
      </c>
      <c r="G138" s="207">
        <f t="shared" si="61"/>
        <v>0</v>
      </c>
      <c r="H138" s="207">
        <f t="shared" si="61"/>
        <v>0</v>
      </c>
      <c r="I138" s="207">
        <f t="shared" si="61"/>
        <v>0</v>
      </c>
      <c r="J138" s="207">
        <f t="shared" si="61"/>
        <v>0</v>
      </c>
      <c r="K138" s="207">
        <f t="shared" si="61"/>
        <v>0</v>
      </c>
      <c r="L138" s="207">
        <f t="shared" si="61"/>
        <v>0</v>
      </c>
      <c r="M138" s="207">
        <f t="shared" si="61"/>
        <v>0</v>
      </c>
      <c r="N138" s="207">
        <f t="shared" si="61"/>
        <v>0</v>
      </c>
      <c r="O138" s="207">
        <f t="shared" si="61"/>
        <v>0</v>
      </c>
      <c r="P138" s="207">
        <f t="shared" si="61"/>
        <v>0</v>
      </c>
      <c r="Q138" s="207">
        <f t="shared" si="61"/>
        <v>0</v>
      </c>
      <c r="R138" s="207">
        <f t="shared" si="61"/>
        <v>0</v>
      </c>
      <c r="S138" s="207">
        <f t="shared" si="61"/>
        <v>0</v>
      </c>
      <c r="T138" s="207">
        <f t="shared" si="61"/>
        <v>0</v>
      </c>
      <c r="U138" s="207">
        <f t="shared" si="61"/>
        <v>0</v>
      </c>
      <c r="V138" s="207">
        <f t="shared" si="61"/>
        <v>0</v>
      </c>
      <c r="W138" s="207">
        <f t="shared" si="61"/>
        <v>0</v>
      </c>
      <c r="X138" s="207">
        <f t="shared" si="61"/>
        <v>0</v>
      </c>
      <c r="Y138" s="207">
        <f t="shared" si="61"/>
        <v>0</v>
      </c>
      <c r="Z138" s="207">
        <f t="shared" si="61"/>
        <v>0</v>
      </c>
      <c r="AA138" s="207">
        <f t="shared" si="61"/>
        <v>0</v>
      </c>
      <c r="AB138" s="207">
        <f t="shared" si="61"/>
        <v>0</v>
      </c>
      <c r="AC138" s="207">
        <f t="shared" si="61"/>
        <v>0</v>
      </c>
      <c r="AD138" s="207">
        <f t="shared" si="61"/>
        <v>0</v>
      </c>
      <c r="AE138" s="207">
        <f t="shared" si="61"/>
        <v>0</v>
      </c>
      <c r="AF138" s="207">
        <f t="shared" si="61"/>
        <v>0</v>
      </c>
      <c r="AG138" s="207">
        <f t="shared" si="61"/>
        <v>0</v>
      </c>
    </row>
    <row r="139" spans="1:33" s="209" customFormat="1" ht="12.75">
      <c r="A139" s="324" t="s">
        <v>229</v>
      </c>
      <c r="B139" s="325">
        <f aca="true" t="shared" si="62" ref="B139:AG139">SUM(B137:B138)</f>
        <v>0</v>
      </c>
      <c r="C139" s="325">
        <f t="shared" si="62"/>
        <v>13260</v>
      </c>
      <c r="D139" s="325">
        <f t="shared" si="62"/>
        <v>9152</v>
      </c>
      <c r="E139" s="325">
        <f t="shared" si="62"/>
        <v>0</v>
      </c>
      <c r="F139" s="636">
        <f t="shared" si="62"/>
        <v>0</v>
      </c>
      <c r="G139" s="325">
        <f t="shared" si="62"/>
        <v>0</v>
      </c>
      <c r="H139" s="325">
        <f t="shared" si="62"/>
        <v>0</v>
      </c>
      <c r="I139" s="325">
        <f t="shared" si="62"/>
        <v>0</v>
      </c>
      <c r="J139" s="325">
        <f t="shared" si="62"/>
        <v>0</v>
      </c>
      <c r="K139" s="325">
        <f t="shared" si="62"/>
        <v>0</v>
      </c>
      <c r="L139" s="325">
        <f t="shared" si="62"/>
        <v>0</v>
      </c>
      <c r="M139" s="325">
        <f t="shared" si="62"/>
        <v>0</v>
      </c>
      <c r="N139" s="325">
        <f t="shared" si="62"/>
        <v>0</v>
      </c>
      <c r="O139" s="325">
        <f t="shared" si="62"/>
        <v>0</v>
      </c>
      <c r="P139" s="325">
        <f t="shared" si="62"/>
        <v>0</v>
      </c>
      <c r="Q139" s="325">
        <f t="shared" si="62"/>
        <v>0</v>
      </c>
      <c r="R139" s="325">
        <f t="shared" si="62"/>
        <v>0</v>
      </c>
      <c r="S139" s="325">
        <f t="shared" si="62"/>
        <v>0</v>
      </c>
      <c r="T139" s="325">
        <f t="shared" si="62"/>
        <v>0</v>
      </c>
      <c r="U139" s="325">
        <f t="shared" si="62"/>
        <v>0</v>
      </c>
      <c r="V139" s="325">
        <f t="shared" si="62"/>
        <v>0</v>
      </c>
      <c r="W139" s="325">
        <f t="shared" si="62"/>
        <v>0</v>
      </c>
      <c r="X139" s="325">
        <f t="shared" si="62"/>
        <v>0</v>
      </c>
      <c r="Y139" s="325">
        <f t="shared" si="62"/>
        <v>0</v>
      </c>
      <c r="Z139" s="325">
        <f t="shared" si="62"/>
        <v>0</v>
      </c>
      <c r="AA139" s="325">
        <f t="shared" si="62"/>
        <v>0</v>
      </c>
      <c r="AB139" s="325">
        <f t="shared" si="62"/>
        <v>0</v>
      </c>
      <c r="AC139" s="325">
        <f t="shared" si="62"/>
        <v>0</v>
      </c>
      <c r="AD139" s="325">
        <f t="shared" si="62"/>
        <v>0</v>
      </c>
      <c r="AE139" s="325">
        <f t="shared" si="62"/>
        <v>0</v>
      </c>
      <c r="AF139" s="325">
        <f t="shared" si="62"/>
        <v>0</v>
      </c>
      <c r="AG139" s="325">
        <f t="shared" si="62"/>
        <v>0</v>
      </c>
    </row>
    <row r="140" spans="1:33" s="209" customFormat="1" ht="12.75">
      <c r="A140" s="324" t="s">
        <v>230</v>
      </c>
      <c r="B140" s="325">
        <f aca="true" t="shared" si="63" ref="B140:AG140">B136+B139</f>
        <v>0</v>
      </c>
      <c r="C140" s="636">
        <f>C136+C139</f>
        <v>133620</v>
      </c>
      <c r="D140" s="636">
        <f>D136+D139</f>
        <v>584532</v>
      </c>
      <c r="E140" s="325">
        <f t="shared" si="63"/>
        <v>0</v>
      </c>
      <c r="F140" s="636">
        <f t="shared" si="63"/>
        <v>0</v>
      </c>
      <c r="G140" s="325">
        <f t="shared" si="63"/>
        <v>0</v>
      </c>
      <c r="H140" s="325">
        <f t="shared" si="63"/>
        <v>0</v>
      </c>
      <c r="I140" s="325">
        <f t="shared" si="63"/>
        <v>0</v>
      </c>
      <c r="J140" s="325">
        <f t="shared" si="63"/>
        <v>0</v>
      </c>
      <c r="K140" s="325">
        <f t="shared" si="63"/>
        <v>0</v>
      </c>
      <c r="L140" s="325">
        <f t="shared" si="63"/>
        <v>0</v>
      </c>
      <c r="M140" s="325">
        <f t="shared" si="63"/>
        <v>0</v>
      </c>
      <c r="N140" s="325">
        <f t="shared" si="63"/>
        <v>0</v>
      </c>
      <c r="O140" s="325">
        <f t="shared" si="63"/>
        <v>0</v>
      </c>
      <c r="P140" s="325">
        <f t="shared" si="63"/>
        <v>0</v>
      </c>
      <c r="Q140" s="325">
        <f t="shared" si="63"/>
        <v>0</v>
      </c>
      <c r="R140" s="325">
        <f t="shared" si="63"/>
        <v>0</v>
      </c>
      <c r="S140" s="325">
        <f t="shared" si="63"/>
        <v>0</v>
      </c>
      <c r="T140" s="325">
        <f t="shared" si="63"/>
        <v>0</v>
      </c>
      <c r="U140" s="325">
        <f t="shared" si="63"/>
        <v>0</v>
      </c>
      <c r="V140" s="325">
        <f t="shared" si="63"/>
        <v>0</v>
      </c>
      <c r="W140" s="325">
        <f t="shared" si="63"/>
        <v>0</v>
      </c>
      <c r="X140" s="325">
        <f t="shared" si="63"/>
        <v>0</v>
      </c>
      <c r="Y140" s="325">
        <f t="shared" si="63"/>
        <v>0</v>
      </c>
      <c r="Z140" s="325">
        <f t="shared" si="63"/>
        <v>0</v>
      </c>
      <c r="AA140" s="325">
        <f t="shared" si="63"/>
        <v>0</v>
      </c>
      <c r="AB140" s="325">
        <f t="shared" si="63"/>
        <v>0</v>
      </c>
      <c r="AC140" s="325">
        <f t="shared" si="63"/>
        <v>0</v>
      </c>
      <c r="AD140" s="325">
        <f t="shared" si="63"/>
        <v>0</v>
      </c>
      <c r="AE140" s="325">
        <f t="shared" si="63"/>
        <v>0</v>
      </c>
      <c r="AF140" s="325">
        <f t="shared" si="63"/>
        <v>0</v>
      </c>
      <c r="AG140" s="325">
        <f t="shared" si="63"/>
        <v>0</v>
      </c>
    </row>
    <row r="141" spans="1:33" s="157" customFormat="1" ht="31.5">
      <c r="A141" s="573" t="s">
        <v>391</v>
      </c>
      <c r="B141" s="574"/>
      <c r="C141" s="446"/>
      <c r="D141" s="446"/>
      <c r="E141" s="446"/>
      <c r="F141" s="631"/>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row>
    <row r="142" spans="1:33" s="157" customFormat="1" ht="12.75">
      <c r="A142" s="575"/>
      <c r="B142" s="245"/>
      <c r="C142" s="245"/>
      <c r="D142" s="245"/>
      <c r="E142" s="245"/>
      <c r="F142" s="638"/>
      <c r="G142" s="245"/>
      <c r="H142" s="245"/>
      <c r="I142" s="245"/>
      <c r="J142" s="245"/>
      <c r="K142" s="245"/>
      <c r="L142" s="245"/>
      <c r="M142" s="245" t="s">
        <v>25</v>
      </c>
      <c r="N142" s="245"/>
      <c r="O142" s="245"/>
      <c r="P142" s="245"/>
      <c r="Q142" s="245"/>
      <c r="R142" s="245"/>
      <c r="S142" s="245"/>
      <c r="T142" s="245"/>
      <c r="U142" s="95"/>
      <c r="V142" s="95"/>
      <c r="W142" s="95"/>
      <c r="X142" s="95"/>
      <c r="Y142" s="95"/>
      <c r="Z142" s="95"/>
      <c r="AA142" s="95"/>
      <c r="AB142" s="95"/>
      <c r="AC142" s="95"/>
      <c r="AD142" s="95"/>
      <c r="AE142" s="95"/>
      <c r="AF142" s="95"/>
      <c r="AG142" s="95"/>
    </row>
    <row r="143" spans="1:33" s="157" customFormat="1" ht="12.75">
      <c r="A143" s="562"/>
      <c r="B143" s="576">
        <f>Aprekini!B5</f>
        <v>2011</v>
      </c>
      <c r="C143" s="576">
        <f aca="true" t="shared" si="64" ref="C143:AG143">B143+1</f>
        <v>2012</v>
      </c>
      <c r="D143" s="576">
        <f t="shared" si="64"/>
        <v>2013</v>
      </c>
      <c r="E143" s="576">
        <f t="shared" si="64"/>
        <v>2014</v>
      </c>
      <c r="F143" s="634">
        <f t="shared" si="64"/>
        <v>2015</v>
      </c>
      <c r="G143" s="576">
        <f t="shared" si="64"/>
        <v>2016</v>
      </c>
      <c r="H143" s="576">
        <f t="shared" si="64"/>
        <v>2017</v>
      </c>
      <c r="I143" s="576">
        <f t="shared" si="64"/>
        <v>2018</v>
      </c>
      <c r="J143" s="576">
        <f t="shared" si="64"/>
        <v>2019</v>
      </c>
      <c r="K143" s="576">
        <f t="shared" si="64"/>
        <v>2020</v>
      </c>
      <c r="L143" s="576">
        <f t="shared" si="64"/>
        <v>2021</v>
      </c>
      <c r="M143" s="576">
        <f t="shared" si="64"/>
        <v>2022</v>
      </c>
      <c r="N143" s="576">
        <f t="shared" si="64"/>
        <v>2023</v>
      </c>
      <c r="O143" s="576">
        <f t="shared" si="64"/>
        <v>2024</v>
      </c>
      <c r="P143" s="576">
        <f t="shared" si="64"/>
        <v>2025</v>
      </c>
      <c r="Q143" s="576">
        <f t="shared" si="64"/>
        <v>2026</v>
      </c>
      <c r="R143" s="576">
        <f t="shared" si="64"/>
        <v>2027</v>
      </c>
      <c r="S143" s="576">
        <f t="shared" si="64"/>
        <v>2028</v>
      </c>
      <c r="T143" s="576">
        <f t="shared" si="64"/>
        <v>2029</v>
      </c>
      <c r="U143" s="576">
        <f t="shared" si="64"/>
        <v>2030</v>
      </c>
      <c r="V143" s="576">
        <f t="shared" si="64"/>
        <v>2031</v>
      </c>
      <c r="W143" s="576">
        <f t="shared" si="64"/>
        <v>2032</v>
      </c>
      <c r="X143" s="576">
        <f t="shared" si="64"/>
        <v>2033</v>
      </c>
      <c r="Y143" s="576">
        <f t="shared" si="64"/>
        <v>2034</v>
      </c>
      <c r="Z143" s="576">
        <f t="shared" si="64"/>
        <v>2035</v>
      </c>
      <c r="AA143" s="576">
        <f t="shared" si="64"/>
        <v>2036</v>
      </c>
      <c r="AB143" s="576">
        <f t="shared" si="64"/>
        <v>2037</v>
      </c>
      <c r="AC143" s="576">
        <f t="shared" si="64"/>
        <v>2038</v>
      </c>
      <c r="AD143" s="576">
        <f t="shared" si="64"/>
        <v>2039</v>
      </c>
      <c r="AE143" s="576">
        <f t="shared" si="64"/>
        <v>2040</v>
      </c>
      <c r="AF143" s="576">
        <f t="shared" si="64"/>
        <v>2041</v>
      </c>
      <c r="AG143" s="576">
        <f t="shared" si="64"/>
        <v>2042</v>
      </c>
    </row>
    <row r="144" spans="1:33" s="157" customFormat="1" ht="12.75">
      <c r="A144" s="556" t="s">
        <v>232</v>
      </c>
      <c r="B144" s="577">
        <f>'Datu ievade'!B119</f>
        <v>0</v>
      </c>
      <c r="C144" s="577">
        <f>'Datu ievade'!C119</f>
        <v>0</v>
      </c>
      <c r="D144" s="577">
        <f>'Datu ievade'!D119</f>
        <v>0</v>
      </c>
      <c r="E144" s="577">
        <f>'Datu ievade'!E119</f>
        <v>0</v>
      </c>
      <c r="F144" s="639">
        <f>'Datu ievade'!F119</f>
        <v>0</v>
      </c>
      <c r="G144" s="577">
        <f>'Datu ievade'!G119</f>
        <v>0</v>
      </c>
      <c r="H144" s="577">
        <f>'Datu ievade'!H119</f>
        <v>0</v>
      </c>
      <c r="I144" s="577">
        <f>'Datu ievade'!I119</f>
        <v>0</v>
      </c>
      <c r="J144" s="577">
        <f>'Datu ievade'!J119</f>
        <v>0</v>
      </c>
      <c r="K144" s="577">
        <f>'Datu ievade'!K119</f>
        <v>0</v>
      </c>
      <c r="L144" s="577">
        <f>'Datu ievade'!L119</f>
        <v>0</v>
      </c>
      <c r="M144" s="577">
        <f>'Datu ievade'!M119</f>
        <v>0</v>
      </c>
      <c r="N144" s="577">
        <f>'Datu ievade'!N119</f>
        <v>0</v>
      </c>
      <c r="O144" s="577">
        <f>'Datu ievade'!O119</f>
        <v>0</v>
      </c>
      <c r="P144" s="577">
        <f>'Datu ievade'!P119</f>
        <v>0</v>
      </c>
      <c r="Q144" s="577">
        <f>'Datu ievade'!Q119</f>
        <v>0</v>
      </c>
      <c r="R144" s="577">
        <f>'Datu ievade'!R119</f>
        <v>0</v>
      </c>
      <c r="S144" s="577">
        <f>'Datu ievade'!S119</f>
        <v>0</v>
      </c>
      <c r="T144" s="577">
        <f>'Datu ievade'!T119</f>
        <v>0</v>
      </c>
      <c r="U144" s="577">
        <f>'Datu ievade'!U119</f>
        <v>0</v>
      </c>
      <c r="V144" s="577">
        <f>'Datu ievade'!V119</f>
        <v>0</v>
      </c>
      <c r="W144" s="577">
        <f>'Datu ievade'!W119</f>
        <v>0</v>
      </c>
      <c r="X144" s="577">
        <f>'Datu ievade'!X119</f>
        <v>0</v>
      </c>
      <c r="Y144" s="577">
        <f>'Datu ievade'!Y119</f>
        <v>0</v>
      </c>
      <c r="Z144" s="577">
        <f>'Datu ievade'!Z119</f>
        <v>0</v>
      </c>
      <c r="AA144" s="577">
        <f>'Datu ievade'!AA119</f>
        <v>0</v>
      </c>
      <c r="AB144" s="577">
        <f>'Datu ievade'!AB119</f>
        <v>0</v>
      </c>
      <c r="AC144" s="577">
        <f>'Datu ievade'!AC119</f>
        <v>0</v>
      </c>
      <c r="AD144" s="577">
        <f>'Datu ievade'!AD119</f>
        <v>0</v>
      </c>
      <c r="AE144" s="577">
        <f>'Datu ievade'!AE119</f>
        <v>0</v>
      </c>
      <c r="AF144" s="577">
        <f>'Datu ievade'!AF119</f>
        <v>0</v>
      </c>
      <c r="AG144" s="577">
        <f>'Datu ievade'!AG119</f>
        <v>0</v>
      </c>
    </row>
    <row r="145" spans="1:33" s="633" customFormat="1" ht="12.75">
      <c r="A145" s="746" t="s">
        <v>233</v>
      </c>
      <c r="B145" s="635">
        <f>IF('Datu ievade'!$B$88="Jā",'Datu ievade'!B101,0)</f>
        <v>0</v>
      </c>
      <c r="C145" s="635">
        <f>IF('Datu ievade'!$B$88="Jā",'Datu ievade'!C101,0)</f>
        <v>78045.15657688066</v>
      </c>
      <c r="D145" s="635">
        <f>IF('Datu ievade'!$B$88="Jā",'Datu ievade'!D101,0)</f>
        <v>341415.1434231193</v>
      </c>
      <c r="E145" s="635">
        <f>IF('Datu ievade'!$B$88="Jā",'Datu ievade'!E101,0)</f>
        <v>0</v>
      </c>
      <c r="F145" s="635">
        <f>IF('Datu ievade'!$B$88="Jā",'Datu ievade'!F101,0)</f>
        <v>0</v>
      </c>
      <c r="G145" s="635">
        <f>IF('Datu ievade'!$B$88="Jā",'Datu ievade'!G101,0)</f>
        <v>0</v>
      </c>
      <c r="H145" s="635">
        <f>IF('Datu ievade'!$B$88="Jā",'Datu ievade'!H101,0)</f>
        <v>0</v>
      </c>
      <c r="I145" s="635">
        <f>IF('Datu ievade'!$B$88="Jā",'Datu ievade'!I101,0)</f>
        <v>0</v>
      </c>
      <c r="J145" s="635">
        <f>IF('Datu ievade'!$B$88="Jā",'Datu ievade'!J101,0)</f>
        <v>0</v>
      </c>
      <c r="K145" s="635">
        <f>IF('Datu ievade'!$B$88="Jā",'Datu ievade'!K101,0)</f>
        <v>0</v>
      </c>
      <c r="L145" s="635">
        <f>IF('Datu ievade'!$B$88="Jā",'Datu ievade'!L101,0)</f>
        <v>0</v>
      </c>
      <c r="M145" s="635">
        <f>IF('Datu ievade'!$B$88="Jā",'Datu ievade'!M101,0)</f>
        <v>0</v>
      </c>
      <c r="N145" s="635">
        <f>IF('Datu ievade'!$B$88="Jā",'Datu ievade'!N101,0)</f>
        <v>0</v>
      </c>
      <c r="O145" s="635">
        <f>IF('Datu ievade'!$B$88="Jā",'Datu ievade'!O101,0)</f>
        <v>0</v>
      </c>
      <c r="P145" s="635">
        <f>IF('Datu ievade'!$B$88="Jā",'Datu ievade'!P101,0)</f>
        <v>0</v>
      </c>
      <c r="Q145" s="635">
        <f>IF('Datu ievade'!$B$88="Jā",'Datu ievade'!Q101,0)</f>
        <v>0</v>
      </c>
      <c r="R145" s="635">
        <f>IF('Datu ievade'!$B$88="Jā",'Datu ievade'!R101,0)</f>
        <v>0</v>
      </c>
      <c r="S145" s="635">
        <f>IF('Datu ievade'!$B$88="Jā",'Datu ievade'!S101,0)</f>
        <v>0</v>
      </c>
      <c r="T145" s="635">
        <f>IF('Datu ievade'!$B$88="Jā",'Datu ievade'!T101,0)</f>
        <v>0</v>
      </c>
      <c r="U145" s="635">
        <f>IF('Datu ievade'!$B$88="Jā",'Datu ievade'!U101,0)</f>
        <v>0</v>
      </c>
      <c r="V145" s="635">
        <f>IF('Datu ievade'!$B$88="Jā",'Datu ievade'!V101,0)</f>
        <v>0</v>
      </c>
      <c r="W145" s="635">
        <f>IF('Datu ievade'!$B$88="Jā",'Datu ievade'!W101,0)</f>
        <v>0</v>
      </c>
      <c r="X145" s="635">
        <f>IF('Datu ievade'!$B$88="Jā",'Datu ievade'!X101,0)</f>
        <v>0</v>
      </c>
      <c r="Y145" s="635">
        <f>IF('Datu ievade'!$B$88="Jā",'Datu ievade'!Y101,0)</f>
        <v>0</v>
      </c>
      <c r="Z145" s="635">
        <f>IF('Datu ievade'!$B$88="Jā",'Datu ievade'!Z101,0)</f>
        <v>0</v>
      </c>
      <c r="AA145" s="635">
        <f>IF('Datu ievade'!$B$88="Jā",'Datu ievade'!AA101,0)</f>
        <v>0</v>
      </c>
      <c r="AB145" s="635">
        <f>IF('Datu ievade'!$B$88="Jā",'Datu ievade'!AB101,0)</f>
        <v>0</v>
      </c>
      <c r="AC145" s="635">
        <f>IF('Datu ievade'!$B$88="Jā",'Datu ievade'!AC101,0)</f>
        <v>0</v>
      </c>
      <c r="AD145" s="635">
        <f>IF('Datu ievade'!$B$88="Jā",'Datu ievade'!AD101,0)</f>
        <v>0</v>
      </c>
      <c r="AE145" s="635">
        <f>IF('Datu ievade'!$B$88="Jā",'Datu ievade'!AE101,0)</f>
        <v>0</v>
      </c>
      <c r="AF145" s="635">
        <f>IF('Datu ievade'!$B$88="Jā",'Datu ievade'!AF101,0)</f>
        <v>0</v>
      </c>
      <c r="AG145" s="635">
        <f>IF('Datu ievade'!$B$88="Jā",'Datu ievade'!AG101,0)</f>
        <v>0</v>
      </c>
    </row>
    <row r="146" spans="1:33" s="157" customFormat="1" ht="12.75">
      <c r="A146" s="556" t="s">
        <v>234</v>
      </c>
      <c r="B146" s="154">
        <f>'Datu ievade'!B121</f>
        <v>0</v>
      </c>
      <c r="C146" s="154">
        <f>'Datu ievade'!C121</f>
        <v>0</v>
      </c>
      <c r="D146" s="154">
        <f>'Datu ievade'!D121</f>
        <v>0</v>
      </c>
      <c r="E146" s="154">
        <f>'Datu ievade'!E121</f>
        <v>0</v>
      </c>
      <c r="F146" s="635">
        <f>'Datu ievade'!F121</f>
        <v>0</v>
      </c>
      <c r="G146" s="154">
        <f>'Datu ievade'!G121</f>
        <v>0</v>
      </c>
      <c r="H146" s="154">
        <f>'Datu ievade'!H121</f>
        <v>0</v>
      </c>
      <c r="I146" s="154">
        <f>'Datu ievade'!I121</f>
        <v>0</v>
      </c>
      <c r="J146" s="154">
        <f>'Datu ievade'!J121</f>
        <v>0</v>
      </c>
      <c r="K146" s="154">
        <f>'Datu ievade'!K121</f>
        <v>0</v>
      </c>
      <c r="L146" s="154">
        <f>'Datu ievade'!L121</f>
        <v>0</v>
      </c>
      <c r="M146" s="154">
        <f>'Datu ievade'!M121</f>
        <v>0</v>
      </c>
      <c r="N146" s="154">
        <f>'Datu ievade'!N121</f>
        <v>0</v>
      </c>
      <c r="O146" s="154">
        <f>'Datu ievade'!O121</f>
        <v>0</v>
      </c>
      <c r="P146" s="154">
        <f>'Datu ievade'!P121</f>
        <v>0</v>
      </c>
      <c r="Q146" s="154">
        <f>'Datu ievade'!Q121</f>
        <v>0</v>
      </c>
      <c r="R146" s="154">
        <f>'Datu ievade'!R121</f>
        <v>0</v>
      </c>
      <c r="S146" s="154">
        <f>'Datu ievade'!S121</f>
        <v>0</v>
      </c>
      <c r="T146" s="154">
        <f>'Datu ievade'!T121</f>
        <v>0</v>
      </c>
      <c r="U146" s="154">
        <f>'Datu ievade'!U121</f>
        <v>0</v>
      </c>
      <c r="V146" s="154">
        <f>'Datu ievade'!V121</f>
        <v>0</v>
      </c>
      <c r="W146" s="154">
        <f>'Datu ievade'!W121</f>
        <v>0</v>
      </c>
      <c r="X146" s="154">
        <f>'Datu ievade'!X121</f>
        <v>0</v>
      </c>
      <c r="Y146" s="154">
        <f>'Datu ievade'!Y121</f>
        <v>0</v>
      </c>
      <c r="Z146" s="154">
        <f>'Datu ievade'!Z121</f>
        <v>0</v>
      </c>
      <c r="AA146" s="154">
        <f>'Datu ievade'!AA121</f>
        <v>0</v>
      </c>
      <c r="AB146" s="154">
        <f>'Datu ievade'!AB121</f>
        <v>0</v>
      </c>
      <c r="AC146" s="154">
        <f>'Datu ievade'!AC121</f>
        <v>0</v>
      </c>
      <c r="AD146" s="154">
        <f>'Datu ievade'!AD121</f>
        <v>0</v>
      </c>
      <c r="AE146" s="154">
        <f>'Datu ievade'!AE121</f>
        <v>0</v>
      </c>
      <c r="AF146" s="154">
        <f>'Datu ievade'!AF121</f>
        <v>0</v>
      </c>
      <c r="AG146" s="154">
        <f>'Datu ievade'!AG121</f>
        <v>0</v>
      </c>
    </row>
    <row r="147" spans="1:33" s="157" customFormat="1" ht="12.75">
      <c r="A147" s="556" t="s">
        <v>235</v>
      </c>
      <c r="B147" s="154">
        <f>'Datu ievade'!B105+'Datu ievade'!B106</f>
        <v>0</v>
      </c>
      <c r="C147" s="154">
        <f>'Datu ievade'!C105+'Datu ievade'!C106</f>
        <v>0</v>
      </c>
      <c r="D147" s="154">
        <f>'Datu ievade'!D105+'Datu ievade'!D106</f>
        <v>0</v>
      </c>
      <c r="E147" s="154">
        <f>'Datu ievade'!E105+'Datu ievade'!E106</f>
        <v>0</v>
      </c>
      <c r="F147" s="635">
        <f>'Datu ievade'!F105+'Datu ievade'!F106</f>
        <v>0</v>
      </c>
      <c r="G147" s="154">
        <f>'Datu ievade'!G105+'Datu ievade'!G106</f>
        <v>0</v>
      </c>
      <c r="H147" s="154">
        <f>'Datu ievade'!H105+'Datu ievade'!H106</f>
        <v>0</v>
      </c>
      <c r="I147" s="154">
        <f>'Datu ievade'!I105+'Datu ievade'!I106</f>
        <v>0</v>
      </c>
      <c r="J147" s="154">
        <f>'Datu ievade'!J105+'Datu ievade'!J106</f>
        <v>0</v>
      </c>
      <c r="K147" s="154">
        <f>'Datu ievade'!K105+'Datu ievade'!K106</f>
        <v>0</v>
      </c>
      <c r="L147" s="154">
        <f>'Datu ievade'!L105+'Datu ievade'!L106</f>
        <v>0</v>
      </c>
      <c r="M147" s="154">
        <f>'Datu ievade'!M105+'Datu ievade'!M106</f>
        <v>0</v>
      </c>
      <c r="N147" s="154">
        <f>'Datu ievade'!N105+'Datu ievade'!N106</f>
        <v>0</v>
      </c>
      <c r="O147" s="154">
        <f>'Datu ievade'!O105+'Datu ievade'!O106</f>
        <v>0</v>
      </c>
      <c r="P147" s="154">
        <f>'Datu ievade'!P105+'Datu ievade'!P106</f>
        <v>0</v>
      </c>
      <c r="Q147" s="154">
        <f>'Datu ievade'!Q105+'Datu ievade'!Q106</f>
        <v>0</v>
      </c>
      <c r="R147" s="154">
        <f>'Datu ievade'!R105+'Datu ievade'!R106</f>
        <v>0</v>
      </c>
      <c r="S147" s="154">
        <f>'Datu ievade'!S105+'Datu ievade'!S106</f>
        <v>0</v>
      </c>
      <c r="T147" s="154">
        <f>'Datu ievade'!T105+'Datu ievade'!T106</f>
        <v>0</v>
      </c>
      <c r="U147" s="154">
        <f>'Datu ievade'!U105+'Datu ievade'!U106</f>
        <v>0</v>
      </c>
      <c r="V147" s="154">
        <f>'Datu ievade'!V105+'Datu ievade'!V106</f>
        <v>0</v>
      </c>
      <c r="W147" s="154">
        <f>'Datu ievade'!W105+'Datu ievade'!W106</f>
        <v>0</v>
      </c>
      <c r="X147" s="154">
        <f>'Datu ievade'!X105+'Datu ievade'!X106</f>
        <v>0</v>
      </c>
      <c r="Y147" s="154">
        <f>'Datu ievade'!Y105+'Datu ievade'!Y106</f>
        <v>0</v>
      </c>
      <c r="Z147" s="154">
        <f>'Datu ievade'!Z105+'Datu ievade'!Z106</f>
        <v>0</v>
      </c>
      <c r="AA147" s="154">
        <f>'Datu ievade'!AA105+'Datu ievade'!AA106</f>
        <v>0</v>
      </c>
      <c r="AB147" s="154">
        <f>'Datu ievade'!AB105+'Datu ievade'!AB106</f>
        <v>0</v>
      </c>
      <c r="AC147" s="154">
        <f>'Datu ievade'!AC105+'Datu ievade'!AC106</f>
        <v>0</v>
      </c>
      <c r="AD147" s="154">
        <f>'Datu ievade'!AD105+'Datu ievade'!AD106</f>
        <v>0</v>
      </c>
      <c r="AE147" s="154">
        <f>'Datu ievade'!AE105+'Datu ievade'!AE106</f>
        <v>0</v>
      </c>
      <c r="AF147" s="154">
        <f>'Datu ievade'!AF105+'Datu ievade'!AF106</f>
        <v>0</v>
      </c>
      <c r="AG147" s="154">
        <f>'Datu ievade'!AG105+'Datu ievade'!AG106</f>
        <v>0</v>
      </c>
    </row>
    <row r="148" spans="1:33" s="157" customFormat="1" ht="12.75">
      <c r="A148" s="556" t="s">
        <v>236</v>
      </c>
      <c r="B148" s="154">
        <f>'Datu ievade'!B123</f>
        <v>0</v>
      </c>
      <c r="C148" s="154">
        <f>'Datu ievade'!C123</f>
        <v>0</v>
      </c>
      <c r="D148" s="154">
        <f>'Datu ievade'!D123</f>
        <v>0</v>
      </c>
      <c r="E148" s="154">
        <f>'Datu ievade'!E123</f>
        <v>0</v>
      </c>
      <c r="F148" s="635">
        <f>'Datu ievade'!F123</f>
        <v>0</v>
      </c>
      <c r="G148" s="154">
        <f>'Datu ievade'!G123</f>
        <v>0</v>
      </c>
      <c r="H148" s="154">
        <f>'Datu ievade'!H123</f>
        <v>0</v>
      </c>
      <c r="I148" s="154">
        <f>'Datu ievade'!I123</f>
        <v>0</v>
      </c>
      <c r="J148" s="154">
        <f>'Datu ievade'!J123</f>
        <v>0</v>
      </c>
      <c r="K148" s="154">
        <f>'Datu ievade'!K123</f>
        <v>0</v>
      </c>
      <c r="L148" s="154">
        <f>'Datu ievade'!L123</f>
        <v>0</v>
      </c>
      <c r="M148" s="154">
        <f>'Datu ievade'!M123</f>
        <v>0</v>
      </c>
      <c r="N148" s="154">
        <f>'Datu ievade'!N123</f>
        <v>0</v>
      </c>
      <c r="O148" s="154">
        <f>'Datu ievade'!O123</f>
        <v>0</v>
      </c>
      <c r="P148" s="154">
        <f>'Datu ievade'!P123</f>
        <v>0</v>
      </c>
      <c r="Q148" s="154">
        <f>'Datu ievade'!Q123</f>
        <v>0</v>
      </c>
      <c r="R148" s="154">
        <f>'Datu ievade'!R123</f>
        <v>0</v>
      </c>
      <c r="S148" s="154">
        <f>'Datu ievade'!S123</f>
        <v>0</v>
      </c>
      <c r="T148" s="154">
        <f>'Datu ievade'!T123</f>
        <v>0</v>
      </c>
      <c r="U148" s="154">
        <f>'Datu ievade'!U123</f>
        <v>0</v>
      </c>
      <c r="V148" s="154">
        <f>'Datu ievade'!V123</f>
        <v>0</v>
      </c>
      <c r="W148" s="154">
        <f>'Datu ievade'!W123</f>
        <v>0</v>
      </c>
      <c r="X148" s="154">
        <f>'Datu ievade'!X123</f>
        <v>0</v>
      </c>
      <c r="Y148" s="154">
        <f>'Datu ievade'!Y123</f>
        <v>0</v>
      </c>
      <c r="Z148" s="154">
        <f>'Datu ievade'!Z123</f>
        <v>0</v>
      </c>
      <c r="AA148" s="154">
        <f>'Datu ievade'!AA123</f>
        <v>0</v>
      </c>
      <c r="AB148" s="154">
        <f>'Datu ievade'!AB123</f>
        <v>0</v>
      </c>
      <c r="AC148" s="154">
        <f>'Datu ievade'!AC123</f>
        <v>0</v>
      </c>
      <c r="AD148" s="154">
        <f>'Datu ievade'!AD123</f>
        <v>0</v>
      </c>
      <c r="AE148" s="154">
        <f>'Datu ievade'!AE123</f>
        <v>0</v>
      </c>
      <c r="AF148" s="154">
        <f>'Datu ievade'!AF123</f>
        <v>0</v>
      </c>
      <c r="AG148" s="154">
        <f>'Datu ievade'!AG123</f>
        <v>0</v>
      </c>
    </row>
    <row r="149" spans="1:33" s="157" customFormat="1" ht="12.75">
      <c r="A149" s="556" t="s">
        <v>237</v>
      </c>
      <c r="B149" s="154">
        <f>'Datu ievade'!B108+'Datu ievade'!B109</f>
        <v>0</v>
      </c>
      <c r="C149" s="154">
        <f>'Datu ievade'!C108+'Datu ievade'!C109</f>
        <v>0</v>
      </c>
      <c r="D149" s="154">
        <f>'Datu ievade'!D108+'Datu ievade'!D109</f>
        <v>0</v>
      </c>
      <c r="E149" s="154">
        <f>'Datu ievade'!E108+'Datu ievade'!E109</f>
        <v>0</v>
      </c>
      <c r="F149" s="635">
        <f>'Datu ievade'!F108+'Datu ievade'!F109</f>
        <v>0</v>
      </c>
      <c r="G149" s="154">
        <f>'Datu ievade'!G108+'Datu ievade'!G109</f>
        <v>0</v>
      </c>
      <c r="H149" s="154">
        <f>'Datu ievade'!H108+'Datu ievade'!H109</f>
        <v>0</v>
      </c>
      <c r="I149" s="154">
        <f>'Datu ievade'!I108+'Datu ievade'!I109</f>
        <v>0</v>
      </c>
      <c r="J149" s="154">
        <f>'Datu ievade'!J108+'Datu ievade'!J109</f>
        <v>0</v>
      </c>
      <c r="K149" s="154">
        <f>'Datu ievade'!K108+'Datu ievade'!K109</f>
        <v>0</v>
      </c>
      <c r="L149" s="154">
        <f>'Datu ievade'!L108+'Datu ievade'!L109</f>
        <v>0</v>
      </c>
      <c r="M149" s="154">
        <f>'Datu ievade'!M108+'Datu ievade'!M109</f>
        <v>0</v>
      </c>
      <c r="N149" s="154">
        <f>'Datu ievade'!N108+'Datu ievade'!N109</f>
        <v>0</v>
      </c>
      <c r="O149" s="154">
        <f>'Datu ievade'!O108+'Datu ievade'!O109</f>
        <v>0</v>
      </c>
      <c r="P149" s="154">
        <f>'Datu ievade'!P108+'Datu ievade'!P109</f>
        <v>0</v>
      </c>
      <c r="Q149" s="154">
        <f>'Datu ievade'!Q108+'Datu ievade'!Q109</f>
        <v>0</v>
      </c>
      <c r="R149" s="154">
        <f>'Datu ievade'!R108+'Datu ievade'!R109</f>
        <v>0</v>
      </c>
      <c r="S149" s="154">
        <f>'Datu ievade'!S108+'Datu ievade'!S109</f>
        <v>0</v>
      </c>
      <c r="T149" s="154">
        <f>'Datu ievade'!T108+'Datu ievade'!T109</f>
        <v>0</v>
      </c>
      <c r="U149" s="154">
        <f>'Datu ievade'!U108+'Datu ievade'!U109</f>
        <v>0</v>
      </c>
      <c r="V149" s="154">
        <f>'Datu ievade'!V108+'Datu ievade'!V109</f>
        <v>0</v>
      </c>
      <c r="W149" s="154">
        <f>'Datu ievade'!W108+'Datu ievade'!W109</f>
        <v>0</v>
      </c>
      <c r="X149" s="154">
        <f>'Datu ievade'!X108+'Datu ievade'!X109</f>
        <v>0</v>
      </c>
      <c r="Y149" s="154">
        <f>'Datu ievade'!Y108+'Datu ievade'!Y109</f>
        <v>0</v>
      </c>
      <c r="Z149" s="154">
        <f>'Datu ievade'!Z108+'Datu ievade'!Z109</f>
        <v>0</v>
      </c>
      <c r="AA149" s="154">
        <f>'Datu ievade'!AA108+'Datu ievade'!AA109</f>
        <v>0</v>
      </c>
      <c r="AB149" s="154">
        <f>'Datu ievade'!AB108+'Datu ievade'!AB109</f>
        <v>0</v>
      </c>
      <c r="AC149" s="154">
        <f>'Datu ievade'!AC108+'Datu ievade'!AC109</f>
        <v>0</v>
      </c>
      <c r="AD149" s="154">
        <f>'Datu ievade'!AD108+'Datu ievade'!AD109</f>
        <v>0</v>
      </c>
      <c r="AE149" s="154">
        <f>'Datu ievade'!AE108+'Datu ievade'!AE109</f>
        <v>0</v>
      </c>
      <c r="AF149" s="154">
        <f>'Datu ievade'!AF108+'Datu ievade'!AF109</f>
        <v>0</v>
      </c>
      <c r="AG149" s="154">
        <f>'Datu ievade'!AG108+'Datu ievade'!AG109</f>
        <v>0</v>
      </c>
    </row>
    <row r="150" spans="1:33" s="157" customFormat="1" ht="12.75">
      <c r="A150" s="567" t="s">
        <v>238</v>
      </c>
      <c r="B150" s="118">
        <f aca="true" t="shared" si="65" ref="B150:AG150">SUM(B144:B149)</f>
        <v>0</v>
      </c>
      <c r="C150" s="118">
        <f t="shared" si="65"/>
        <v>78045.15657688066</v>
      </c>
      <c r="D150" s="118">
        <f t="shared" si="65"/>
        <v>341415.1434231193</v>
      </c>
      <c r="E150" s="118">
        <f t="shared" si="65"/>
        <v>0</v>
      </c>
      <c r="F150" s="636">
        <f t="shared" si="65"/>
        <v>0</v>
      </c>
      <c r="G150" s="118">
        <f t="shared" si="65"/>
        <v>0</v>
      </c>
      <c r="H150" s="118">
        <f t="shared" si="65"/>
        <v>0</v>
      </c>
      <c r="I150" s="118">
        <f t="shared" si="65"/>
        <v>0</v>
      </c>
      <c r="J150" s="118">
        <f t="shared" si="65"/>
        <v>0</v>
      </c>
      <c r="K150" s="118">
        <f t="shared" si="65"/>
        <v>0</v>
      </c>
      <c r="L150" s="118">
        <f t="shared" si="65"/>
        <v>0</v>
      </c>
      <c r="M150" s="118">
        <f t="shared" si="65"/>
        <v>0</v>
      </c>
      <c r="N150" s="118">
        <f t="shared" si="65"/>
        <v>0</v>
      </c>
      <c r="O150" s="118">
        <f t="shared" si="65"/>
        <v>0</v>
      </c>
      <c r="P150" s="118">
        <f t="shared" si="65"/>
        <v>0</v>
      </c>
      <c r="Q150" s="118">
        <f t="shared" si="65"/>
        <v>0</v>
      </c>
      <c r="R150" s="118">
        <f t="shared" si="65"/>
        <v>0</v>
      </c>
      <c r="S150" s="118">
        <f t="shared" si="65"/>
        <v>0</v>
      </c>
      <c r="T150" s="118">
        <f t="shared" si="65"/>
        <v>0</v>
      </c>
      <c r="U150" s="118">
        <f t="shared" si="65"/>
        <v>0</v>
      </c>
      <c r="V150" s="118">
        <f t="shared" si="65"/>
        <v>0</v>
      </c>
      <c r="W150" s="118">
        <f t="shared" si="65"/>
        <v>0</v>
      </c>
      <c r="X150" s="118">
        <f t="shared" si="65"/>
        <v>0</v>
      </c>
      <c r="Y150" s="118">
        <f t="shared" si="65"/>
        <v>0</v>
      </c>
      <c r="Z150" s="118">
        <f t="shared" si="65"/>
        <v>0</v>
      </c>
      <c r="AA150" s="118">
        <f t="shared" si="65"/>
        <v>0</v>
      </c>
      <c r="AB150" s="118">
        <f t="shared" si="65"/>
        <v>0</v>
      </c>
      <c r="AC150" s="118">
        <f t="shared" si="65"/>
        <v>0</v>
      </c>
      <c r="AD150" s="118">
        <f t="shared" si="65"/>
        <v>0</v>
      </c>
      <c r="AE150" s="118">
        <f t="shared" si="65"/>
        <v>0</v>
      </c>
      <c r="AF150" s="118">
        <f t="shared" si="65"/>
        <v>0</v>
      </c>
      <c r="AG150" s="118">
        <f t="shared" si="65"/>
        <v>0</v>
      </c>
    </row>
    <row r="151" spans="1:33" s="157" customFormat="1" ht="25.5">
      <c r="A151" s="567" t="s">
        <v>239</v>
      </c>
      <c r="B151" s="118">
        <f>B144+B146+B148+B149</f>
        <v>0</v>
      </c>
      <c r="C151" s="118">
        <f aca="true" t="shared" si="66" ref="C151:AG151">C144+C146+C148+C149</f>
        <v>0</v>
      </c>
      <c r="D151" s="118">
        <f t="shared" si="66"/>
        <v>0</v>
      </c>
      <c r="E151" s="118">
        <f t="shared" si="66"/>
        <v>0</v>
      </c>
      <c r="F151" s="636">
        <f t="shared" si="66"/>
        <v>0</v>
      </c>
      <c r="G151" s="118">
        <f t="shared" si="66"/>
        <v>0</v>
      </c>
      <c r="H151" s="118">
        <f t="shared" si="66"/>
        <v>0</v>
      </c>
      <c r="I151" s="118">
        <f t="shared" si="66"/>
        <v>0</v>
      </c>
      <c r="J151" s="118">
        <f t="shared" si="66"/>
        <v>0</v>
      </c>
      <c r="K151" s="118">
        <f t="shared" si="66"/>
        <v>0</v>
      </c>
      <c r="L151" s="118">
        <f t="shared" si="66"/>
        <v>0</v>
      </c>
      <c r="M151" s="118">
        <f t="shared" si="66"/>
        <v>0</v>
      </c>
      <c r="N151" s="118">
        <f t="shared" si="66"/>
        <v>0</v>
      </c>
      <c r="O151" s="118">
        <f t="shared" si="66"/>
        <v>0</v>
      </c>
      <c r="P151" s="118">
        <f t="shared" si="66"/>
        <v>0</v>
      </c>
      <c r="Q151" s="118">
        <f t="shared" si="66"/>
        <v>0</v>
      </c>
      <c r="R151" s="118">
        <f t="shared" si="66"/>
        <v>0</v>
      </c>
      <c r="S151" s="118">
        <f t="shared" si="66"/>
        <v>0</v>
      </c>
      <c r="T151" s="118">
        <f t="shared" si="66"/>
        <v>0</v>
      </c>
      <c r="U151" s="118">
        <f t="shared" si="66"/>
        <v>0</v>
      </c>
      <c r="V151" s="118">
        <f t="shared" si="66"/>
        <v>0</v>
      </c>
      <c r="W151" s="118">
        <f t="shared" si="66"/>
        <v>0</v>
      </c>
      <c r="X151" s="118">
        <f t="shared" si="66"/>
        <v>0</v>
      </c>
      <c r="Y151" s="118">
        <f t="shared" si="66"/>
        <v>0</v>
      </c>
      <c r="Z151" s="118">
        <f t="shared" si="66"/>
        <v>0</v>
      </c>
      <c r="AA151" s="118">
        <f t="shared" si="66"/>
        <v>0</v>
      </c>
      <c r="AB151" s="118">
        <f t="shared" si="66"/>
        <v>0</v>
      </c>
      <c r="AC151" s="118">
        <f t="shared" si="66"/>
        <v>0</v>
      </c>
      <c r="AD151" s="118">
        <f t="shared" si="66"/>
        <v>0</v>
      </c>
      <c r="AE151" s="118">
        <f t="shared" si="66"/>
        <v>0</v>
      </c>
      <c r="AF151" s="118">
        <f t="shared" si="66"/>
        <v>0</v>
      </c>
      <c r="AG151" s="118">
        <f t="shared" si="66"/>
        <v>0</v>
      </c>
    </row>
    <row r="152" spans="1:33" s="157" customFormat="1" ht="12.75">
      <c r="A152" s="556" t="s">
        <v>240</v>
      </c>
      <c r="B152" s="154">
        <f>'Datu ievade'!B124</f>
        <v>0</v>
      </c>
      <c r="C152" s="154">
        <f>'Datu ievade'!C124</f>
        <v>55574.84342311934</v>
      </c>
      <c r="D152" s="154">
        <f>'Datu ievade'!D124</f>
        <v>243116.85657688064</v>
      </c>
      <c r="E152" s="154">
        <f>'Datu ievade'!E124</f>
        <v>0</v>
      </c>
      <c r="F152" s="635">
        <f>'Datu ievade'!F124</f>
        <v>0</v>
      </c>
      <c r="G152" s="154">
        <f>'Datu ievade'!G124</f>
        <v>0</v>
      </c>
      <c r="H152" s="154">
        <f>'Datu ievade'!H124</f>
        <v>0</v>
      </c>
      <c r="I152" s="154">
        <f>'Datu ievade'!I124</f>
        <v>0</v>
      </c>
      <c r="J152" s="154">
        <f>'Datu ievade'!J124</f>
        <v>0</v>
      </c>
      <c r="K152" s="154">
        <f>'Datu ievade'!K124</f>
        <v>0</v>
      </c>
      <c r="L152" s="154">
        <f>'Datu ievade'!L124</f>
        <v>0</v>
      </c>
      <c r="M152" s="154">
        <f>'Datu ievade'!M124</f>
        <v>0</v>
      </c>
      <c r="N152" s="154">
        <f>'Datu ievade'!N124</f>
        <v>0</v>
      </c>
      <c r="O152" s="154">
        <f>'Datu ievade'!O124</f>
        <v>0</v>
      </c>
      <c r="P152" s="154">
        <f>'Datu ievade'!P124</f>
        <v>0</v>
      </c>
      <c r="Q152" s="154">
        <f>'Datu ievade'!Q124</f>
        <v>0</v>
      </c>
      <c r="R152" s="154">
        <f>'Datu ievade'!R124</f>
        <v>0</v>
      </c>
      <c r="S152" s="154">
        <f>'Datu ievade'!S124</f>
        <v>0</v>
      </c>
      <c r="T152" s="154">
        <f>'Datu ievade'!T124</f>
        <v>0</v>
      </c>
      <c r="U152" s="154">
        <f>'Datu ievade'!U124</f>
        <v>0</v>
      </c>
      <c r="V152" s="154">
        <f>'Datu ievade'!V124</f>
        <v>0</v>
      </c>
      <c r="W152" s="154">
        <f>'Datu ievade'!W124</f>
        <v>0</v>
      </c>
      <c r="X152" s="154">
        <f>'Datu ievade'!X124</f>
        <v>0</v>
      </c>
      <c r="Y152" s="154">
        <f>'Datu ievade'!Y124</f>
        <v>0</v>
      </c>
      <c r="Z152" s="154">
        <f>'Datu ievade'!Z124</f>
        <v>0</v>
      </c>
      <c r="AA152" s="154">
        <f>'Datu ievade'!AA124</f>
        <v>0</v>
      </c>
      <c r="AB152" s="154">
        <f>'Datu ievade'!AB124</f>
        <v>0</v>
      </c>
      <c r="AC152" s="154">
        <f>'Datu ievade'!AC124</f>
        <v>0</v>
      </c>
      <c r="AD152" s="154">
        <f>'Datu ievade'!AD124</f>
        <v>0</v>
      </c>
      <c r="AE152" s="154">
        <f>'Datu ievade'!AE124</f>
        <v>0</v>
      </c>
      <c r="AF152" s="154">
        <f>'Datu ievade'!AF124</f>
        <v>0</v>
      </c>
      <c r="AG152" s="154">
        <f>'Datu ievade'!AG124</f>
        <v>0</v>
      </c>
    </row>
    <row r="153" spans="1:33" s="157" customFormat="1" ht="12.75">
      <c r="A153" s="567" t="s">
        <v>241</v>
      </c>
      <c r="B153" s="118">
        <f aca="true" t="shared" si="67" ref="B153:AG153">B150+B152</f>
        <v>0</v>
      </c>
      <c r="C153" s="636">
        <f>C150+C152</f>
        <v>133620</v>
      </c>
      <c r="D153" s="636">
        <f>D150+D152</f>
        <v>584532</v>
      </c>
      <c r="E153" s="118">
        <f t="shared" si="67"/>
        <v>0</v>
      </c>
      <c r="F153" s="636">
        <f t="shared" si="67"/>
        <v>0</v>
      </c>
      <c r="G153" s="118">
        <f t="shared" si="67"/>
        <v>0</v>
      </c>
      <c r="H153" s="118">
        <f t="shared" si="67"/>
        <v>0</v>
      </c>
      <c r="I153" s="118">
        <f t="shared" si="67"/>
        <v>0</v>
      </c>
      <c r="J153" s="118">
        <f t="shared" si="67"/>
        <v>0</v>
      </c>
      <c r="K153" s="118">
        <f t="shared" si="67"/>
        <v>0</v>
      </c>
      <c r="L153" s="118">
        <f t="shared" si="67"/>
        <v>0</v>
      </c>
      <c r="M153" s="118">
        <f t="shared" si="67"/>
        <v>0</v>
      </c>
      <c r="N153" s="118">
        <f t="shared" si="67"/>
        <v>0</v>
      </c>
      <c r="O153" s="118">
        <f t="shared" si="67"/>
        <v>0</v>
      </c>
      <c r="P153" s="118">
        <f t="shared" si="67"/>
        <v>0</v>
      </c>
      <c r="Q153" s="118">
        <f t="shared" si="67"/>
        <v>0</v>
      </c>
      <c r="R153" s="118">
        <f t="shared" si="67"/>
        <v>0</v>
      </c>
      <c r="S153" s="118">
        <f t="shared" si="67"/>
        <v>0</v>
      </c>
      <c r="T153" s="118">
        <f t="shared" si="67"/>
        <v>0</v>
      </c>
      <c r="U153" s="118">
        <f t="shared" si="67"/>
        <v>0</v>
      </c>
      <c r="V153" s="118">
        <f t="shared" si="67"/>
        <v>0</v>
      </c>
      <c r="W153" s="118">
        <f t="shared" si="67"/>
        <v>0</v>
      </c>
      <c r="X153" s="118">
        <f t="shared" si="67"/>
        <v>0</v>
      </c>
      <c r="Y153" s="118">
        <f t="shared" si="67"/>
        <v>0</v>
      </c>
      <c r="Z153" s="118">
        <f t="shared" si="67"/>
        <v>0</v>
      </c>
      <c r="AA153" s="118">
        <f t="shared" si="67"/>
        <v>0</v>
      </c>
      <c r="AB153" s="118">
        <f t="shared" si="67"/>
        <v>0</v>
      </c>
      <c r="AC153" s="118">
        <f t="shared" si="67"/>
        <v>0</v>
      </c>
      <c r="AD153" s="118">
        <f t="shared" si="67"/>
        <v>0</v>
      </c>
      <c r="AE153" s="118">
        <f t="shared" si="67"/>
        <v>0</v>
      </c>
      <c r="AF153" s="118">
        <f t="shared" si="67"/>
        <v>0</v>
      </c>
      <c r="AG153" s="118">
        <f t="shared" si="67"/>
        <v>0</v>
      </c>
    </row>
    <row r="154" spans="1:6" s="209" customFormat="1" ht="12.75">
      <c r="A154" s="311"/>
      <c r="F154" s="633"/>
    </row>
    <row r="155" spans="1:6" s="209" customFormat="1" ht="12.75" outlineLevel="1">
      <c r="A155" s="311" t="s">
        <v>242</v>
      </c>
      <c r="B155" s="343">
        <f>IF('Datu ievade'!$B$349='Datu ievade'!$B$351,1,SUM(B152:F152)/SUM(B153:F153))</f>
        <v>0.41591710390000997</v>
      </c>
      <c r="D155" s="344"/>
      <c r="F155" s="633"/>
    </row>
    <row r="156" spans="1:6" s="209" customFormat="1" ht="12.75" outlineLevel="1">
      <c r="A156" s="311" t="s">
        <v>243</v>
      </c>
      <c r="B156" s="343">
        <f>IF('Datu ievade'!$B$349='Datu ievade'!$B$351,1,SUM(B148:F148)/SUM(B153:F153))</f>
        <v>0</v>
      </c>
      <c r="F156" s="633"/>
    </row>
    <row r="157" spans="1:6" s="209" customFormat="1" ht="12.75" outlineLevel="1">
      <c r="A157" s="311" t="s">
        <v>244</v>
      </c>
      <c r="B157" s="345">
        <f>B156+B155</f>
        <v>0.41591710390000997</v>
      </c>
      <c r="F157" s="633"/>
    </row>
    <row r="158" spans="1:6" s="209" customFormat="1" ht="12.75">
      <c r="A158" s="311"/>
      <c r="F158" s="633"/>
    </row>
    <row r="159" spans="1:6" s="209" customFormat="1" ht="12.75">
      <c r="A159" s="311"/>
      <c r="F159" s="633"/>
    </row>
    <row r="160" spans="1:254" s="209" customFormat="1" ht="31.5">
      <c r="A160" s="447" t="s">
        <v>392</v>
      </c>
      <c r="B160" s="316"/>
      <c r="C160" s="316"/>
      <c r="D160" s="316"/>
      <c r="E160" s="316"/>
      <c r="F160" s="612"/>
      <c r="G160" s="316"/>
      <c r="H160" s="316"/>
      <c r="I160" s="316"/>
      <c r="J160" s="316"/>
      <c r="K160" s="316"/>
      <c r="L160" s="316"/>
      <c r="M160" s="316"/>
      <c r="N160" s="316"/>
      <c r="O160" s="316"/>
      <c r="P160" s="317"/>
      <c r="Q160" s="317"/>
      <c r="R160" s="317"/>
      <c r="S160" s="317"/>
      <c r="T160" s="317"/>
      <c r="U160" s="317"/>
      <c r="V160" s="317"/>
      <c r="W160" s="317"/>
      <c r="X160" s="317"/>
      <c r="Y160" s="317"/>
      <c r="Z160" s="317"/>
      <c r="AA160" s="317"/>
      <c r="AB160" s="317"/>
      <c r="AC160" s="317"/>
      <c r="AD160" s="317"/>
      <c r="AE160" s="317"/>
      <c r="AF160" s="317"/>
      <c r="AG160" s="317"/>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8"/>
      <c r="BZ160" s="208"/>
      <c r="CA160" s="208"/>
      <c r="CB160" s="208"/>
      <c r="CC160" s="208"/>
      <c r="CD160" s="208"/>
      <c r="CE160" s="208"/>
      <c r="CF160" s="208"/>
      <c r="CG160" s="208"/>
      <c r="CH160" s="208"/>
      <c r="CI160" s="208"/>
      <c r="CJ160" s="208"/>
      <c r="CK160" s="208"/>
      <c r="CL160" s="208"/>
      <c r="CM160" s="208"/>
      <c r="CN160" s="208"/>
      <c r="CO160" s="208"/>
      <c r="CP160" s="208"/>
      <c r="CQ160" s="208"/>
      <c r="CR160" s="208"/>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c r="IS160" s="208"/>
      <c r="IT160" s="208"/>
    </row>
    <row r="161" spans="1:33" s="209" customFormat="1" ht="12.75">
      <c r="A161" s="332"/>
      <c r="B161" s="308"/>
      <c r="C161" s="308"/>
      <c r="D161" s="308"/>
      <c r="E161" s="308"/>
      <c r="F161" s="633"/>
      <c r="G161" s="308" t="s">
        <v>25</v>
      </c>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row>
    <row r="162" spans="1:33" s="209" customFormat="1" ht="12.75">
      <c r="A162" s="332"/>
      <c r="B162" s="327">
        <f>Aprekini!B5</f>
        <v>2011</v>
      </c>
      <c r="C162" s="327">
        <f aca="true" t="shared" si="68" ref="C162:AG162">B162+1</f>
        <v>2012</v>
      </c>
      <c r="D162" s="327">
        <f t="shared" si="68"/>
        <v>2013</v>
      </c>
      <c r="E162" s="327">
        <f t="shared" si="68"/>
        <v>2014</v>
      </c>
      <c r="F162" s="637">
        <f t="shared" si="68"/>
        <v>2015</v>
      </c>
      <c r="G162" s="327">
        <f t="shared" si="68"/>
        <v>2016</v>
      </c>
      <c r="H162" s="327">
        <f t="shared" si="68"/>
        <v>2017</v>
      </c>
      <c r="I162" s="327">
        <f t="shared" si="68"/>
        <v>2018</v>
      </c>
      <c r="J162" s="327">
        <f t="shared" si="68"/>
        <v>2019</v>
      </c>
      <c r="K162" s="327">
        <f t="shared" si="68"/>
        <v>2020</v>
      </c>
      <c r="L162" s="327">
        <f t="shared" si="68"/>
        <v>2021</v>
      </c>
      <c r="M162" s="327">
        <f t="shared" si="68"/>
        <v>2022</v>
      </c>
      <c r="N162" s="327">
        <f t="shared" si="68"/>
        <v>2023</v>
      </c>
      <c r="O162" s="327">
        <f t="shared" si="68"/>
        <v>2024</v>
      </c>
      <c r="P162" s="327">
        <f t="shared" si="68"/>
        <v>2025</v>
      </c>
      <c r="Q162" s="327">
        <f t="shared" si="68"/>
        <v>2026</v>
      </c>
      <c r="R162" s="327">
        <f t="shared" si="68"/>
        <v>2027</v>
      </c>
      <c r="S162" s="327">
        <f t="shared" si="68"/>
        <v>2028</v>
      </c>
      <c r="T162" s="327">
        <f t="shared" si="68"/>
        <v>2029</v>
      </c>
      <c r="U162" s="322">
        <f t="shared" si="68"/>
        <v>2030</v>
      </c>
      <c r="V162" s="322">
        <f t="shared" si="68"/>
        <v>2031</v>
      </c>
      <c r="W162" s="322">
        <f t="shared" si="68"/>
        <v>2032</v>
      </c>
      <c r="X162" s="322">
        <f t="shared" si="68"/>
        <v>2033</v>
      </c>
      <c r="Y162" s="322">
        <f t="shared" si="68"/>
        <v>2034</v>
      </c>
      <c r="Z162" s="322">
        <f t="shared" si="68"/>
        <v>2035</v>
      </c>
      <c r="AA162" s="322">
        <f t="shared" si="68"/>
        <v>2036</v>
      </c>
      <c r="AB162" s="322">
        <f t="shared" si="68"/>
        <v>2037</v>
      </c>
      <c r="AC162" s="322">
        <f t="shared" si="68"/>
        <v>2038</v>
      </c>
      <c r="AD162" s="322">
        <f t="shared" si="68"/>
        <v>2039</v>
      </c>
      <c r="AE162" s="322">
        <f t="shared" si="68"/>
        <v>2040</v>
      </c>
      <c r="AF162" s="322">
        <f t="shared" si="68"/>
        <v>2041</v>
      </c>
      <c r="AG162" s="322">
        <f t="shared" si="68"/>
        <v>2042</v>
      </c>
    </row>
    <row r="163" spans="1:33" s="209" customFormat="1" ht="12.75">
      <c r="A163" s="346" t="s">
        <v>123</v>
      </c>
      <c r="B163" s="336">
        <f>Aprekini!B153</f>
        <v>0</v>
      </c>
      <c r="C163" s="336">
        <f>Aprekini!C153</f>
        <v>133620</v>
      </c>
      <c r="D163" s="336">
        <f>Aprekini!D153</f>
        <v>584532</v>
      </c>
      <c r="E163" s="336">
        <f>Aprekini!E153</f>
        <v>0</v>
      </c>
      <c r="F163" s="640">
        <f>Aprekini!F153</f>
        <v>0</v>
      </c>
      <c r="G163" s="336">
        <f>Aprekini!G153</f>
        <v>0</v>
      </c>
      <c r="H163" s="336">
        <f>Aprekini!H153</f>
        <v>0</v>
      </c>
      <c r="I163" s="336">
        <f>Aprekini!I153</f>
        <v>0</v>
      </c>
      <c r="J163" s="336">
        <f>Aprekini!J153</f>
        <v>0</v>
      </c>
      <c r="K163" s="336">
        <f>Aprekini!K153</f>
        <v>0</v>
      </c>
      <c r="L163" s="336">
        <f>Aprekini!L153</f>
        <v>0</v>
      </c>
      <c r="M163" s="336">
        <f>Aprekini!M153</f>
        <v>0</v>
      </c>
      <c r="N163" s="336">
        <f>Aprekini!N153</f>
        <v>0</v>
      </c>
      <c r="O163" s="336">
        <f>Aprekini!O153</f>
        <v>0</v>
      </c>
      <c r="P163" s="336">
        <f>Aprekini!P153</f>
        <v>0</v>
      </c>
      <c r="Q163" s="336">
        <f>Aprekini!Q153</f>
        <v>0</v>
      </c>
      <c r="R163" s="336">
        <f>Aprekini!R153</f>
        <v>0</v>
      </c>
      <c r="S163" s="336">
        <f>Aprekini!S153</f>
        <v>0</v>
      </c>
      <c r="T163" s="336">
        <f>Aprekini!T153</f>
        <v>0</v>
      </c>
      <c r="U163" s="336">
        <f>Aprekini!U153</f>
        <v>0</v>
      </c>
      <c r="V163" s="336">
        <f>Aprekini!V153</f>
        <v>0</v>
      </c>
      <c r="W163" s="336">
        <f>Aprekini!W153</f>
        <v>0</v>
      </c>
      <c r="X163" s="336">
        <f>Aprekini!X153</f>
        <v>0</v>
      </c>
      <c r="Y163" s="336">
        <f>Aprekini!Y153</f>
        <v>0</v>
      </c>
      <c r="Z163" s="336">
        <f>Aprekini!Z153</f>
        <v>0</v>
      </c>
      <c r="AA163" s="336">
        <f>Aprekini!AA153</f>
        <v>0</v>
      </c>
      <c r="AB163" s="336">
        <f>Aprekini!AB153</f>
        <v>0</v>
      </c>
      <c r="AC163" s="336">
        <f>Aprekini!AC153</f>
        <v>0</v>
      </c>
      <c r="AD163" s="336">
        <f>Aprekini!AD153</f>
        <v>0</v>
      </c>
      <c r="AE163" s="336">
        <f>Aprekini!AE153</f>
        <v>0</v>
      </c>
      <c r="AF163" s="336">
        <f>Aprekini!AF153</f>
        <v>0</v>
      </c>
      <c r="AG163" s="336">
        <f>Aprekini!AG153</f>
        <v>0</v>
      </c>
    </row>
    <row r="164" spans="1:33" s="209" customFormat="1" ht="12.75">
      <c r="A164" s="206" t="s">
        <v>180</v>
      </c>
      <c r="B164" s="207">
        <f>'Saimnieciskas pamatdarbibas NP'!B74</f>
        <v>29209.199999999997</v>
      </c>
      <c r="C164" s="207">
        <f>'Saimnieciskas pamatdarbibas NP'!C74</f>
        <v>29209.199999999997</v>
      </c>
      <c r="D164" s="207">
        <f>'Saimnieciskas pamatdarbibas NP'!D74</f>
        <v>33149.052500000005</v>
      </c>
      <c r="E164" s="207">
        <f>'Saimnieciskas pamatdarbibas NP'!E74</f>
        <v>47669.78999999999</v>
      </c>
      <c r="F164" s="207">
        <f>'Saimnieciskas pamatdarbibas NP'!F74</f>
        <v>48179.7325</v>
      </c>
      <c r="G164" s="207">
        <f>'Saimnieciskas pamatdarbibas NP'!G74</f>
        <v>48528.69499999999</v>
      </c>
      <c r="H164" s="207">
        <f>'Saimnieciskas pamatdarbibas NP'!H74</f>
        <v>49065.55</v>
      </c>
      <c r="I164" s="207">
        <f>'Saimnieciskas pamatdarbibas NP'!I74</f>
        <v>49843.942500000005</v>
      </c>
      <c r="J164" s="207">
        <f>'Saimnieciskas pamatdarbibas NP'!J74</f>
        <v>50300.19499999999</v>
      </c>
      <c r="K164" s="207">
        <f>'Saimnieciskas pamatdarbibas NP'!K74</f>
        <v>50837.049999999996</v>
      </c>
      <c r="L164" s="207">
        <f>'Saimnieciskas pamatdarbibas NP'!L74</f>
        <v>51642.219999999994</v>
      </c>
      <c r="M164" s="207">
        <f>'Saimnieciskas pamatdarbibas NP'!M74</f>
        <v>52340.100000000006</v>
      </c>
      <c r="N164" s="207">
        <f>'Saimnieciskas pamatdarbibas NP'!N74</f>
        <v>53118.49249999999</v>
      </c>
      <c r="O164" s="207">
        <f>'Saimnieciskas pamatdarbibas NP'!O74</f>
        <v>53333.20749999999</v>
      </c>
      <c r="P164" s="207">
        <f>'Saimnieciskas pamatdarbibas NP'!P74</f>
        <v>53950.575</v>
      </c>
      <c r="Q164" s="207">
        <f>'Saimnieciskas pamatdarbibas NP'!Q74</f>
        <v>54728.96749999999</v>
      </c>
      <c r="R164" s="207">
        <f>'Saimnieciskas pamatdarbibas NP'!R74</f>
        <v>55561.04999999999</v>
      </c>
      <c r="S164" s="207">
        <f>'Saimnieciskas pamatdarbibas NP'!S74</f>
        <v>56822.5175</v>
      </c>
      <c r="T164" s="207">
        <f>'Saimnieciskas pamatdarbibas NP'!T74</f>
        <v>57815.67</v>
      </c>
      <c r="U164" s="207">
        <f>'Saimnieciskas pamatdarbibas NP'!U74</f>
        <v>58137.765</v>
      </c>
      <c r="V164" s="207">
        <f>'Saimnieciskas pamatdarbibas NP'!V74</f>
        <v>58862.5125</v>
      </c>
      <c r="W164" s="207">
        <f>'Saimnieciskas pamatdarbibas NP'!W74</f>
        <v>59238.2975</v>
      </c>
      <c r="X164" s="207">
        <f>'Saimnieciskas pamatdarbibas NP'!X74</f>
        <v>59614.082500000004</v>
      </c>
      <c r="Y164" s="207">
        <f>'Saimnieciskas pamatdarbibas NP'!Y74</f>
        <v>60070.380000000005</v>
      </c>
      <c r="Z164" s="207">
        <f>'Saimnieciskas pamatdarbibas NP'!Z74</f>
        <v>60446.16500000001</v>
      </c>
      <c r="AA164" s="207">
        <f>'Saimnieciskas pamatdarbibas NP'!AA74</f>
        <v>60848.77249999999</v>
      </c>
      <c r="AB164" s="207">
        <f>'Saimnieciskas pamatdarbibas NP'!AB74</f>
        <v>61546.6075</v>
      </c>
      <c r="AC164" s="207">
        <f>'Saimnieciskas pamatdarbibas NP'!AC74</f>
        <v>62002.905000000006</v>
      </c>
      <c r="AD164" s="207">
        <f>'Saimnieciskas pamatdarbibas NP'!AD74</f>
        <v>62056.64000000001</v>
      </c>
      <c r="AE164" s="207">
        <f>'Saimnieciskas pamatdarbibas NP'!AE74</f>
        <v>62834.98749999999</v>
      </c>
      <c r="AF164" s="207">
        <f>'Saimnieciskas pamatdarbibas NP'!AF74</f>
        <v>63774.405000000006</v>
      </c>
      <c r="AG164" s="207">
        <f>'Saimnieciskas pamatdarbibas NP'!AG74</f>
        <v>64472.28499999999</v>
      </c>
    </row>
    <row r="165" spans="1:33" s="209" customFormat="1" ht="12.75">
      <c r="A165" s="324" t="s">
        <v>245</v>
      </c>
      <c r="B165" s="325">
        <f aca="true" t="shared" si="69" ref="B165:AG165">SUM(B163:B164)</f>
        <v>29209.199999999997</v>
      </c>
      <c r="C165" s="325">
        <f t="shared" si="69"/>
        <v>162829.2</v>
      </c>
      <c r="D165" s="325">
        <f t="shared" si="69"/>
        <v>617681.0525</v>
      </c>
      <c r="E165" s="325">
        <f t="shared" si="69"/>
        <v>47669.78999999999</v>
      </c>
      <c r="F165" s="636">
        <f t="shared" si="69"/>
        <v>48179.7325</v>
      </c>
      <c r="G165" s="325">
        <f t="shared" si="69"/>
        <v>48528.69499999999</v>
      </c>
      <c r="H165" s="325">
        <f t="shared" si="69"/>
        <v>49065.55</v>
      </c>
      <c r="I165" s="325">
        <f t="shared" si="69"/>
        <v>49843.942500000005</v>
      </c>
      <c r="J165" s="325">
        <f t="shared" si="69"/>
        <v>50300.19499999999</v>
      </c>
      <c r="K165" s="325">
        <f t="shared" si="69"/>
        <v>50837.049999999996</v>
      </c>
      <c r="L165" s="325">
        <f t="shared" si="69"/>
        <v>51642.219999999994</v>
      </c>
      <c r="M165" s="325">
        <f t="shared" si="69"/>
        <v>52340.100000000006</v>
      </c>
      <c r="N165" s="325">
        <f t="shared" si="69"/>
        <v>53118.49249999999</v>
      </c>
      <c r="O165" s="325">
        <f t="shared" si="69"/>
        <v>53333.20749999999</v>
      </c>
      <c r="P165" s="325">
        <f t="shared" si="69"/>
        <v>53950.575</v>
      </c>
      <c r="Q165" s="325">
        <f t="shared" si="69"/>
        <v>54728.96749999999</v>
      </c>
      <c r="R165" s="325">
        <f t="shared" si="69"/>
        <v>55561.04999999999</v>
      </c>
      <c r="S165" s="325">
        <f t="shared" si="69"/>
        <v>56822.5175</v>
      </c>
      <c r="T165" s="325">
        <f t="shared" si="69"/>
        <v>57815.67</v>
      </c>
      <c r="U165" s="325">
        <f t="shared" si="69"/>
        <v>58137.765</v>
      </c>
      <c r="V165" s="325">
        <f t="shared" si="69"/>
        <v>58862.5125</v>
      </c>
      <c r="W165" s="325">
        <f t="shared" si="69"/>
        <v>59238.2975</v>
      </c>
      <c r="X165" s="325">
        <f t="shared" si="69"/>
        <v>59614.082500000004</v>
      </c>
      <c r="Y165" s="325">
        <f t="shared" si="69"/>
        <v>60070.380000000005</v>
      </c>
      <c r="Z165" s="325">
        <f t="shared" si="69"/>
        <v>60446.16500000001</v>
      </c>
      <c r="AA165" s="325">
        <f t="shared" si="69"/>
        <v>60848.77249999999</v>
      </c>
      <c r="AB165" s="325">
        <f t="shared" si="69"/>
        <v>61546.6075</v>
      </c>
      <c r="AC165" s="325">
        <f t="shared" si="69"/>
        <v>62002.905000000006</v>
      </c>
      <c r="AD165" s="325">
        <f t="shared" si="69"/>
        <v>62056.64000000001</v>
      </c>
      <c r="AE165" s="325">
        <f t="shared" si="69"/>
        <v>62834.98749999999</v>
      </c>
      <c r="AF165" s="325">
        <f t="shared" si="69"/>
        <v>63774.405000000006</v>
      </c>
      <c r="AG165" s="325">
        <f t="shared" si="69"/>
        <v>64472.28499999999</v>
      </c>
    </row>
    <row r="166" spans="1:33" s="209" customFormat="1" ht="25.5">
      <c r="A166" s="206" t="s">
        <v>171</v>
      </c>
      <c r="B166" s="207">
        <f>'Saimnieciskas pamatdarbibas NP'!B65</f>
        <v>27319.04</v>
      </c>
      <c r="C166" s="207">
        <f>'Saimnieciskas pamatdarbibas NP'!C65</f>
        <v>27934.911200000002</v>
      </c>
      <c r="D166" s="207">
        <f>'Saimnieciskas pamatdarbibas NP'!D65</f>
        <v>25870.2728</v>
      </c>
      <c r="E166" s="207">
        <f>'Saimnieciskas pamatdarbibas NP'!E65</f>
        <v>20226.0844</v>
      </c>
      <c r="F166" s="207">
        <f>'Saimnieciskas pamatdarbibas NP'!F65</f>
        <v>20095.082</v>
      </c>
      <c r="G166" s="207">
        <f>'Saimnieciskas pamatdarbibas NP'!G65</f>
        <v>20529.3622</v>
      </c>
      <c r="H166" s="207">
        <f>'Saimnieciskas pamatdarbibas NP'!H65</f>
        <v>20963.6424</v>
      </c>
      <c r="I166" s="207">
        <f>'Saimnieciskas pamatdarbibas NP'!I65</f>
        <v>21397.922599999998</v>
      </c>
      <c r="J166" s="207">
        <f>'Saimnieciskas pamatdarbibas NP'!J65</f>
        <v>21832.2028</v>
      </c>
      <c r="K166" s="207">
        <f>'Saimnieciskas pamatdarbibas NP'!K65</f>
        <v>22266.483</v>
      </c>
      <c r="L166" s="207">
        <f>'Saimnieciskas pamatdarbibas NP'!L65</f>
        <v>22700.7632</v>
      </c>
      <c r="M166" s="207">
        <f>'Saimnieciskas pamatdarbibas NP'!M65</f>
        <v>23135.043400000002</v>
      </c>
      <c r="N166" s="207">
        <f>'Saimnieciskas pamatdarbibas NP'!N65</f>
        <v>23569.323599999996</v>
      </c>
      <c r="O166" s="207">
        <f>'Saimnieciskas pamatdarbibas NP'!O65</f>
        <v>23958.6038</v>
      </c>
      <c r="P166" s="207">
        <f>'Saimnieciskas pamatdarbibas NP'!P65</f>
        <v>24505.788500000002</v>
      </c>
      <c r="Q166" s="207">
        <f>'Saimnieciskas pamatdarbibas NP'!Q65</f>
        <v>25052.9732</v>
      </c>
      <c r="R166" s="207">
        <f>'Saimnieciskas pamatdarbibas NP'!R65</f>
        <v>25600.157900000006</v>
      </c>
      <c r="S166" s="207">
        <f>'Saimnieciskas pamatdarbibas NP'!S65</f>
        <v>26147.342599999996</v>
      </c>
      <c r="T166" s="207">
        <f>'Saimnieciskas pamatdarbibas NP'!T65</f>
        <v>26694.5273</v>
      </c>
      <c r="U166" s="207">
        <f>'Saimnieciskas pamatdarbibas NP'!U65</f>
        <v>27241.712</v>
      </c>
      <c r="V166" s="207">
        <f>'Saimnieciskas pamatdarbibas NP'!V65</f>
        <v>27858.3871</v>
      </c>
      <c r="W166" s="207">
        <f>'Saimnieciskas pamatdarbibas NP'!W65</f>
        <v>28475.0622</v>
      </c>
      <c r="X166" s="207">
        <f>'Saimnieciskas pamatdarbibas NP'!X65</f>
        <v>29091.7373</v>
      </c>
      <c r="Y166" s="207">
        <f>'Saimnieciskas pamatdarbibas NP'!Y65</f>
        <v>29708.4124</v>
      </c>
      <c r="Z166" s="207">
        <f>'Saimnieciskas pamatdarbibas NP'!Z65</f>
        <v>30325.0875</v>
      </c>
      <c r="AA166" s="207">
        <f>'Saimnieciskas pamatdarbibas NP'!AA65</f>
        <v>30941.762600000002</v>
      </c>
      <c r="AB166" s="207">
        <f>'Saimnieciskas pamatdarbibas NP'!AB65</f>
        <v>31558.4377</v>
      </c>
      <c r="AC166" s="207">
        <f>'Saimnieciskas pamatdarbibas NP'!AC65</f>
        <v>32175.1128</v>
      </c>
      <c r="AD166" s="207">
        <f>'Saimnieciskas pamatdarbibas NP'!AD65</f>
        <v>32791.787899999996</v>
      </c>
      <c r="AE166" s="207">
        <f>'Saimnieciskas pamatdarbibas NP'!AE65</f>
        <v>33408.463</v>
      </c>
      <c r="AF166" s="207">
        <f>'Saimnieciskas pamatdarbibas NP'!AF65</f>
        <v>33980.1381</v>
      </c>
      <c r="AG166" s="207">
        <f>'Saimnieciskas pamatdarbibas NP'!AG65</f>
        <v>34709.7177</v>
      </c>
    </row>
    <row r="167" spans="1:33" s="209" customFormat="1" ht="12.75">
      <c r="A167" s="206" t="s">
        <v>246</v>
      </c>
      <c r="B167" s="207">
        <f>Aprekini!B140</f>
        <v>0</v>
      </c>
      <c r="C167" s="207">
        <f>Aprekini!C140</f>
        <v>133620</v>
      </c>
      <c r="D167" s="207">
        <f>Aprekini!D140</f>
        <v>584532</v>
      </c>
      <c r="E167" s="207">
        <f>Aprekini!E140</f>
        <v>0</v>
      </c>
      <c r="F167" s="635">
        <f>Aprekini!F140</f>
        <v>0</v>
      </c>
      <c r="G167" s="207">
        <f>Aprekini!G140</f>
        <v>0</v>
      </c>
      <c r="H167" s="207">
        <f>Aprekini!H140</f>
        <v>0</v>
      </c>
      <c r="I167" s="207">
        <f>Aprekini!I140</f>
        <v>0</v>
      </c>
      <c r="J167" s="207">
        <f>Aprekini!J140</f>
        <v>0</v>
      </c>
      <c r="K167" s="207">
        <f>Aprekini!K140</f>
        <v>0</v>
      </c>
      <c r="L167" s="207">
        <f>Aprekini!L140</f>
        <v>0</v>
      </c>
      <c r="M167" s="207">
        <f>Aprekini!M140</f>
        <v>0</v>
      </c>
      <c r="N167" s="207">
        <f>Aprekini!N140</f>
        <v>0</v>
      </c>
      <c r="O167" s="207">
        <f>Aprekini!O140</f>
        <v>0</v>
      </c>
      <c r="P167" s="207">
        <f>Aprekini!P140</f>
        <v>0</v>
      </c>
      <c r="Q167" s="207">
        <f>Aprekini!Q140</f>
        <v>0</v>
      </c>
      <c r="R167" s="207">
        <f>Aprekini!R140</f>
        <v>0</v>
      </c>
      <c r="S167" s="207">
        <f>Aprekini!S140</f>
        <v>0</v>
      </c>
      <c r="T167" s="207">
        <f>Aprekini!T140</f>
        <v>0</v>
      </c>
      <c r="U167" s="207">
        <f>Aprekini!U140</f>
        <v>0</v>
      </c>
      <c r="V167" s="207">
        <f>Aprekini!V140</f>
        <v>0</v>
      </c>
      <c r="W167" s="207">
        <f>Aprekini!W140</f>
        <v>0</v>
      </c>
      <c r="X167" s="207">
        <f>Aprekini!X140</f>
        <v>0</v>
      </c>
      <c r="Y167" s="207">
        <f>Aprekini!Y140</f>
        <v>0</v>
      </c>
      <c r="Z167" s="207">
        <f>Aprekini!Z140</f>
        <v>0</v>
      </c>
      <c r="AA167" s="207">
        <f>Aprekini!AA140</f>
        <v>0</v>
      </c>
      <c r="AB167" s="207">
        <f>Aprekini!AB140</f>
        <v>0</v>
      </c>
      <c r="AC167" s="207">
        <f>Aprekini!AC140</f>
        <v>0</v>
      </c>
      <c r="AD167" s="207">
        <f>Aprekini!AD140</f>
        <v>0</v>
      </c>
      <c r="AE167" s="207">
        <f>Aprekini!AE140</f>
        <v>0</v>
      </c>
      <c r="AF167" s="207">
        <f>Aprekini!AF140</f>
        <v>0</v>
      </c>
      <c r="AG167" s="207">
        <f>Aprekini!AG140</f>
        <v>0</v>
      </c>
    </row>
    <row r="168" spans="1:33" s="209" customFormat="1" ht="12.75">
      <c r="A168" s="206" t="s">
        <v>247</v>
      </c>
      <c r="B168" s="207">
        <f>Aprekini!B252</f>
        <v>0</v>
      </c>
      <c r="C168" s="207">
        <f>Aprekini!C252</f>
        <v>0</v>
      </c>
      <c r="D168" s="207">
        <f>Aprekini!D252</f>
        <v>3622.8561682988006</v>
      </c>
      <c r="E168" s="207">
        <f>Aprekini!E252</f>
        <v>19471.347126</v>
      </c>
      <c r="F168" s="635">
        <f>Aprekini!F252</f>
        <v>19471.347126</v>
      </c>
      <c r="G168" s="207">
        <f>Aprekini!G252</f>
        <v>18692.49324096</v>
      </c>
      <c r="H168" s="207">
        <f>Aprekini!H252</f>
        <v>17913.63935592</v>
      </c>
      <c r="I168" s="207">
        <f>Aprekini!I252</f>
        <v>17134.78547088</v>
      </c>
      <c r="J168" s="207">
        <f>Aprekini!J252</f>
        <v>16355.931585839999</v>
      </c>
      <c r="K168" s="207">
        <f>Aprekini!K252</f>
        <v>15577.077700799999</v>
      </c>
      <c r="L168" s="207">
        <f>Aprekini!L252</f>
        <v>14798.223815759997</v>
      </c>
      <c r="M168" s="207">
        <f>Aprekini!M252</f>
        <v>14019.369930719997</v>
      </c>
      <c r="N168" s="207">
        <f>Aprekini!N252</f>
        <v>13240.516045679997</v>
      </c>
      <c r="O168" s="207">
        <f>Aprekini!O252</f>
        <v>12461.662160639995</v>
      </c>
      <c r="P168" s="207">
        <f>Aprekini!P252</f>
        <v>11682.808275599995</v>
      </c>
      <c r="Q168" s="207">
        <f>Aprekini!Q252</f>
        <v>10903.954390559995</v>
      </c>
      <c r="R168" s="207">
        <f>Aprekini!R252</f>
        <v>10125.100505519993</v>
      </c>
      <c r="S168" s="207">
        <f>Aprekini!S252</f>
        <v>9346.246620479993</v>
      </c>
      <c r="T168" s="207">
        <f>Aprekini!T252</f>
        <v>8567.392735439993</v>
      </c>
      <c r="U168" s="207">
        <f>Aprekini!U252</f>
        <v>7788.538850399992</v>
      </c>
      <c r="V168" s="207">
        <f>Aprekini!V252</f>
        <v>7009.684965359992</v>
      </c>
      <c r="W168" s="207">
        <f>Aprekini!W252</f>
        <v>6230.831080319991</v>
      </c>
      <c r="X168" s="207">
        <f>Aprekini!X252</f>
        <v>5451.977195279991</v>
      </c>
      <c r="Y168" s="207">
        <f>Aprekini!Y252</f>
        <v>4673.123310239991</v>
      </c>
      <c r="Z168" s="207">
        <f>Aprekini!Z252</f>
        <v>3894.2694251999915</v>
      </c>
      <c r="AA168" s="207">
        <f>Aprekini!AA252</f>
        <v>3115.4155401599915</v>
      </c>
      <c r="AB168" s="207">
        <f>Aprekini!AB252</f>
        <v>2336.5616551199914</v>
      </c>
      <c r="AC168" s="207">
        <f>Aprekini!AC252</f>
        <v>1557.7077700799916</v>
      </c>
      <c r="AD168" s="207">
        <f>Aprekini!AD252</f>
        <v>778.8538850399916</v>
      </c>
      <c r="AE168" s="207">
        <f>Aprekini!AE252</f>
        <v>-8.443748811259866E-12</v>
      </c>
      <c r="AF168" s="207">
        <f>Aprekini!AF252</f>
        <v>-8.443748811259866E-12</v>
      </c>
      <c r="AG168" s="207">
        <f>Aprekini!AG252</f>
        <v>-8.443748811259866E-12</v>
      </c>
    </row>
    <row r="169" spans="1:33" s="209" customFormat="1" ht="25.5">
      <c r="A169" s="206" t="s">
        <v>248</v>
      </c>
      <c r="B169" s="207">
        <f>Aprekini!B260</f>
        <v>0</v>
      </c>
      <c r="C169" s="207">
        <f>Aprekini!C260</f>
        <v>0</v>
      </c>
      <c r="D169" s="207">
        <f>Aprekini!D260</f>
        <v>0</v>
      </c>
      <c r="E169" s="207">
        <f>Aprekini!E260</f>
        <v>0</v>
      </c>
      <c r="F169" s="635">
        <f>Aprekini!F260</f>
        <v>0</v>
      </c>
      <c r="G169" s="207">
        <f>Aprekini!G260</f>
        <v>0</v>
      </c>
      <c r="H169" s="207">
        <f>Aprekini!H260</f>
        <v>0</v>
      </c>
      <c r="I169" s="207">
        <f>Aprekini!I260</f>
        <v>0</v>
      </c>
      <c r="J169" s="207">
        <f>Aprekini!J260</f>
        <v>0</v>
      </c>
      <c r="K169" s="207">
        <f>Aprekini!K260</f>
        <v>0</v>
      </c>
      <c r="L169" s="207">
        <f>Aprekini!L260</f>
        <v>0</v>
      </c>
      <c r="M169" s="207">
        <f>Aprekini!M260</f>
        <v>0</v>
      </c>
      <c r="N169" s="207">
        <f>Aprekini!N260</f>
        <v>0</v>
      </c>
      <c r="O169" s="207">
        <f>Aprekini!O260</f>
        <v>0</v>
      </c>
      <c r="P169" s="207">
        <f>Aprekini!P260</f>
        <v>0</v>
      </c>
      <c r="Q169" s="207">
        <f>Aprekini!Q260</f>
        <v>0</v>
      </c>
      <c r="R169" s="207">
        <f>Aprekini!R260</f>
        <v>0</v>
      </c>
      <c r="S169" s="207">
        <f>Aprekini!S260</f>
        <v>0</v>
      </c>
      <c r="T169" s="207">
        <f>Aprekini!T260</f>
        <v>0</v>
      </c>
      <c r="U169" s="207">
        <f>Aprekini!U260</f>
        <v>0</v>
      </c>
      <c r="V169" s="207">
        <f>Aprekini!V260</f>
        <v>0</v>
      </c>
      <c r="W169" s="207">
        <f>Aprekini!W260</f>
        <v>0</v>
      </c>
      <c r="X169" s="207">
        <f>Aprekini!X260</f>
        <v>0</v>
      </c>
      <c r="Y169" s="207">
        <f>Aprekini!Y260</f>
        <v>0</v>
      </c>
      <c r="Z169" s="207">
        <f>Aprekini!Z260</f>
        <v>0</v>
      </c>
      <c r="AA169" s="207">
        <f>Aprekini!AA260</f>
        <v>0</v>
      </c>
      <c r="AB169" s="207">
        <f>Aprekini!AB260</f>
        <v>0</v>
      </c>
      <c r="AC169" s="207">
        <f>Aprekini!AC260</f>
        <v>0</v>
      </c>
      <c r="AD169" s="207">
        <f>Aprekini!AD260</f>
        <v>0</v>
      </c>
      <c r="AE169" s="207">
        <f>Aprekini!AE260</f>
        <v>0</v>
      </c>
      <c r="AF169" s="207">
        <f>Aprekini!AF260</f>
        <v>0</v>
      </c>
      <c r="AG169" s="207">
        <f>Aprekini!AG260</f>
        <v>0</v>
      </c>
    </row>
    <row r="170" spans="1:33" s="209" customFormat="1" ht="25.5">
      <c r="A170" s="206" t="s">
        <v>249</v>
      </c>
      <c r="B170" s="207">
        <f>Aprekini!B253</f>
        <v>0</v>
      </c>
      <c r="C170" s="207">
        <f>Aprekini!C253</f>
        <v>0</v>
      </c>
      <c r="D170" s="207">
        <f>Aprekini!D253</f>
        <v>0</v>
      </c>
      <c r="E170" s="207">
        <f>Aprekini!E253</f>
        <v>0</v>
      </c>
      <c r="F170" s="635">
        <f>Aprekini!F253</f>
        <v>16778.412</v>
      </c>
      <c r="G170" s="207">
        <f>Aprekini!G253</f>
        <v>16778.412</v>
      </c>
      <c r="H170" s="207">
        <f>Aprekini!H253</f>
        <v>16778.412</v>
      </c>
      <c r="I170" s="207">
        <f>Aprekini!I253</f>
        <v>16778.412</v>
      </c>
      <c r="J170" s="207">
        <f>Aprekini!J253</f>
        <v>16778.412</v>
      </c>
      <c r="K170" s="207">
        <f>Aprekini!K253</f>
        <v>16778.412</v>
      </c>
      <c r="L170" s="207">
        <f>Aprekini!L253</f>
        <v>16778.412</v>
      </c>
      <c r="M170" s="207">
        <f>Aprekini!M253</f>
        <v>16778.412</v>
      </c>
      <c r="N170" s="207">
        <f>Aprekini!N253</f>
        <v>16778.412</v>
      </c>
      <c r="O170" s="207">
        <f>Aprekini!O253</f>
        <v>16778.412</v>
      </c>
      <c r="P170" s="207">
        <f>Aprekini!P253</f>
        <v>16778.412</v>
      </c>
      <c r="Q170" s="207">
        <f>Aprekini!Q253</f>
        <v>16778.412</v>
      </c>
      <c r="R170" s="207">
        <f>Aprekini!R253</f>
        <v>16778.412</v>
      </c>
      <c r="S170" s="207">
        <f>Aprekini!S253</f>
        <v>16778.412</v>
      </c>
      <c r="T170" s="207">
        <f>Aprekini!T253</f>
        <v>16778.412</v>
      </c>
      <c r="U170" s="207">
        <f>Aprekini!U253</f>
        <v>16778.412</v>
      </c>
      <c r="V170" s="207">
        <f>Aprekini!V253</f>
        <v>16778.412</v>
      </c>
      <c r="W170" s="207">
        <f>Aprekini!W253</f>
        <v>16778.412</v>
      </c>
      <c r="X170" s="207">
        <f>Aprekini!X253</f>
        <v>16778.412</v>
      </c>
      <c r="Y170" s="207">
        <f>Aprekini!Y253</f>
        <v>16778.412</v>
      </c>
      <c r="Z170" s="207">
        <f>Aprekini!Z253</f>
        <v>16778.412</v>
      </c>
      <c r="AA170" s="207">
        <f>Aprekini!AA253</f>
        <v>16778.412</v>
      </c>
      <c r="AB170" s="207">
        <f>Aprekini!AB253</f>
        <v>16778.412</v>
      </c>
      <c r="AC170" s="207">
        <f>Aprekini!AC253</f>
        <v>16778.412</v>
      </c>
      <c r="AD170" s="207">
        <f>Aprekini!AD253</f>
        <v>16778.412</v>
      </c>
      <c r="AE170" s="207">
        <f>Aprekini!AE253</f>
        <v>0</v>
      </c>
      <c r="AF170" s="207">
        <f>Aprekini!AF253</f>
        <v>0</v>
      </c>
      <c r="AG170" s="207">
        <f>Aprekini!AG253</f>
        <v>0</v>
      </c>
    </row>
    <row r="171" spans="1:33" s="209" customFormat="1" ht="25.5">
      <c r="A171" s="206" t="s">
        <v>250</v>
      </c>
      <c r="B171" s="207">
        <f>Aprekini!B261</f>
        <v>0</v>
      </c>
      <c r="C171" s="207">
        <f>Aprekini!C261</f>
        <v>0</v>
      </c>
      <c r="D171" s="207">
        <f>Aprekini!D261</f>
        <v>0</v>
      </c>
      <c r="E171" s="207">
        <f>Aprekini!E261</f>
        <v>0</v>
      </c>
      <c r="F171" s="635">
        <f>Aprekini!F261</f>
        <v>0</v>
      </c>
      <c r="G171" s="207">
        <f>Aprekini!G261</f>
        <v>0</v>
      </c>
      <c r="H171" s="207">
        <f>Aprekini!H261</f>
        <v>0</v>
      </c>
      <c r="I171" s="207">
        <f>Aprekini!I261</f>
        <v>0</v>
      </c>
      <c r="J171" s="207">
        <f>Aprekini!J261</f>
        <v>0</v>
      </c>
      <c r="K171" s="207">
        <f>Aprekini!K261</f>
        <v>0</v>
      </c>
      <c r="L171" s="207">
        <f>Aprekini!L261</f>
        <v>0</v>
      </c>
      <c r="M171" s="207">
        <f>Aprekini!M261</f>
        <v>0</v>
      </c>
      <c r="N171" s="207">
        <f>Aprekini!N261</f>
        <v>0</v>
      </c>
      <c r="O171" s="207">
        <f>Aprekini!O261</f>
        <v>0</v>
      </c>
      <c r="P171" s="207">
        <f>Aprekini!P261</f>
        <v>0</v>
      </c>
      <c r="Q171" s="207">
        <f>Aprekini!Q261</f>
        <v>0</v>
      </c>
      <c r="R171" s="207">
        <f>Aprekini!R261</f>
        <v>0</v>
      </c>
      <c r="S171" s="207">
        <f>Aprekini!S261</f>
        <v>0</v>
      </c>
      <c r="T171" s="207">
        <f>Aprekini!T261</f>
        <v>0</v>
      </c>
      <c r="U171" s="207">
        <f>Aprekini!U261</f>
        <v>0</v>
      </c>
      <c r="V171" s="207">
        <f>Aprekini!V261</f>
        <v>0</v>
      </c>
      <c r="W171" s="207">
        <f>Aprekini!W261</f>
        <v>0</v>
      </c>
      <c r="X171" s="207">
        <f>Aprekini!X261</f>
        <v>0</v>
      </c>
      <c r="Y171" s="207">
        <f>Aprekini!Y261</f>
        <v>0</v>
      </c>
      <c r="Z171" s="207">
        <f>Aprekini!Z261</f>
        <v>0</v>
      </c>
      <c r="AA171" s="207">
        <f>Aprekini!AA261</f>
        <v>0</v>
      </c>
      <c r="AB171" s="207">
        <f>Aprekini!AB261</f>
        <v>0</v>
      </c>
      <c r="AC171" s="207">
        <f>Aprekini!AC261</f>
        <v>0</v>
      </c>
      <c r="AD171" s="207">
        <f>Aprekini!AD261</f>
        <v>0</v>
      </c>
      <c r="AE171" s="207">
        <f>Aprekini!AE261</f>
        <v>0</v>
      </c>
      <c r="AF171" s="207">
        <f>Aprekini!AF261</f>
        <v>0</v>
      </c>
      <c r="AG171" s="207">
        <f>Aprekini!AG261</f>
        <v>0</v>
      </c>
    </row>
    <row r="172" spans="1:33" s="209" customFormat="1" ht="12.75">
      <c r="A172" s="324" t="s">
        <v>251</v>
      </c>
      <c r="B172" s="325">
        <f aca="true" t="shared" si="70" ref="B172:AG172">SUM(B166:B171)</f>
        <v>27319.04</v>
      </c>
      <c r="C172" s="325">
        <f t="shared" si="70"/>
        <v>161554.9112</v>
      </c>
      <c r="D172" s="325">
        <f t="shared" si="70"/>
        <v>614025.1289682988</v>
      </c>
      <c r="E172" s="325">
        <f t="shared" si="70"/>
        <v>39697.431526</v>
      </c>
      <c r="F172" s="636">
        <f t="shared" si="70"/>
        <v>56344.841126</v>
      </c>
      <c r="G172" s="325">
        <f t="shared" si="70"/>
        <v>56000.26744096</v>
      </c>
      <c r="H172" s="325">
        <f t="shared" si="70"/>
        <v>55655.69375592</v>
      </c>
      <c r="I172" s="325">
        <f t="shared" si="70"/>
        <v>55311.12007088</v>
      </c>
      <c r="J172" s="325">
        <f t="shared" si="70"/>
        <v>54966.54638584</v>
      </c>
      <c r="K172" s="325">
        <f t="shared" si="70"/>
        <v>54621.972700800005</v>
      </c>
      <c r="L172" s="325">
        <f t="shared" si="70"/>
        <v>54277.39901575999</v>
      </c>
      <c r="M172" s="325">
        <f t="shared" si="70"/>
        <v>53932.82533071999</v>
      </c>
      <c r="N172" s="325">
        <f t="shared" si="70"/>
        <v>53588.25164567999</v>
      </c>
      <c r="O172" s="325">
        <f t="shared" si="70"/>
        <v>53198.677960639994</v>
      </c>
      <c r="P172" s="325">
        <f t="shared" si="70"/>
        <v>52967.0087756</v>
      </c>
      <c r="Q172" s="325">
        <f t="shared" si="70"/>
        <v>52735.33959055999</v>
      </c>
      <c r="R172" s="325">
        <f t="shared" si="70"/>
        <v>52503.670405519995</v>
      </c>
      <c r="S172" s="325">
        <f t="shared" si="70"/>
        <v>52272.001220479986</v>
      </c>
      <c r="T172" s="325">
        <f t="shared" si="70"/>
        <v>52040.33203543999</v>
      </c>
      <c r="U172" s="325">
        <f t="shared" si="70"/>
        <v>51808.6628504</v>
      </c>
      <c r="V172" s="325">
        <f t="shared" si="70"/>
        <v>51646.48406536</v>
      </c>
      <c r="W172" s="325">
        <f t="shared" si="70"/>
        <v>51484.30528032</v>
      </c>
      <c r="X172" s="325">
        <f t="shared" si="70"/>
        <v>51322.12649528</v>
      </c>
      <c r="Y172" s="325">
        <f t="shared" si="70"/>
        <v>51159.94771024</v>
      </c>
      <c r="Z172" s="325">
        <f t="shared" si="70"/>
        <v>50997.7689252</v>
      </c>
      <c r="AA172" s="325">
        <f t="shared" si="70"/>
        <v>50835.59014016</v>
      </c>
      <c r="AB172" s="325">
        <f t="shared" si="70"/>
        <v>50673.411355119984</v>
      </c>
      <c r="AC172" s="325">
        <f t="shared" si="70"/>
        <v>50511.232570079985</v>
      </c>
      <c r="AD172" s="325">
        <f t="shared" si="70"/>
        <v>50349.053785039985</v>
      </c>
      <c r="AE172" s="325">
        <f t="shared" si="70"/>
        <v>33408.462999999996</v>
      </c>
      <c r="AF172" s="325">
        <f t="shared" si="70"/>
        <v>33980.13809999999</v>
      </c>
      <c r="AG172" s="325">
        <f t="shared" si="70"/>
        <v>34709.717699999994</v>
      </c>
    </row>
    <row r="173" spans="1:33" s="209" customFormat="1" ht="12.75">
      <c r="A173" s="324" t="s">
        <v>252</v>
      </c>
      <c r="B173" s="325">
        <f aca="true" t="shared" si="71" ref="B173:AG173">B165-B172</f>
        <v>1890.1599999999962</v>
      </c>
      <c r="C173" s="325">
        <f t="shared" si="71"/>
        <v>1274.2888000000094</v>
      </c>
      <c r="D173" s="325">
        <f t="shared" si="71"/>
        <v>3655.9235317012062</v>
      </c>
      <c r="E173" s="325">
        <f t="shared" si="71"/>
        <v>7972.358473999993</v>
      </c>
      <c r="F173" s="636">
        <f t="shared" si="71"/>
        <v>-8165.108626000001</v>
      </c>
      <c r="G173" s="325">
        <f t="shared" si="71"/>
        <v>-7471.572440960008</v>
      </c>
      <c r="H173" s="325">
        <f t="shared" si="71"/>
        <v>-6590.1437559199985</v>
      </c>
      <c r="I173" s="325">
        <f t="shared" si="71"/>
        <v>-5467.177570879998</v>
      </c>
      <c r="J173" s="325">
        <f t="shared" si="71"/>
        <v>-4666.351385840011</v>
      </c>
      <c r="K173" s="325">
        <f t="shared" si="71"/>
        <v>-3784.922700800009</v>
      </c>
      <c r="L173" s="325">
        <f t="shared" si="71"/>
        <v>-2635.179015759997</v>
      </c>
      <c r="M173" s="325">
        <f t="shared" si="71"/>
        <v>-1592.7253307199862</v>
      </c>
      <c r="N173" s="325">
        <f t="shared" si="71"/>
        <v>-469.7591456800001</v>
      </c>
      <c r="O173" s="325">
        <f t="shared" si="71"/>
        <v>134.5295393599954</v>
      </c>
      <c r="P173" s="325">
        <f t="shared" si="71"/>
        <v>983.5662243999977</v>
      </c>
      <c r="Q173" s="325">
        <f t="shared" si="71"/>
        <v>1993.6279094400015</v>
      </c>
      <c r="R173" s="325">
        <f t="shared" si="71"/>
        <v>3057.379594479993</v>
      </c>
      <c r="S173" s="325">
        <f t="shared" si="71"/>
        <v>4550.516279520016</v>
      </c>
      <c r="T173" s="325">
        <f t="shared" si="71"/>
        <v>5775.337964560007</v>
      </c>
      <c r="U173" s="325">
        <f t="shared" si="71"/>
        <v>6329.102149600003</v>
      </c>
      <c r="V173" s="325">
        <f t="shared" si="71"/>
        <v>7216.02843464</v>
      </c>
      <c r="W173" s="325">
        <f t="shared" si="71"/>
        <v>7753.9922196800035</v>
      </c>
      <c r="X173" s="325">
        <f t="shared" si="71"/>
        <v>8291.956004720007</v>
      </c>
      <c r="Y173" s="325">
        <f t="shared" si="71"/>
        <v>8910.432289760007</v>
      </c>
      <c r="Z173" s="325">
        <f t="shared" si="71"/>
        <v>9448.39607480001</v>
      </c>
      <c r="AA173" s="325">
        <f t="shared" si="71"/>
        <v>10013.182359839993</v>
      </c>
      <c r="AB173" s="325">
        <f t="shared" si="71"/>
        <v>10873.196144880014</v>
      </c>
      <c r="AC173" s="325">
        <f t="shared" si="71"/>
        <v>11491.672429920021</v>
      </c>
      <c r="AD173" s="325">
        <f t="shared" si="71"/>
        <v>11707.586214960022</v>
      </c>
      <c r="AE173" s="325">
        <f t="shared" si="71"/>
        <v>29426.524499999992</v>
      </c>
      <c r="AF173" s="325">
        <f t="shared" si="71"/>
        <v>29794.266900000017</v>
      </c>
      <c r="AG173" s="325">
        <f t="shared" si="71"/>
        <v>29762.567299999995</v>
      </c>
    </row>
    <row r="174" spans="1:33" s="209" customFormat="1" ht="25.5">
      <c r="A174" s="324" t="s">
        <v>253</v>
      </c>
      <c r="B174" s="325">
        <f>IF(B173&gt;=0,0,-B173)</f>
        <v>0</v>
      </c>
      <c r="C174" s="325">
        <f aca="true" t="shared" si="72" ref="C174:AG174">IF(C173&gt;=0,0,-C173)</f>
        <v>0</v>
      </c>
      <c r="D174" s="325">
        <f t="shared" si="72"/>
        <v>0</v>
      </c>
      <c r="E174" s="325">
        <f t="shared" si="72"/>
        <v>0</v>
      </c>
      <c r="F174" s="636">
        <f t="shared" si="72"/>
        <v>8165.108626000001</v>
      </c>
      <c r="G174" s="325">
        <f t="shared" si="72"/>
        <v>7471.572440960008</v>
      </c>
      <c r="H174" s="325">
        <f t="shared" si="72"/>
        <v>6590.1437559199985</v>
      </c>
      <c r="I174" s="325">
        <f t="shared" si="72"/>
        <v>5467.177570879998</v>
      </c>
      <c r="J174" s="325">
        <f t="shared" si="72"/>
        <v>4666.351385840011</v>
      </c>
      <c r="K174" s="325">
        <f t="shared" si="72"/>
        <v>3784.922700800009</v>
      </c>
      <c r="L174" s="325">
        <f t="shared" si="72"/>
        <v>2635.179015759997</v>
      </c>
      <c r="M174" s="325">
        <f t="shared" si="72"/>
        <v>1592.7253307199862</v>
      </c>
      <c r="N174" s="325">
        <f t="shared" si="72"/>
        <v>469.7591456800001</v>
      </c>
      <c r="O174" s="325">
        <f t="shared" si="72"/>
        <v>0</v>
      </c>
      <c r="P174" s="325">
        <f t="shared" si="72"/>
        <v>0</v>
      </c>
      <c r="Q174" s="325">
        <f t="shared" si="72"/>
        <v>0</v>
      </c>
      <c r="R174" s="325">
        <f t="shared" si="72"/>
        <v>0</v>
      </c>
      <c r="S174" s="325">
        <f t="shared" si="72"/>
        <v>0</v>
      </c>
      <c r="T174" s="325">
        <f t="shared" si="72"/>
        <v>0</v>
      </c>
      <c r="U174" s="325">
        <f t="shared" si="72"/>
        <v>0</v>
      </c>
      <c r="V174" s="325">
        <f t="shared" si="72"/>
        <v>0</v>
      </c>
      <c r="W174" s="325">
        <f t="shared" si="72"/>
        <v>0</v>
      </c>
      <c r="X174" s="325">
        <f t="shared" si="72"/>
        <v>0</v>
      </c>
      <c r="Y174" s="325">
        <f t="shared" si="72"/>
        <v>0</v>
      </c>
      <c r="Z174" s="325">
        <f t="shared" si="72"/>
        <v>0</v>
      </c>
      <c r="AA174" s="325">
        <f t="shared" si="72"/>
        <v>0</v>
      </c>
      <c r="AB174" s="325">
        <f t="shared" si="72"/>
        <v>0</v>
      </c>
      <c r="AC174" s="325">
        <f t="shared" si="72"/>
        <v>0</v>
      </c>
      <c r="AD174" s="325">
        <f t="shared" si="72"/>
        <v>0</v>
      </c>
      <c r="AE174" s="325">
        <f t="shared" si="72"/>
        <v>0</v>
      </c>
      <c r="AF174" s="325">
        <f t="shared" si="72"/>
        <v>0</v>
      </c>
      <c r="AG174" s="325">
        <f t="shared" si="72"/>
        <v>0</v>
      </c>
    </row>
    <row r="175" spans="1:33" s="209" customFormat="1" ht="12.75">
      <c r="A175" s="324" t="s">
        <v>254</v>
      </c>
      <c r="B175" s="325">
        <f>B173</f>
        <v>1890.1599999999962</v>
      </c>
      <c r="C175" s="325">
        <f aca="true" t="shared" si="73" ref="C175:AG175">B175+C173+C174</f>
        <v>3164.4488000000056</v>
      </c>
      <c r="D175" s="325">
        <f t="shared" si="73"/>
        <v>6820.372331701212</v>
      </c>
      <c r="E175" s="325">
        <f t="shared" si="73"/>
        <v>14792.730805701205</v>
      </c>
      <c r="F175" s="636">
        <f t="shared" si="73"/>
        <v>14792.730805701205</v>
      </c>
      <c r="G175" s="325">
        <f t="shared" si="73"/>
        <v>14792.730805701205</v>
      </c>
      <c r="H175" s="325">
        <f t="shared" si="73"/>
        <v>14792.730805701205</v>
      </c>
      <c r="I175" s="325">
        <f t="shared" si="73"/>
        <v>14792.730805701205</v>
      </c>
      <c r="J175" s="325">
        <f t="shared" si="73"/>
        <v>14792.730805701205</v>
      </c>
      <c r="K175" s="325">
        <f t="shared" si="73"/>
        <v>14792.730805701205</v>
      </c>
      <c r="L175" s="325">
        <f t="shared" si="73"/>
        <v>14792.730805701205</v>
      </c>
      <c r="M175" s="325">
        <f t="shared" si="73"/>
        <v>14792.730805701205</v>
      </c>
      <c r="N175" s="325">
        <f t="shared" si="73"/>
        <v>14792.730805701205</v>
      </c>
      <c r="O175" s="325">
        <f t="shared" si="73"/>
        <v>14927.2603450612</v>
      </c>
      <c r="P175" s="325">
        <f t="shared" si="73"/>
        <v>15910.826569461198</v>
      </c>
      <c r="Q175" s="325">
        <f t="shared" si="73"/>
        <v>17904.4544789012</v>
      </c>
      <c r="R175" s="325">
        <f t="shared" si="73"/>
        <v>20961.834073381193</v>
      </c>
      <c r="S175" s="325">
        <f t="shared" si="73"/>
        <v>25512.35035290121</v>
      </c>
      <c r="T175" s="325">
        <f t="shared" si="73"/>
        <v>31287.688317461216</v>
      </c>
      <c r="U175" s="325">
        <f t="shared" si="73"/>
        <v>37616.79046706122</v>
      </c>
      <c r="V175" s="325">
        <f t="shared" si="73"/>
        <v>44832.81890170122</v>
      </c>
      <c r="W175" s="325">
        <f t="shared" si="73"/>
        <v>52586.81112138122</v>
      </c>
      <c r="X175" s="325">
        <f t="shared" si="73"/>
        <v>60878.76712610123</v>
      </c>
      <c r="Y175" s="325">
        <f t="shared" si="73"/>
        <v>69789.19941586124</v>
      </c>
      <c r="Z175" s="325">
        <f t="shared" si="73"/>
        <v>79237.59549066125</v>
      </c>
      <c r="AA175" s="325">
        <f t="shared" si="73"/>
        <v>89250.77785050124</v>
      </c>
      <c r="AB175" s="325">
        <f t="shared" si="73"/>
        <v>100123.97399538125</v>
      </c>
      <c r="AC175" s="325">
        <f t="shared" si="73"/>
        <v>111615.64642530127</v>
      </c>
      <c r="AD175" s="325">
        <f t="shared" si="73"/>
        <v>123323.2326402613</v>
      </c>
      <c r="AE175" s="325">
        <f t="shared" si="73"/>
        <v>152749.7571402613</v>
      </c>
      <c r="AF175" s="325">
        <f t="shared" si="73"/>
        <v>182544.0240402613</v>
      </c>
      <c r="AG175" s="325">
        <f t="shared" si="73"/>
        <v>212306.5913402613</v>
      </c>
    </row>
    <row r="176" spans="1:6" s="209" customFormat="1" ht="12.75">
      <c r="A176" s="311"/>
      <c r="F176" s="633"/>
    </row>
    <row r="177" spans="1:6" s="209" customFormat="1" ht="12.75">
      <c r="A177" s="311"/>
      <c r="F177" s="633"/>
    </row>
    <row r="178" spans="1:254" s="209" customFormat="1" ht="31.5">
      <c r="A178" s="447" t="s">
        <v>393</v>
      </c>
      <c r="B178" s="316"/>
      <c r="C178" s="316"/>
      <c r="D178" s="316"/>
      <c r="E178" s="316"/>
      <c r="F178" s="612"/>
      <c r="G178" s="316"/>
      <c r="H178" s="316"/>
      <c r="I178" s="316"/>
      <c r="J178" s="316"/>
      <c r="K178" s="316"/>
      <c r="L178" s="316"/>
      <c r="M178" s="316"/>
      <c r="N178" s="316"/>
      <c r="O178" s="316"/>
      <c r="P178" s="317"/>
      <c r="Q178" s="317"/>
      <c r="R178" s="317"/>
      <c r="S178" s="317"/>
      <c r="T178" s="317"/>
      <c r="U178" s="317"/>
      <c r="V178" s="317"/>
      <c r="W178" s="317"/>
      <c r="X178" s="317"/>
      <c r="Y178" s="317"/>
      <c r="Z178" s="317"/>
      <c r="AA178" s="317"/>
      <c r="AB178" s="317"/>
      <c r="AC178" s="317"/>
      <c r="AD178" s="317"/>
      <c r="AE178" s="317"/>
      <c r="AF178" s="317"/>
      <c r="AG178" s="317"/>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208"/>
      <c r="BD178" s="208"/>
      <c r="BE178" s="208"/>
      <c r="BF178" s="208"/>
      <c r="BG178" s="208"/>
      <c r="BH178" s="208"/>
      <c r="BI178" s="208"/>
      <c r="BJ178" s="208"/>
      <c r="BK178" s="208"/>
      <c r="BL178" s="208"/>
      <c r="BM178" s="208"/>
      <c r="BN178" s="208"/>
      <c r="BO178" s="208"/>
      <c r="BP178" s="208"/>
      <c r="BQ178" s="208"/>
      <c r="BR178" s="208"/>
      <c r="BS178" s="208"/>
      <c r="BT178" s="208"/>
      <c r="BU178" s="208"/>
      <c r="BV178" s="208"/>
      <c r="BW178" s="208"/>
      <c r="BX178" s="208"/>
      <c r="BY178" s="208"/>
      <c r="BZ178" s="208"/>
      <c r="CA178" s="208"/>
      <c r="CB178" s="208"/>
      <c r="CC178" s="208"/>
      <c r="CD178" s="208"/>
      <c r="CE178" s="208"/>
      <c r="CF178" s="208"/>
      <c r="CG178" s="208"/>
      <c r="CH178" s="208"/>
      <c r="CI178" s="208"/>
      <c r="CJ178" s="208"/>
      <c r="CK178" s="208"/>
      <c r="CL178" s="208"/>
      <c r="CM178" s="208"/>
      <c r="CN178" s="208"/>
      <c r="CO178" s="208"/>
      <c r="CP178" s="208"/>
      <c r="CQ178" s="208"/>
      <c r="CR178" s="208"/>
      <c r="CS178" s="208"/>
      <c r="CT178" s="208"/>
      <c r="CU178" s="208"/>
      <c r="CV178" s="208"/>
      <c r="CW178" s="208"/>
      <c r="CX178" s="208"/>
      <c r="CY178" s="208"/>
      <c r="CZ178" s="208"/>
      <c r="DA178" s="208"/>
      <c r="DB178" s="208"/>
      <c r="DC178" s="208"/>
      <c r="DD178" s="208"/>
      <c r="DE178" s="208"/>
      <c r="DF178" s="208"/>
      <c r="DG178" s="208"/>
      <c r="DH178" s="208"/>
      <c r="DI178" s="208"/>
      <c r="DJ178" s="208"/>
      <c r="DK178" s="208"/>
      <c r="DL178" s="208"/>
      <c r="DM178" s="208"/>
      <c r="DN178" s="208"/>
      <c r="DO178" s="208"/>
      <c r="DP178" s="208"/>
      <c r="DQ178" s="208"/>
      <c r="DR178" s="208"/>
      <c r="DS178" s="208"/>
      <c r="DT178" s="208"/>
      <c r="DU178" s="208"/>
      <c r="DV178" s="208"/>
      <c r="DW178" s="208"/>
      <c r="DX178" s="208"/>
      <c r="DY178" s="208"/>
      <c r="DZ178" s="208"/>
      <c r="EA178" s="208"/>
      <c r="EB178" s="208"/>
      <c r="EC178" s="208"/>
      <c r="ED178" s="208"/>
      <c r="EE178" s="208"/>
      <c r="EF178" s="208"/>
      <c r="EG178" s="208"/>
      <c r="EH178" s="208"/>
      <c r="EI178" s="208"/>
      <c r="EJ178" s="208"/>
      <c r="EK178" s="208"/>
      <c r="EL178" s="208"/>
      <c r="EM178" s="208"/>
      <c r="EN178" s="208"/>
      <c r="EO178" s="208"/>
      <c r="EP178" s="208"/>
      <c r="EQ178" s="208"/>
      <c r="ER178" s="208"/>
      <c r="ES178" s="208"/>
      <c r="ET178" s="208"/>
      <c r="EU178" s="208"/>
      <c r="EV178" s="208"/>
      <c r="EW178" s="208"/>
      <c r="EX178" s="208"/>
      <c r="EY178" s="208"/>
      <c r="EZ178" s="208"/>
      <c r="FA178" s="208"/>
      <c r="FB178" s="208"/>
      <c r="FC178" s="208"/>
      <c r="FD178" s="208"/>
      <c r="FE178" s="208"/>
      <c r="FF178" s="208"/>
      <c r="FG178" s="208"/>
      <c r="FH178" s="208"/>
      <c r="FI178" s="208"/>
      <c r="FJ178" s="208"/>
      <c r="FK178" s="208"/>
      <c r="FL178" s="208"/>
      <c r="FM178" s="208"/>
      <c r="FN178" s="208"/>
      <c r="FO178" s="208"/>
      <c r="FP178" s="208"/>
      <c r="FQ178" s="208"/>
      <c r="FR178" s="208"/>
      <c r="FS178" s="208"/>
      <c r="FT178" s="208"/>
      <c r="FU178" s="208"/>
      <c r="FV178" s="208"/>
      <c r="FW178" s="208"/>
      <c r="FX178" s="208"/>
      <c r="FY178" s="208"/>
      <c r="FZ178" s="208"/>
      <c r="GA178" s="208"/>
      <c r="GB178" s="208"/>
      <c r="GC178" s="208"/>
      <c r="GD178" s="208"/>
      <c r="GE178" s="208"/>
      <c r="GF178" s="208"/>
      <c r="GG178" s="208"/>
      <c r="GH178" s="208"/>
      <c r="GI178" s="208"/>
      <c r="GJ178" s="208"/>
      <c r="GK178" s="208"/>
      <c r="GL178" s="208"/>
      <c r="GM178" s="208"/>
      <c r="GN178" s="208"/>
      <c r="GO178" s="208"/>
      <c r="GP178" s="208"/>
      <c r="GQ178" s="208"/>
      <c r="GR178" s="208"/>
      <c r="GS178" s="208"/>
      <c r="GT178" s="208"/>
      <c r="GU178" s="208"/>
      <c r="GV178" s="208"/>
      <c r="GW178" s="208"/>
      <c r="GX178" s="208"/>
      <c r="GY178" s="208"/>
      <c r="GZ178" s="208"/>
      <c r="HA178" s="208"/>
      <c r="HB178" s="208"/>
      <c r="HC178" s="208"/>
      <c r="HD178" s="208"/>
      <c r="HE178" s="208"/>
      <c r="HF178" s="208"/>
      <c r="HG178" s="208"/>
      <c r="HH178" s="208"/>
      <c r="HI178" s="208"/>
      <c r="HJ178" s="208"/>
      <c r="HK178" s="208"/>
      <c r="HL178" s="208"/>
      <c r="HM178" s="208"/>
      <c r="HN178" s="208"/>
      <c r="HO178" s="208"/>
      <c r="HP178" s="208"/>
      <c r="HQ178" s="208"/>
      <c r="HR178" s="208"/>
      <c r="HS178" s="208"/>
      <c r="HT178" s="208"/>
      <c r="HU178" s="208"/>
      <c r="HV178" s="208"/>
      <c r="HW178" s="208"/>
      <c r="HX178" s="208"/>
      <c r="HY178" s="208"/>
      <c r="HZ178" s="208"/>
      <c r="IA178" s="208"/>
      <c r="IB178" s="208"/>
      <c r="IC178" s="208"/>
      <c r="ID178" s="208"/>
      <c r="IE178" s="208"/>
      <c r="IF178" s="208"/>
      <c r="IG178" s="208"/>
      <c r="IH178" s="208"/>
      <c r="II178" s="208"/>
      <c r="IJ178" s="208"/>
      <c r="IK178" s="208"/>
      <c r="IL178" s="208"/>
      <c r="IM178" s="208"/>
      <c r="IN178" s="208"/>
      <c r="IO178" s="208"/>
      <c r="IP178" s="208"/>
      <c r="IQ178" s="208"/>
      <c r="IR178" s="208"/>
      <c r="IS178" s="208"/>
      <c r="IT178" s="208"/>
    </row>
    <row r="179" spans="1:254" s="209" customFormat="1" ht="12.75">
      <c r="A179" s="347"/>
      <c r="B179" s="308"/>
      <c r="C179" s="308"/>
      <c r="D179" s="308"/>
      <c r="E179" s="308"/>
      <c r="F179" s="631"/>
      <c r="G179" s="308"/>
      <c r="H179" s="308"/>
      <c r="I179" s="308"/>
      <c r="J179" s="308"/>
      <c r="K179" s="308"/>
      <c r="L179" s="308"/>
      <c r="M179" s="348" t="s">
        <v>25</v>
      </c>
      <c r="N179" s="308"/>
      <c r="O179" s="308"/>
      <c r="P179" s="349"/>
      <c r="Q179" s="308"/>
      <c r="R179" s="349"/>
      <c r="S179" s="349"/>
      <c r="T179" s="349"/>
      <c r="U179" s="349"/>
      <c r="V179" s="349"/>
      <c r="W179" s="349"/>
      <c r="X179" s="349"/>
      <c r="Y179" s="349"/>
      <c r="Z179" s="349"/>
      <c r="AA179" s="349"/>
      <c r="AB179" s="349"/>
      <c r="AC179" s="349"/>
      <c r="AD179" s="349"/>
      <c r="AE179" s="349"/>
      <c r="AF179" s="349"/>
      <c r="AG179" s="349"/>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208"/>
      <c r="BD179" s="208"/>
      <c r="BE179" s="208"/>
      <c r="BF179" s="208"/>
      <c r="BG179" s="208"/>
      <c r="BH179" s="208"/>
      <c r="BI179" s="208"/>
      <c r="BJ179" s="208"/>
      <c r="BK179" s="208"/>
      <c r="BL179" s="208"/>
      <c r="BM179" s="208"/>
      <c r="BN179" s="208"/>
      <c r="BO179" s="208"/>
      <c r="BP179" s="208"/>
      <c r="BQ179" s="208"/>
      <c r="BR179" s="208"/>
      <c r="BS179" s="208"/>
      <c r="BT179" s="208"/>
      <c r="BU179" s="208"/>
      <c r="BV179" s="208"/>
      <c r="BW179" s="208"/>
      <c r="BX179" s="208"/>
      <c r="BY179" s="208"/>
      <c r="BZ179" s="208"/>
      <c r="CA179" s="208"/>
      <c r="CB179" s="208"/>
      <c r="CC179" s="208"/>
      <c r="CD179" s="208"/>
      <c r="CE179" s="208"/>
      <c r="CF179" s="208"/>
      <c r="CG179" s="208"/>
      <c r="CH179" s="208"/>
      <c r="CI179" s="208"/>
      <c r="CJ179" s="208"/>
      <c r="CK179" s="208"/>
      <c r="CL179" s="208"/>
      <c r="CM179" s="208"/>
      <c r="CN179" s="208"/>
      <c r="CO179" s="208"/>
      <c r="CP179" s="208"/>
      <c r="CQ179" s="208"/>
      <c r="CR179" s="208"/>
      <c r="CS179" s="208"/>
      <c r="CT179" s="208"/>
      <c r="CU179" s="208"/>
      <c r="CV179" s="208"/>
      <c r="CW179" s="208"/>
      <c r="CX179" s="208"/>
      <c r="CY179" s="208"/>
      <c r="CZ179" s="208"/>
      <c r="DA179" s="208"/>
      <c r="DB179" s="208"/>
      <c r="DC179" s="208"/>
      <c r="DD179" s="208"/>
      <c r="DE179" s="208"/>
      <c r="DF179" s="208"/>
      <c r="DG179" s="208"/>
      <c r="DH179" s="208"/>
      <c r="DI179" s="208"/>
      <c r="DJ179" s="208"/>
      <c r="DK179" s="208"/>
      <c r="DL179" s="208"/>
      <c r="DM179" s="208"/>
      <c r="DN179" s="208"/>
      <c r="DO179" s="208"/>
      <c r="DP179" s="208"/>
      <c r="DQ179" s="208"/>
      <c r="DR179" s="208"/>
      <c r="DS179" s="208"/>
      <c r="DT179" s="208"/>
      <c r="DU179" s="208"/>
      <c r="DV179" s="208"/>
      <c r="DW179" s="208"/>
      <c r="DX179" s="208"/>
      <c r="DY179" s="208"/>
      <c r="DZ179" s="208"/>
      <c r="EA179" s="208"/>
      <c r="EB179" s="208"/>
      <c r="EC179" s="208"/>
      <c r="ED179" s="208"/>
      <c r="EE179" s="208"/>
      <c r="EF179" s="208"/>
      <c r="EG179" s="208"/>
      <c r="EH179" s="208"/>
      <c r="EI179" s="208"/>
      <c r="EJ179" s="208"/>
      <c r="EK179" s="208"/>
      <c r="EL179" s="208"/>
      <c r="EM179" s="208"/>
      <c r="EN179" s="208"/>
      <c r="EO179" s="208"/>
      <c r="EP179" s="208"/>
      <c r="EQ179" s="208"/>
      <c r="ER179" s="208"/>
      <c r="ES179" s="208"/>
      <c r="ET179" s="208"/>
      <c r="EU179" s="208"/>
      <c r="EV179" s="208"/>
      <c r="EW179" s="208"/>
      <c r="EX179" s="208"/>
      <c r="EY179" s="208"/>
      <c r="EZ179" s="208"/>
      <c r="FA179" s="208"/>
      <c r="FB179" s="208"/>
      <c r="FC179" s="208"/>
      <c r="FD179" s="208"/>
      <c r="FE179" s="208"/>
      <c r="FF179" s="208"/>
      <c r="FG179" s="208"/>
      <c r="FH179" s="208"/>
      <c r="FI179" s="208"/>
      <c r="FJ179" s="208"/>
      <c r="FK179" s="208"/>
      <c r="FL179" s="208"/>
      <c r="FM179" s="208"/>
      <c r="FN179" s="208"/>
      <c r="FO179" s="208"/>
      <c r="FP179" s="208"/>
      <c r="FQ179" s="208"/>
      <c r="FR179" s="208"/>
      <c r="FS179" s="208"/>
      <c r="FT179" s="208"/>
      <c r="FU179" s="208"/>
      <c r="FV179" s="208"/>
      <c r="FW179" s="208"/>
      <c r="FX179" s="208"/>
      <c r="FY179" s="208"/>
      <c r="FZ179" s="208"/>
      <c r="GA179" s="208"/>
      <c r="GB179" s="208"/>
      <c r="GC179" s="208"/>
      <c r="GD179" s="208"/>
      <c r="GE179" s="208"/>
      <c r="GF179" s="208"/>
      <c r="GG179" s="208"/>
      <c r="GH179" s="208"/>
      <c r="GI179" s="208"/>
      <c r="GJ179" s="208"/>
      <c r="GK179" s="208"/>
      <c r="GL179" s="208"/>
      <c r="GM179" s="208"/>
      <c r="GN179" s="208"/>
      <c r="GO179" s="208"/>
      <c r="GP179" s="208"/>
      <c r="GQ179" s="208"/>
      <c r="GR179" s="208"/>
      <c r="GS179" s="208"/>
      <c r="GT179" s="208"/>
      <c r="GU179" s="208"/>
      <c r="GV179" s="208"/>
      <c r="GW179" s="208"/>
      <c r="GX179" s="208"/>
      <c r="GY179" s="208"/>
      <c r="GZ179" s="208"/>
      <c r="HA179" s="208"/>
      <c r="HB179" s="208"/>
      <c r="HC179" s="208"/>
      <c r="HD179" s="208"/>
      <c r="HE179" s="208"/>
      <c r="HF179" s="208"/>
      <c r="HG179" s="208"/>
      <c r="HH179" s="208"/>
      <c r="HI179" s="208"/>
      <c r="HJ179" s="208"/>
      <c r="HK179" s="208"/>
      <c r="HL179" s="208"/>
      <c r="HM179" s="208"/>
      <c r="HN179" s="208"/>
      <c r="HO179" s="208"/>
      <c r="HP179" s="208"/>
      <c r="HQ179" s="208"/>
      <c r="HR179" s="208"/>
      <c r="HS179" s="208"/>
      <c r="HT179" s="208"/>
      <c r="HU179" s="208"/>
      <c r="HV179" s="208"/>
      <c r="HW179" s="208"/>
      <c r="HX179" s="208"/>
      <c r="HY179" s="208"/>
      <c r="HZ179" s="208"/>
      <c r="IA179" s="208"/>
      <c r="IB179" s="208"/>
      <c r="IC179" s="208"/>
      <c r="ID179" s="208"/>
      <c r="IE179" s="208"/>
      <c r="IF179" s="208"/>
      <c r="IG179" s="208"/>
      <c r="IH179" s="208"/>
      <c r="II179" s="208"/>
      <c r="IJ179" s="208"/>
      <c r="IK179" s="208"/>
      <c r="IL179" s="208"/>
      <c r="IM179" s="208"/>
      <c r="IN179" s="208"/>
      <c r="IO179" s="208"/>
      <c r="IP179" s="208"/>
      <c r="IQ179" s="208"/>
      <c r="IR179" s="208"/>
      <c r="IS179" s="208"/>
      <c r="IT179" s="208"/>
    </row>
    <row r="180" spans="1:33" s="328" customFormat="1" ht="14.25" customHeight="1">
      <c r="A180" s="332"/>
      <c r="B180" s="327">
        <f>Aprekini!B5</f>
        <v>2011</v>
      </c>
      <c r="C180" s="327">
        <f aca="true" t="shared" si="74" ref="C180:AG180">B180+1</f>
        <v>2012</v>
      </c>
      <c r="D180" s="327">
        <f t="shared" si="74"/>
        <v>2013</v>
      </c>
      <c r="E180" s="327">
        <f t="shared" si="74"/>
        <v>2014</v>
      </c>
      <c r="F180" s="637">
        <f t="shared" si="74"/>
        <v>2015</v>
      </c>
      <c r="G180" s="327">
        <f t="shared" si="74"/>
        <v>2016</v>
      </c>
      <c r="H180" s="327">
        <f t="shared" si="74"/>
        <v>2017</v>
      </c>
      <c r="I180" s="327">
        <f t="shared" si="74"/>
        <v>2018</v>
      </c>
      <c r="J180" s="327">
        <f t="shared" si="74"/>
        <v>2019</v>
      </c>
      <c r="K180" s="327">
        <f t="shared" si="74"/>
        <v>2020</v>
      </c>
      <c r="L180" s="327">
        <f t="shared" si="74"/>
        <v>2021</v>
      </c>
      <c r="M180" s="327">
        <f t="shared" si="74"/>
        <v>2022</v>
      </c>
      <c r="N180" s="327">
        <f t="shared" si="74"/>
        <v>2023</v>
      </c>
      <c r="O180" s="327">
        <f t="shared" si="74"/>
        <v>2024</v>
      </c>
      <c r="P180" s="327">
        <f t="shared" si="74"/>
        <v>2025</v>
      </c>
      <c r="Q180" s="327">
        <f t="shared" si="74"/>
        <v>2026</v>
      </c>
      <c r="R180" s="327">
        <f t="shared" si="74"/>
        <v>2027</v>
      </c>
      <c r="S180" s="327">
        <f t="shared" si="74"/>
        <v>2028</v>
      </c>
      <c r="T180" s="327">
        <f t="shared" si="74"/>
        <v>2029</v>
      </c>
      <c r="U180" s="322">
        <f t="shared" si="74"/>
        <v>2030</v>
      </c>
      <c r="V180" s="322">
        <f t="shared" si="74"/>
        <v>2031</v>
      </c>
      <c r="W180" s="322">
        <f t="shared" si="74"/>
        <v>2032</v>
      </c>
      <c r="X180" s="322">
        <f t="shared" si="74"/>
        <v>2033</v>
      </c>
      <c r="Y180" s="322">
        <f t="shared" si="74"/>
        <v>2034</v>
      </c>
      <c r="Z180" s="322">
        <f t="shared" si="74"/>
        <v>2035</v>
      </c>
      <c r="AA180" s="322">
        <f t="shared" si="74"/>
        <v>2036</v>
      </c>
      <c r="AB180" s="322">
        <f t="shared" si="74"/>
        <v>2037</v>
      </c>
      <c r="AC180" s="322">
        <f t="shared" si="74"/>
        <v>2038</v>
      </c>
      <c r="AD180" s="322">
        <f t="shared" si="74"/>
        <v>2039</v>
      </c>
      <c r="AE180" s="322">
        <f t="shared" si="74"/>
        <v>2040</v>
      </c>
      <c r="AF180" s="322">
        <f t="shared" si="74"/>
        <v>2041</v>
      </c>
      <c r="AG180" s="322">
        <f t="shared" si="74"/>
        <v>2042</v>
      </c>
    </row>
    <row r="181" spans="1:33" s="328" customFormat="1" ht="14.25" customHeight="1">
      <c r="A181" s="346" t="s">
        <v>180</v>
      </c>
      <c r="B181" s="207">
        <f>'Saimnieciskas pamatdarbibas NP'!B111</f>
        <v>0</v>
      </c>
      <c r="C181" s="207">
        <f>'Saimnieciskas pamatdarbibas NP'!C111</f>
        <v>0</v>
      </c>
      <c r="D181" s="207">
        <f>'Saimnieciskas pamatdarbibas NP'!D111</f>
        <v>-1335.4717499999997</v>
      </c>
      <c r="E181" s="207">
        <f>'Saimnieciskas pamatdarbibas NP'!E111</f>
        <v>12430.91</v>
      </c>
      <c r="F181" s="635">
        <f>'Saimnieciskas pamatdarbibas NP'!F111</f>
        <v>12186.496750000002</v>
      </c>
      <c r="G181" s="207">
        <f>'Saimnieciskas pamatdarbibas NP'!G111</f>
        <v>11903.023749999997</v>
      </c>
      <c r="H181" s="207">
        <f>'Saimnieciskas pamatdarbibas NP'!H111</f>
        <v>11807.44325</v>
      </c>
      <c r="I181" s="207">
        <f>'Saimnieciskas pamatdarbibas NP'!I111</f>
        <v>11879.731499999998</v>
      </c>
      <c r="J181" s="207">
        <f>'Saimnieciskas pamatdarbibas NP'!J111</f>
        <v>12089.560499999996</v>
      </c>
      <c r="K181" s="207">
        <f>'Saimnieciskas pamatdarbibas NP'!K111</f>
        <v>12214.98624999999</v>
      </c>
      <c r="L181" s="207">
        <f>'Saimnieciskas pamatdarbibas NP'!L111</f>
        <v>14033.437749999994</v>
      </c>
      <c r="M181" s="207">
        <f>'Saimnieciskas pamatdarbibas NP'!M111</f>
        <v>14025.213500000002</v>
      </c>
      <c r="N181" s="207">
        <f>'Saimnieciskas pamatdarbibas NP'!N111</f>
        <v>14171.170499999993</v>
      </c>
      <c r="O181" s="207">
        <f>'Saimnieciskas pamatdarbibas NP'!O111</f>
        <v>13753.44999999999</v>
      </c>
      <c r="P181" s="207">
        <f>'Saimnieciskas pamatdarbibas NP'!P111</f>
        <v>13446.289999999997</v>
      </c>
      <c r="Q181" s="207">
        <f>'Saimnieciskas pamatdarbibas NP'!Q111</f>
        <v>13348.406499999994</v>
      </c>
      <c r="R181" s="207">
        <f>'Saimnieciskas pamatdarbibas NP'!R111</f>
        <v>13819.894249999994</v>
      </c>
      <c r="S181" s="207">
        <f>'Saimnieciskas pamatdarbibas NP'!S111</f>
        <v>15261.865499999993</v>
      </c>
      <c r="T181" s="207">
        <f>'Saimnieciskas pamatdarbibas NP'!T111</f>
        <v>15378.741999999995</v>
      </c>
      <c r="U181" s="207">
        <f>'Saimnieciskas pamatdarbibas NP'!U111</f>
        <v>14898.229749999999</v>
      </c>
      <c r="V181" s="207">
        <f>'Saimnieciskas pamatdarbibas NP'!V111</f>
        <v>14576.529499999999</v>
      </c>
      <c r="W181" s="207">
        <f>'Saimnieciskas pamatdarbibas NP'!W111</f>
        <v>14027.787</v>
      </c>
      <c r="X181" s="207">
        <f>'Saimnieciskas pamatdarbibas NP'!X111</f>
        <v>13479.0445</v>
      </c>
      <c r="Y181" s="207">
        <f>'Saimnieciskas pamatdarbibas NP'!Y111</f>
        <v>13010.814500000002</v>
      </c>
      <c r="Z181" s="207">
        <f>'Saimnieciskas pamatdarbibas NP'!Z111</f>
        <v>12388.40325</v>
      </c>
      <c r="AA181" s="207">
        <f>'Saimnieciskas pamatdarbibas NP'!AA111</f>
        <v>11866.48324999999</v>
      </c>
      <c r="AB181" s="207">
        <f>'Saimnieciskas pamatdarbibas NP'!AB111</f>
        <v>11639.79075</v>
      </c>
      <c r="AC181" s="207">
        <f>'Saimnieciskas pamatdarbibas NP'!AC111</f>
        <v>11097.892000000003</v>
      </c>
      <c r="AD181" s="207">
        <f>'Saimnieciskas pamatdarbibas NP'!AD111</f>
        <v>10178.848000000002</v>
      </c>
      <c r="AE181" s="207">
        <f>'Saimnieciskas pamatdarbibas NP'!AE111</f>
        <v>10032.668</v>
      </c>
      <c r="AF181" s="207">
        <f>'Saimnieciskas pamatdarbibas NP'!AF111</f>
        <v>10047.558000000006</v>
      </c>
      <c r="AG181" s="207">
        <f>'Saimnieciskas pamatdarbibas NP'!AG111</f>
        <v>9577.069999999989</v>
      </c>
    </row>
    <row r="182" spans="1:33" s="328" customFormat="1" ht="14.25" customHeight="1">
      <c r="A182" s="994" t="s">
        <v>554</v>
      </c>
      <c r="B182" s="207">
        <f>B104</f>
        <v>0</v>
      </c>
      <c r="C182" s="207">
        <f aca="true" t="shared" si="75" ref="C182:AG182">C104</f>
        <v>0</v>
      </c>
      <c r="D182" s="207">
        <f t="shared" si="75"/>
        <v>0</v>
      </c>
      <c r="E182" s="207">
        <f t="shared" si="75"/>
        <v>0</v>
      </c>
      <c r="F182" s="207">
        <f t="shared" si="75"/>
        <v>0</v>
      </c>
      <c r="G182" s="207">
        <f t="shared" si="75"/>
        <v>0</v>
      </c>
      <c r="H182" s="207">
        <f t="shared" si="75"/>
        <v>0</v>
      </c>
      <c r="I182" s="207">
        <f t="shared" si="75"/>
        <v>0</v>
      </c>
      <c r="J182" s="207">
        <f t="shared" si="75"/>
        <v>0</v>
      </c>
      <c r="K182" s="207">
        <f t="shared" si="75"/>
        <v>0</v>
      </c>
      <c r="L182" s="207">
        <f t="shared" si="75"/>
        <v>0</v>
      </c>
      <c r="M182" s="207">
        <f t="shared" si="75"/>
        <v>0</v>
      </c>
      <c r="N182" s="207">
        <f t="shared" si="75"/>
        <v>0</v>
      </c>
      <c r="O182" s="207">
        <f t="shared" si="75"/>
        <v>0</v>
      </c>
      <c r="P182" s="207">
        <f t="shared" si="75"/>
        <v>0</v>
      </c>
      <c r="Q182" s="207">
        <f t="shared" si="75"/>
        <v>0</v>
      </c>
      <c r="R182" s="207">
        <f t="shared" si="75"/>
        <v>0</v>
      </c>
      <c r="S182" s="207">
        <f t="shared" si="75"/>
        <v>0</v>
      </c>
      <c r="T182" s="207">
        <f t="shared" si="75"/>
        <v>0</v>
      </c>
      <c r="U182" s="207">
        <f t="shared" si="75"/>
        <v>0</v>
      </c>
      <c r="V182" s="207">
        <f t="shared" si="75"/>
        <v>0</v>
      </c>
      <c r="W182" s="207">
        <f t="shared" si="75"/>
        <v>0</v>
      </c>
      <c r="X182" s="207">
        <f t="shared" si="75"/>
        <v>0</v>
      </c>
      <c r="Y182" s="207">
        <f t="shared" si="75"/>
        <v>0</v>
      </c>
      <c r="Z182" s="207">
        <f t="shared" si="75"/>
        <v>0</v>
      </c>
      <c r="AA182" s="207">
        <f t="shared" si="75"/>
        <v>0</v>
      </c>
      <c r="AB182" s="207">
        <f t="shared" si="75"/>
        <v>0</v>
      </c>
      <c r="AC182" s="207">
        <f t="shared" si="75"/>
        <v>0</v>
      </c>
      <c r="AD182" s="207">
        <f t="shared" si="75"/>
        <v>0</v>
      </c>
      <c r="AE182" s="207">
        <f t="shared" si="75"/>
        <v>0</v>
      </c>
      <c r="AF182" s="207">
        <f t="shared" si="75"/>
        <v>0</v>
      </c>
      <c r="AG182" s="207">
        <f t="shared" si="75"/>
        <v>239518</v>
      </c>
    </row>
    <row r="183" spans="1:33" s="328" customFormat="1" ht="12.75">
      <c r="A183" s="324" t="s">
        <v>255</v>
      </c>
      <c r="B183" s="325">
        <f>SUM(B181:B182)</f>
        <v>0</v>
      </c>
      <c r="C183" s="325">
        <f aca="true" t="shared" si="76" ref="C183:AG183">SUM(C181:C182)</f>
        <v>0</v>
      </c>
      <c r="D183" s="325">
        <f t="shared" si="76"/>
        <v>-1335.4717499999997</v>
      </c>
      <c r="E183" s="325">
        <f t="shared" si="76"/>
        <v>12430.91</v>
      </c>
      <c r="F183" s="325">
        <f t="shared" si="76"/>
        <v>12186.496750000002</v>
      </c>
      <c r="G183" s="325">
        <f t="shared" si="76"/>
        <v>11903.023749999997</v>
      </c>
      <c r="H183" s="325">
        <f t="shared" si="76"/>
        <v>11807.44325</v>
      </c>
      <c r="I183" s="325">
        <f t="shared" si="76"/>
        <v>11879.731499999998</v>
      </c>
      <c r="J183" s="325">
        <f t="shared" si="76"/>
        <v>12089.560499999996</v>
      </c>
      <c r="K183" s="325">
        <f t="shared" si="76"/>
        <v>12214.98624999999</v>
      </c>
      <c r="L183" s="325">
        <f t="shared" si="76"/>
        <v>14033.437749999994</v>
      </c>
      <c r="M183" s="325">
        <f t="shared" si="76"/>
        <v>14025.213500000002</v>
      </c>
      <c r="N183" s="325">
        <f t="shared" si="76"/>
        <v>14171.170499999993</v>
      </c>
      <c r="O183" s="325">
        <f t="shared" si="76"/>
        <v>13753.44999999999</v>
      </c>
      <c r="P183" s="325">
        <f t="shared" si="76"/>
        <v>13446.289999999997</v>
      </c>
      <c r="Q183" s="325">
        <f t="shared" si="76"/>
        <v>13348.406499999994</v>
      </c>
      <c r="R183" s="325">
        <f t="shared" si="76"/>
        <v>13819.894249999994</v>
      </c>
      <c r="S183" s="325">
        <f t="shared" si="76"/>
        <v>15261.865499999993</v>
      </c>
      <c r="T183" s="325">
        <f t="shared" si="76"/>
        <v>15378.741999999995</v>
      </c>
      <c r="U183" s="325">
        <f t="shared" si="76"/>
        <v>14898.229749999999</v>
      </c>
      <c r="V183" s="325">
        <f t="shared" si="76"/>
        <v>14576.529499999999</v>
      </c>
      <c r="W183" s="325">
        <f t="shared" si="76"/>
        <v>14027.787</v>
      </c>
      <c r="X183" s="325">
        <f t="shared" si="76"/>
        <v>13479.0445</v>
      </c>
      <c r="Y183" s="325">
        <f t="shared" si="76"/>
        <v>13010.814500000002</v>
      </c>
      <c r="Z183" s="325">
        <f t="shared" si="76"/>
        <v>12388.40325</v>
      </c>
      <c r="AA183" s="325">
        <f t="shared" si="76"/>
        <v>11866.48324999999</v>
      </c>
      <c r="AB183" s="325">
        <f t="shared" si="76"/>
        <v>11639.79075</v>
      </c>
      <c r="AC183" s="325">
        <f t="shared" si="76"/>
        <v>11097.892000000003</v>
      </c>
      <c r="AD183" s="325">
        <f t="shared" si="76"/>
        <v>10178.848000000002</v>
      </c>
      <c r="AE183" s="325">
        <f t="shared" si="76"/>
        <v>10032.668</v>
      </c>
      <c r="AF183" s="325">
        <f t="shared" si="76"/>
        <v>10047.558000000006</v>
      </c>
      <c r="AG183" s="325">
        <f t="shared" si="76"/>
        <v>249095.06999999998</v>
      </c>
    </row>
    <row r="184" spans="1:33" s="328" customFormat="1" ht="12.75">
      <c r="A184" s="206" t="s">
        <v>256</v>
      </c>
      <c r="B184" s="207">
        <f>'Saimnieciskas pamatdarbibas NP'!B102</f>
        <v>0</v>
      </c>
      <c r="C184" s="207">
        <f>'Saimnieciskas pamatdarbibas NP'!C102</f>
        <v>0</v>
      </c>
      <c r="D184" s="207">
        <f>'Saimnieciskas pamatdarbibas NP'!D102</f>
        <v>-2750</v>
      </c>
      <c r="E184" s="207">
        <f>'Saimnieciskas pamatdarbibas NP'!E102</f>
        <v>-9079.55</v>
      </c>
      <c r="F184" s="635">
        <f>'Saimnieciskas pamatdarbibas NP'!F102</f>
        <v>-9895.913999999999</v>
      </c>
      <c r="G184" s="207">
        <f>'Saimnieciskas pamatdarbibas NP'!G102</f>
        <v>-10077.505000000003</v>
      </c>
      <c r="H184" s="207">
        <f>'Saimnieciskas pamatdarbibas NP'!H102</f>
        <v>-10259.096</v>
      </c>
      <c r="I184" s="207">
        <f>'Saimnieciskas pamatdarbibas NP'!I102</f>
        <v>-10440.686999999996</v>
      </c>
      <c r="J184" s="207">
        <f>'Saimnieciskas pamatdarbibas NP'!J102</f>
        <v>-10622.278000000002</v>
      </c>
      <c r="K184" s="207">
        <f>'Saimnieciskas pamatdarbibas NP'!K102</f>
        <v>-10803.869</v>
      </c>
      <c r="L184" s="207">
        <f>'Saimnieciskas pamatdarbibas NP'!L102</f>
        <v>-10985.46</v>
      </c>
      <c r="M184" s="207">
        <f>'Saimnieciskas pamatdarbibas NP'!M102</f>
        <v>-11167.051000000003</v>
      </c>
      <c r="N184" s="207">
        <f>'Saimnieciskas pamatdarbibas NP'!N102</f>
        <v>-11348.642</v>
      </c>
      <c r="O184" s="207">
        <f>'Saimnieciskas pamatdarbibas NP'!O102</f>
        <v>-11575.233</v>
      </c>
      <c r="P184" s="207">
        <f>'Saimnieciskas pamatdarbibas NP'!P102</f>
        <v>-11847.6195</v>
      </c>
      <c r="Q184" s="207">
        <f>'Saimnieciskas pamatdarbibas NP'!Q102</f>
        <v>-12120.006</v>
      </c>
      <c r="R184" s="207">
        <f>'Saimnieciskas pamatdarbibas NP'!R102</f>
        <v>-12392.392499999996</v>
      </c>
      <c r="S184" s="207">
        <f>'Saimnieciskas pamatdarbibas NP'!S102</f>
        <v>-12664.779</v>
      </c>
      <c r="T184" s="207">
        <f>'Saimnieciskas pamatdarbibas NP'!T102</f>
        <v>-12937.1655</v>
      </c>
      <c r="U184" s="207">
        <f>'Saimnieciskas pamatdarbibas NP'!U102</f>
        <v>-13209.552</v>
      </c>
      <c r="V184" s="207">
        <f>'Saimnieciskas pamatdarbibas NP'!V102</f>
        <v>-13481.938500000002</v>
      </c>
      <c r="W184" s="207">
        <f>'Saimnieciskas pamatdarbibas NP'!W102</f>
        <v>-13754.325</v>
      </c>
      <c r="X184" s="207">
        <f>'Saimnieciskas pamatdarbibas NP'!X102</f>
        <v>-14026.7115</v>
      </c>
      <c r="Y184" s="207">
        <f>'Saimnieciskas pamatdarbibas NP'!Y102</f>
        <v>-14299.098</v>
      </c>
      <c r="Z184" s="207">
        <f>'Saimnieciskas pamatdarbibas NP'!Z102</f>
        <v>-14571.4845</v>
      </c>
      <c r="AA184" s="207">
        <f>'Saimnieciskas pamatdarbibas NP'!AA102</f>
        <v>-14843.871</v>
      </c>
      <c r="AB184" s="207">
        <f>'Saimnieciskas pamatdarbibas NP'!AB102</f>
        <v>-15116.2575</v>
      </c>
      <c r="AC184" s="207">
        <f>'Saimnieciskas pamatdarbibas NP'!AC102</f>
        <v>-15388.644</v>
      </c>
      <c r="AD184" s="207">
        <f>'Saimnieciskas pamatdarbibas NP'!AD102</f>
        <v>-15661.0305</v>
      </c>
      <c r="AE184" s="207">
        <f>'Saimnieciskas pamatdarbibas NP'!AE102</f>
        <v>-15933.417000000003</v>
      </c>
      <c r="AF184" s="207">
        <f>'Saimnieciskas pamatdarbibas NP'!AF102</f>
        <v>-16250.8035</v>
      </c>
      <c r="AG184" s="207">
        <f>'Saimnieciskas pamatdarbibas NP'!AG102</f>
        <v>-16613.985499999995</v>
      </c>
    </row>
    <row r="185" spans="1:33" s="328" customFormat="1" ht="12.75">
      <c r="A185" s="324" t="s">
        <v>246</v>
      </c>
      <c r="B185" s="325">
        <f>Aprekini!B140</f>
        <v>0</v>
      </c>
      <c r="C185" s="325">
        <f>Aprekini!C140</f>
        <v>133620</v>
      </c>
      <c r="D185" s="325">
        <f>Aprekini!D140</f>
        <v>584532</v>
      </c>
      <c r="E185" s="350">
        <f>Aprekini!E140</f>
        <v>0</v>
      </c>
      <c r="F185" s="636">
        <f>Aprekini!F140</f>
        <v>0</v>
      </c>
      <c r="G185" s="325">
        <f>Aprekini!G140</f>
        <v>0</v>
      </c>
      <c r="H185" s="325">
        <f>Aprekini!H140</f>
        <v>0</v>
      </c>
      <c r="I185" s="325">
        <f>Aprekini!I140</f>
        <v>0</v>
      </c>
      <c r="J185" s="325">
        <f>Aprekini!J140</f>
        <v>0</v>
      </c>
      <c r="K185" s="325">
        <f>Aprekini!K140</f>
        <v>0</v>
      </c>
      <c r="L185" s="325">
        <f>Aprekini!L140</f>
        <v>0</v>
      </c>
      <c r="M185" s="325">
        <f>Aprekini!M140</f>
        <v>0</v>
      </c>
      <c r="N185" s="325">
        <f>Aprekini!N140</f>
        <v>0</v>
      </c>
      <c r="O185" s="325">
        <f>Aprekini!O140</f>
        <v>0</v>
      </c>
      <c r="P185" s="325">
        <f>Aprekini!P140</f>
        <v>0</v>
      </c>
      <c r="Q185" s="325">
        <f>Aprekini!Q140</f>
        <v>0</v>
      </c>
      <c r="R185" s="325">
        <f>Aprekini!R140</f>
        <v>0</v>
      </c>
      <c r="S185" s="325">
        <f>Aprekini!S140</f>
        <v>0</v>
      </c>
      <c r="T185" s="325">
        <f>Aprekini!T140</f>
        <v>0</v>
      </c>
      <c r="U185" s="325">
        <f>Aprekini!U140</f>
        <v>0</v>
      </c>
      <c r="V185" s="325">
        <f>Aprekini!V140</f>
        <v>0</v>
      </c>
      <c r="W185" s="325">
        <f>Aprekini!W140</f>
        <v>0</v>
      </c>
      <c r="X185" s="325">
        <f>Aprekini!X140</f>
        <v>0</v>
      </c>
      <c r="Y185" s="325">
        <f>Aprekini!Y140</f>
        <v>0</v>
      </c>
      <c r="Z185" s="325">
        <f>Aprekini!Z140</f>
        <v>0</v>
      </c>
      <c r="AA185" s="325">
        <f>Aprekini!AA140</f>
        <v>0</v>
      </c>
      <c r="AB185" s="325">
        <f>Aprekini!AB140</f>
        <v>0</v>
      </c>
      <c r="AC185" s="325">
        <f>Aprekini!AC140</f>
        <v>0</v>
      </c>
      <c r="AD185" s="325">
        <f>Aprekini!AD140</f>
        <v>0</v>
      </c>
      <c r="AE185" s="325">
        <f>Aprekini!AE140</f>
        <v>0</v>
      </c>
      <c r="AF185" s="325">
        <f>Aprekini!AF140</f>
        <v>0</v>
      </c>
      <c r="AG185" s="325">
        <f>Aprekini!AG140</f>
        <v>0</v>
      </c>
    </row>
    <row r="186" spans="1:33" s="328" customFormat="1" ht="12.75">
      <c r="A186" s="324" t="s">
        <v>257</v>
      </c>
      <c r="B186" s="325">
        <f aca="true" t="shared" si="77" ref="B186:AG186">SUM(B184:B185)</f>
        <v>0</v>
      </c>
      <c r="C186" s="325">
        <f t="shared" si="77"/>
        <v>133620</v>
      </c>
      <c r="D186" s="325">
        <f t="shared" si="77"/>
        <v>581782</v>
      </c>
      <c r="E186" s="325">
        <f t="shared" si="77"/>
        <v>-9079.55</v>
      </c>
      <c r="F186" s="636">
        <f t="shared" si="77"/>
        <v>-9895.913999999999</v>
      </c>
      <c r="G186" s="325">
        <f t="shared" si="77"/>
        <v>-10077.505000000003</v>
      </c>
      <c r="H186" s="325">
        <f t="shared" si="77"/>
        <v>-10259.096</v>
      </c>
      <c r="I186" s="325">
        <f t="shared" si="77"/>
        <v>-10440.686999999996</v>
      </c>
      <c r="J186" s="325">
        <f t="shared" si="77"/>
        <v>-10622.278000000002</v>
      </c>
      <c r="K186" s="325">
        <f t="shared" si="77"/>
        <v>-10803.869</v>
      </c>
      <c r="L186" s="325">
        <f t="shared" si="77"/>
        <v>-10985.46</v>
      </c>
      <c r="M186" s="325">
        <f t="shared" si="77"/>
        <v>-11167.051000000003</v>
      </c>
      <c r="N186" s="325">
        <f t="shared" si="77"/>
        <v>-11348.642</v>
      </c>
      <c r="O186" s="325">
        <f t="shared" si="77"/>
        <v>-11575.233</v>
      </c>
      <c r="P186" s="325">
        <f t="shared" si="77"/>
        <v>-11847.6195</v>
      </c>
      <c r="Q186" s="325">
        <f t="shared" si="77"/>
        <v>-12120.006</v>
      </c>
      <c r="R186" s="325">
        <f t="shared" si="77"/>
        <v>-12392.392499999996</v>
      </c>
      <c r="S186" s="325">
        <f t="shared" si="77"/>
        <v>-12664.779</v>
      </c>
      <c r="T186" s="325">
        <f t="shared" si="77"/>
        <v>-12937.1655</v>
      </c>
      <c r="U186" s="325">
        <f t="shared" si="77"/>
        <v>-13209.552</v>
      </c>
      <c r="V186" s="325">
        <f t="shared" si="77"/>
        <v>-13481.938500000002</v>
      </c>
      <c r="W186" s="325">
        <f t="shared" si="77"/>
        <v>-13754.325</v>
      </c>
      <c r="X186" s="325">
        <f t="shared" si="77"/>
        <v>-14026.7115</v>
      </c>
      <c r="Y186" s="325">
        <f t="shared" si="77"/>
        <v>-14299.098</v>
      </c>
      <c r="Z186" s="325">
        <f t="shared" si="77"/>
        <v>-14571.4845</v>
      </c>
      <c r="AA186" s="325">
        <f t="shared" si="77"/>
        <v>-14843.871</v>
      </c>
      <c r="AB186" s="325">
        <f t="shared" si="77"/>
        <v>-15116.2575</v>
      </c>
      <c r="AC186" s="325">
        <f t="shared" si="77"/>
        <v>-15388.644</v>
      </c>
      <c r="AD186" s="325">
        <f t="shared" si="77"/>
        <v>-15661.0305</v>
      </c>
      <c r="AE186" s="325">
        <f t="shared" si="77"/>
        <v>-15933.417000000003</v>
      </c>
      <c r="AF186" s="325">
        <f t="shared" si="77"/>
        <v>-16250.8035</v>
      </c>
      <c r="AG186" s="325">
        <f t="shared" si="77"/>
        <v>-16613.985499999995</v>
      </c>
    </row>
    <row r="187" spans="1:33" s="328" customFormat="1" ht="12.75">
      <c r="A187" s="351" t="s">
        <v>258</v>
      </c>
      <c r="B187" s="352">
        <f aca="true" t="shared" si="78" ref="B187:AG187">B183-B186</f>
        <v>0</v>
      </c>
      <c r="C187" s="352">
        <f t="shared" si="78"/>
        <v>-133620</v>
      </c>
      <c r="D187" s="352">
        <f t="shared" si="78"/>
        <v>-583117.47175</v>
      </c>
      <c r="E187" s="352">
        <f t="shared" si="78"/>
        <v>21510.46</v>
      </c>
      <c r="F187" s="641">
        <f t="shared" si="78"/>
        <v>22082.410750000003</v>
      </c>
      <c r="G187" s="352">
        <f t="shared" si="78"/>
        <v>21980.528749999998</v>
      </c>
      <c r="H187" s="352">
        <f t="shared" si="78"/>
        <v>22066.53925</v>
      </c>
      <c r="I187" s="352">
        <f t="shared" si="78"/>
        <v>22320.418499999992</v>
      </c>
      <c r="J187" s="352">
        <f t="shared" si="78"/>
        <v>22711.838499999998</v>
      </c>
      <c r="K187" s="352">
        <f t="shared" si="78"/>
        <v>23018.855249999993</v>
      </c>
      <c r="L187" s="352">
        <f t="shared" si="78"/>
        <v>25018.897749999993</v>
      </c>
      <c r="M187" s="352">
        <f t="shared" si="78"/>
        <v>25192.264500000005</v>
      </c>
      <c r="N187" s="352">
        <f t="shared" si="78"/>
        <v>25519.812499999993</v>
      </c>
      <c r="O187" s="352">
        <f t="shared" si="78"/>
        <v>25328.68299999999</v>
      </c>
      <c r="P187" s="352">
        <f t="shared" si="78"/>
        <v>25293.909499999998</v>
      </c>
      <c r="Q187" s="352">
        <f t="shared" si="78"/>
        <v>25468.41249999999</v>
      </c>
      <c r="R187" s="352">
        <f t="shared" si="78"/>
        <v>26212.286749999992</v>
      </c>
      <c r="S187" s="352">
        <f t="shared" si="78"/>
        <v>27926.644499999995</v>
      </c>
      <c r="T187" s="352">
        <f t="shared" si="78"/>
        <v>28315.907499999994</v>
      </c>
      <c r="U187" s="352">
        <f t="shared" si="78"/>
        <v>28107.78175</v>
      </c>
      <c r="V187" s="352">
        <f t="shared" si="78"/>
        <v>28058.468</v>
      </c>
      <c r="W187" s="352">
        <f t="shared" si="78"/>
        <v>27782.112</v>
      </c>
      <c r="X187" s="352">
        <f t="shared" si="78"/>
        <v>27505.756</v>
      </c>
      <c r="Y187" s="352">
        <f t="shared" si="78"/>
        <v>27309.912500000002</v>
      </c>
      <c r="Z187" s="352">
        <f t="shared" si="78"/>
        <v>26959.88775</v>
      </c>
      <c r="AA187" s="352">
        <f t="shared" si="78"/>
        <v>26710.35424999999</v>
      </c>
      <c r="AB187" s="352">
        <f t="shared" si="78"/>
        <v>26756.04825</v>
      </c>
      <c r="AC187" s="352">
        <f t="shared" si="78"/>
        <v>26486.536000000004</v>
      </c>
      <c r="AD187" s="352">
        <f t="shared" si="78"/>
        <v>25839.878500000003</v>
      </c>
      <c r="AE187" s="352">
        <f t="shared" si="78"/>
        <v>25966.085000000003</v>
      </c>
      <c r="AF187" s="352">
        <f t="shared" si="78"/>
        <v>26298.361500000006</v>
      </c>
      <c r="AG187" s="352">
        <f t="shared" si="78"/>
        <v>265709.05549999996</v>
      </c>
    </row>
    <row r="188" spans="1:33" s="328" customFormat="1" ht="25.5">
      <c r="A188" s="306" t="s">
        <v>259</v>
      </c>
      <c r="B188" s="353"/>
      <c r="C188" s="353"/>
      <c r="D188" s="353"/>
      <c r="E188" s="353"/>
      <c r="F188" s="642"/>
      <c r="G188" s="353"/>
      <c r="H188" s="354"/>
      <c r="I188" s="353"/>
      <c r="J188" s="353"/>
      <c r="K188" s="353"/>
      <c r="L188" s="353"/>
      <c r="M188" s="542">
        <f>IF(ISERROR(IRR(C187:AG187,0)),"Nevar aprēķināt",IRR(C187:AG187,0))</f>
        <v>0.017243314699086777</v>
      </c>
      <c r="N188" s="353"/>
      <c r="O188" s="353"/>
      <c r="P188" s="354"/>
      <c r="Q188" s="355"/>
      <c r="R188" s="353"/>
      <c r="S188" s="353"/>
      <c r="T188" s="353"/>
      <c r="U188" s="353"/>
      <c r="V188" s="353"/>
      <c r="W188" s="353"/>
      <c r="X188" s="353"/>
      <c r="Y188" s="353"/>
      <c r="Z188" s="353"/>
      <c r="AA188" s="353"/>
      <c r="AB188" s="353"/>
      <c r="AC188" s="353"/>
      <c r="AD188" s="353"/>
      <c r="AE188" s="353"/>
      <c r="AF188" s="353"/>
      <c r="AG188" s="356"/>
    </row>
    <row r="189" spans="1:33" s="328" customFormat="1" ht="25.5">
      <c r="A189" s="306" t="s">
        <v>260</v>
      </c>
      <c r="B189" s="354"/>
      <c r="C189" s="354"/>
      <c r="D189" s="354"/>
      <c r="E189" s="354"/>
      <c r="F189" s="643"/>
      <c r="G189" s="354"/>
      <c r="H189" s="354"/>
      <c r="I189" s="354"/>
      <c r="J189" s="354"/>
      <c r="K189" s="354"/>
      <c r="L189" s="354"/>
      <c r="M189" s="555">
        <f>NPV('Datu ievade'!B432,C187:AG187)</f>
        <v>-341687.94132043724</v>
      </c>
      <c r="N189" s="354"/>
      <c r="O189" s="354"/>
      <c r="P189" s="354"/>
      <c r="Q189" s="357"/>
      <c r="R189" s="354"/>
      <c r="S189" s="354"/>
      <c r="T189" s="354"/>
      <c r="U189" s="354"/>
      <c r="V189" s="354"/>
      <c r="W189" s="354"/>
      <c r="X189" s="354"/>
      <c r="Y189" s="354"/>
      <c r="Z189" s="354"/>
      <c r="AA189" s="354"/>
      <c r="AB189" s="354"/>
      <c r="AC189" s="354"/>
      <c r="AD189" s="354"/>
      <c r="AE189" s="354"/>
      <c r="AF189" s="354"/>
      <c r="AG189" s="358"/>
    </row>
    <row r="190" spans="1:26" s="328" customFormat="1" ht="12.75">
      <c r="A190" s="290"/>
      <c r="B190" s="359"/>
      <c r="C190" s="359"/>
      <c r="D190" s="359"/>
      <c r="E190" s="359"/>
      <c r="F190" s="644"/>
      <c r="G190" s="359"/>
      <c r="H190" s="359"/>
      <c r="I190" s="359"/>
      <c r="J190" s="359"/>
      <c r="K190" s="359"/>
      <c r="L190" s="359"/>
      <c r="M190" s="360"/>
      <c r="N190" s="359"/>
      <c r="O190" s="359"/>
      <c r="P190" s="359"/>
      <c r="Q190" s="360"/>
      <c r="R190" s="359"/>
      <c r="S190" s="359"/>
      <c r="T190" s="359"/>
      <c r="U190" s="359"/>
      <c r="V190" s="359"/>
      <c r="W190" s="359"/>
      <c r="X190" s="359"/>
      <c r="Y190" s="359"/>
      <c r="Z190" s="359"/>
    </row>
    <row r="191" spans="1:26" s="328" customFormat="1" ht="12.75">
      <c r="A191" s="361"/>
      <c r="C191" s="359"/>
      <c r="D191" s="359"/>
      <c r="E191" s="359"/>
      <c r="F191" s="644"/>
      <c r="G191" s="359"/>
      <c r="H191" s="359"/>
      <c r="I191" s="359"/>
      <c r="J191" s="359"/>
      <c r="K191" s="359"/>
      <c r="L191" s="359"/>
      <c r="M191" s="360"/>
      <c r="N191" s="359"/>
      <c r="O191" s="359"/>
      <c r="P191" s="359"/>
      <c r="Q191" s="360"/>
      <c r="R191" s="359"/>
      <c r="S191" s="359"/>
      <c r="T191" s="359"/>
      <c r="U191" s="359"/>
      <c r="V191" s="359"/>
      <c r="W191" s="359"/>
      <c r="X191" s="359"/>
      <c r="Y191" s="359"/>
      <c r="Z191" s="359"/>
    </row>
    <row r="192" spans="1:6" s="328" customFormat="1" ht="25.5">
      <c r="A192" s="362" t="s">
        <v>261</v>
      </c>
      <c r="F192" s="645"/>
    </row>
    <row r="193" spans="1:6" s="328" customFormat="1" ht="12.75" hidden="1" outlineLevel="1">
      <c r="A193" s="311"/>
      <c r="F193" s="645"/>
    </row>
    <row r="194" spans="1:6" s="328" customFormat="1" ht="13.5" hidden="1" outlineLevel="1">
      <c r="A194" s="363" t="s">
        <v>262</v>
      </c>
      <c r="F194" s="645"/>
    </row>
    <row r="195" spans="1:33" s="328" customFormat="1" ht="12.75" collapsed="1">
      <c r="A195" s="206"/>
      <c r="B195" s="321">
        <f>Aprekini!B5</f>
        <v>2011</v>
      </c>
      <c r="C195" s="321">
        <f aca="true" t="shared" si="79" ref="C195:AG195">B195+1</f>
        <v>2012</v>
      </c>
      <c r="D195" s="321">
        <f t="shared" si="79"/>
        <v>2013</v>
      </c>
      <c r="E195" s="321">
        <f t="shared" si="79"/>
        <v>2014</v>
      </c>
      <c r="F195" s="634">
        <f t="shared" si="79"/>
        <v>2015</v>
      </c>
      <c r="G195" s="321">
        <f t="shared" si="79"/>
        <v>2016</v>
      </c>
      <c r="H195" s="321">
        <f t="shared" si="79"/>
        <v>2017</v>
      </c>
      <c r="I195" s="321">
        <f t="shared" si="79"/>
        <v>2018</v>
      </c>
      <c r="J195" s="321">
        <f t="shared" si="79"/>
        <v>2019</v>
      </c>
      <c r="K195" s="321">
        <f t="shared" si="79"/>
        <v>2020</v>
      </c>
      <c r="L195" s="321">
        <f t="shared" si="79"/>
        <v>2021</v>
      </c>
      <c r="M195" s="321">
        <f t="shared" si="79"/>
        <v>2022</v>
      </c>
      <c r="N195" s="321">
        <f t="shared" si="79"/>
        <v>2023</v>
      </c>
      <c r="O195" s="321">
        <f t="shared" si="79"/>
        <v>2024</v>
      </c>
      <c r="P195" s="321">
        <f t="shared" si="79"/>
        <v>2025</v>
      </c>
      <c r="Q195" s="321">
        <f t="shared" si="79"/>
        <v>2026</v>
      </c>
      <c r="R195" s="321">
        <f t="shared" si="79"/>
        <v>2027</v>
      </c>
      <c r="S195" s="321">
        <f t="shared" si="79"/>
        <v>2028</v>
      </c>
      <c r="T195" s="321">
        <f t="shared" si="79"/>
        <v>2029</v>
      </c>
      <c r="U195" s="321">
        <f t="shared" si="79"/>
        <v>2030</v>
      </c>
      <c r="V195" s="321">
        <f t="shared" si="79"/>
        <v>2031</v>
      </c>
      <c r="W195" s="321">
        <f t="shared" si="79"/>
        <v>2032</v>
      </c>
      <c r="X195" s="321">
        <f t="shared" si="79"/>
        <v>2033</v>
      </c>
      <c r="Y195" s="321">
        <f t="shared" si="79"/>
        <v>2034</v>
      </c>
      <c r="Z195" s="321">
        <f t="shared" si="79"/>
        <v>2035</v>
      </c>
      <c r="AA195" s="321">
        <f t="shared" si="79"/>
        <v>2036</v>
      </c>
      <c r="AB195" s="321">
        <f t="shared" si="79"/>
        <v>2037</v>
      </c>
      <c r="AC195" s="321">
        <f t="shared" si="79"/>
        <v>2038</v>
      </c>
      <c r="AD195" s="321">
        <f t="shared" si="79"/>
        <v>2039</v>
      </c>
      <c r="AE195" s="321">
        <f t="shared" si="79"/>
        <v>2040</v>
      </c>
      <c r="AF195" s="321">
        <f t="shared" si="79"/>
        <v>2041</v>
      </c>
      <c r="AG195" s="321">
        <f t="shared" si="79"/>
        <v>2042</v>
      </c>
    </row>
    <row r="196" spans="1:33" s="366" customFormat="1" ht="25.5">
      <c r="A196" s="364" t="s">
        <v>263</v>
      </c>
      <c r="B196" s="365" t="str">
        <f>IF(Aprekini!B316=0,"-",Aprekini!B304/Aprekini!B316)</f>
        <v>-</v>
      </c>
      <c r="C196" s="365" t="str">
        <f>IF(Aprekini!C316=0,"-",Aprekini!C304/Aprekini!C316)</f>
        <v>-</v>
      </c>
      <c r="D196" s="365" t="str">
        <f>IF(Aprekini!D316=0,"-",Aprekini!D304/Aprekini!D316)</f>
        <v>-</v>
      </c>
      <c r="E196" s="365">
        <f>IF(Aprekini!E316=0,"-",Aprekini!E304/Aprekini!E316)</f>
        <v>7.623731341563677</v>
      </c>
      <c r="F196" s="646">
        <f>IF(Aprekini!F316=0,"-",Aprekini!F304/Aprekini!F316)</f>
        <v>6.731824780225584</v>
      </c>
      <c r="G196" s="365">
        <f>IF(Aprekini!G316=0,"-",Aprekini!G304/Aprekini!G316)</f>
        <v>5.915675872863197</v>
      </c>
      <c r="H196" s="365">
        <f>IF(Aprekini!H316=0,"-",Aprekini!H304/Aprekini!H316)</f>
        <v>5.195808847781649</v>
      </c>
      <c r="I196" s="365">
        <f>IF(Aprekini!I316=0,"-",Aprekini!I304/Aprekini!I316)</f>
        <v>4.598607785208997</v>
      </c>
      <c r="J196" s="365">
        <f>IF(Aprekini!J316=0,"-",Aprekini!J304/Aprekini!J316)</f>
        <v>4.088884080457906</v>
      </c>
      <c r="K196" s="365">
        <f>IF(Aprekini!K316=0,"-",Aprekini!K304/Aprekini!K316)</f>
        <v>3.6754422579876533</v>
      </c>
      <c r="L196" s="365">
        <f>IF(Aprekini!L316=0,"-",Aprekini!L304/Aprekini!L316)</f>
        <v>3.3875914084628005</v>
      </c>
      <c r="M196" s="365">
        <f>IF(Aprekini!M316=0,"-",Aprekini!M304/Aprekini!M316)</f>
        <v>3.213611828037492</v>
      </c>
      <c r="N196" s="365">
        <f>IF(Aprekini!N316=0,"-",Aprekini!N304/Aprekini!N316)</f>
        <v>3.1622982101210786</v>
      </c>
      <c r="O196" s="365">
        <f>IF(Aprekini!O316=0,"-",Aprekini!O304/Aprekini!O316)</f>
        <v>3.537156351841447</v>
      </c>
      <c r="P196" s="365">
        <f>IF(Aprekini!P316=0,"-",Aprekini!P304/Aprekini!P316)</f>
        <v>3.6567750148713922</v>
      </c>
      <c r="Q196" s="365">
        <f>IF(Aprekini!Q316=0,"-",Aprekini!Q304/Aprekini!Q316)</f>
        <v>3.899234647166993</v>
      </c>
      <c r="R196" s="365">
        <f>IF(Aprekini!R316=0,"-",Aprekini!R304/Aprekini!R316)</f>
        <v>4.271064881262139</v>
      </c>
      <c r="S196" s="365">
        <f>IF(Aprekini!S316=0,"-",Aprekini!S304/Aprekini!S316)</f>
        <v>4.824486359093218</v>
      </c>
      <c r="T196" s="365">
        <f>IF(Aprekini!T316=0,"-",Aprekini!T304/Aprekini!T316)</f>
        <v>9.57985169497622</v>
      </c>
      <c r="U196" s="365">
        <f>IF(Aprekini!U316=0,"-",Aprekini!U304/Aprekini!U316)</f>
        <v>10.914040180197002</v>
      </c>
      <c r="V196" s="365">
        <f>IF(Aprekini!V316=0,"-",Aprekini!V304/Aprekini!V316)</f>
        <v>12.435194653447349</v>
      </c>
      <c r="W196" s="365">
        <f>IF(Aprekini!W316=0,"-",Aprekini!W304/Aprekini!W316)</f>
        <v>14.069753061489854</v>
      </c>
      <c r="X196" s="365">
        <f>IF(Aprekini!X316=0,"-",Aprekini!X304/Aprekini!X316)</f>
        <v>15.817715404324522</v>
      </c>
      <c r="Y196" s="365">
        <f>IF(Aprekini!Y316=0,"-",Aprekini!Y304/Aprekini!Y316)</f>
        <v>17.6960538918916</v>
      </c>
      <c r="Z196" s="365">
        <f>IF(Aprekini!Z316=0,"-",Aprekini!Z304/Aprekini!Z316)</f>
        <v>19.68779631425084</v>
      </c>
      <c r="AA196" s="365">
        <f>IF(Aprekini!AA316=0,"-",Aprekini!AA304/Aprekini!AA316)</f>
        <v>21.79859691268307</v>
      </c>
      <c r="AB196" s="365">
        <f>IF(Aprekini!AB316=0,"-",Aprekini!AB304/Aprekini!AB316)</f>
        <v>24.09069028566848</v>
      </c>
      <c r="AC196" s="365">
        <f>IF(Aprekini!AC316=0,"-",Aprekini!AC304/Aprekini!AC316)</f>
        <v>26.513159803386305</v>
      </c>
      <c r="AD196" s="365">
        <f>IF(Aprekini!AD316=0,"-",Aprekini!AD304/Aprekini!AD316)</f>
        <v>28.98114441613527</v>
      </c>
      <c r="AE196" s="365">
        <f>IF(Aprekini!AE316=0,"-",Aprekini!AE304/Aprekini!AE316)</f>
        <v>35.184319719673134</v>
      </c>
      <c r="AF196" s="365">
        <f>IF(Aprekini!AF316=0,"-",Aprekini!AF304/Aprekini!AF316)</f>
        <v>41.46501592017401</v>
      </c>
      <c r="AG196" s="365">
        <f>IF(Aprekini!AG316=0,"-",Aprekini!AG304/Aprekini!AG316)</f>
        <v>47.73902977611692</v>
      </c>
    </row>
    <row r="197" spans="1:6" s="328" customFormat="1" ht="12.75">
      <c r="A197" s="311"/>
      <c r="F197" s="645"/>
    </row>
    <row r="198" spans="1:33" s="328" customFormat="1" ht="25.5" hidden="1" outlineLevel="1">
      <c r="A198" s="367" t="s">
        <v>264</v>
      </c>
      <c r="B198" s="368">
        <f>Aprekini!B304-Aprekini!B316</f>
        <v>21890.159999999996</v>
      </c>
      <c r="C198" s="368">
        <f>Aprekini!C304-Aprekini!C316</f>
        <v>43164.4488</v>
      </c>
      <c r="D198" s="368">
        <f>Aprekini!D304-Aprekini!D316</f>
        <v>61820.3723317012</v>
      </c>
      <c r="E198" s="368">
        <f>Aprekini!E304-Aprekini!E316</f>
        <v>60638.062615178846</v>
      </c>
      <c r="F198" s="647">
        <f>Aprekini!F304-Aprekini!F316</f>
        <v>52472.953989178844</v>
      </c>
      <c r="G198" s="368">
        <f>Aprekini!G304-Aprekini!G316</f>
        <v>45001.38154821884</v>
      </c>
      <c r="H198" s="368">
        <f>Aprekini!H304-Aprekini!H316</f>
        <v>38411.23779229884</v>
      </c>
      <c r="I198" s="368">
        <f>Aprekini!I304-Aprekini!I316</f>
        <v>32944.06022141884</v>
      </c>
      <c r="J198" s="368">
        <f>Aprekini!J304-Aprekini!J316</f>
        <v>28277.708835578836</v>
      </c>
      <c r="K198" s="368">
        <f>Aprekini!K304-Aprekini!K316</f>
        <v>24492.786134778828</v>
      </c>
      <c r="L198" s="368">
        <f>Aprekini!L304-Aprekini!L316</f>
        <v>21857.607119018827</v>
      </c>
      <c r="M198" s="368">
        <f>Aprekini!M304-Aprekini!M316</f>
        <v>20264.881788298833</v>
      </c>
      <c r="N198" s="368">
        <f>Aprekini!N304-Aprekini!N316</f>
        <v>19795.122642618826</v>
      </c>
      <c r="O198" s="368">
        <f>Aprekini!O304-Aprekini!O316</f>
        <v>20861.805595239523</v>
      </c>
      <c r="P198" s="368">
        <f>Aprekini!P304-Aprekini!P316</f>
        <v>21845.371819639528</v>
      </c>
      <c r="Q198" s="368">
        <f>Aprekini!Q304-Aprekini!Q316</f>
        <v>23838.99972907953</v>
      </c>
      <c r="R198" s="368">
        <f>Aprekini!R304-Aprekini!R316</f>
        <v>26896.37932355952</v>
      </c>
      <c r="S198" s="368">
        <f>Aprekini!S304-Aprekini!S316</f>
        <v>31446.895603079534</v>
      </c>
      <c r="T198" s="368">
        <f>Aprekini!T304-Aprekini!T316</f>
        <v>40700.96422465921</v>
      </c>
      <c r="U198" s="368">
        <f>Aprekini!U304-Aprekini!U316</f>
        <v>47030.06637425922</v>
      </c>
      <c r="V198" s="368">
        <f>Aprekini!V304-Aprekini!V316</f>
        <v>54246.09480889923</v>
      </c>
      <c r="W198" s="368">
        <f>Aprekini!W304-Aprekini!W316</f>
        <v>62000.08702857923</v>
      </c>
      <c r="X198" s="368">
        <f>Aprekini!X304-Aprekini!X316</f>
        <v>70292.04303329925</v>
      </c>
      <c r="Y198" s="368">
        <f>Aprekini!Y304-Aprekini!Y316</f>
        <v>79202.47532305926</v>
      </c>
      <c r="Z198" s="368">
        <f>Aprekini!Z304-Aprekini!Z316</f>
        <v>88650.87139785926</v>
      </c>
      <c r="AA198" s="368">
        <f>Aprekini!AA304-Aprekini!AA316</f>
        <v>98664.05375769928</v>
      </c>
      <c r="AB198" s="368">
        <f>Aprekini!AB304-Aprekini!AB316</f>
        <v>109537.24990257928</v>
      </c>
      <c r="AC198" s="368">
        <f>Aprekini!AC304-Aprekini!AC316</f>
        <v>121028.92233249929</v>
      </c>
      <c r="AD198" s="368">
        <f>Aprekini!AD304-Aprekini!AD316</f>
        <v>132736.5085474593</v>
      </c>
      <c r="AE198" s="368">
        <f>Aprekini!AE304-Aprekini!AE316</f>
        <v>162163.0330474593</v>
      </c>
      <c r="AF198" s="368">
        <f>Aprekini!AF304-Aprekini!AF316</f>
        <v>191957.2999474593</v>
      </c>
      <c r="AG198" s="368">
        <f>Aprekini!AG304-Aprekini!AG316</f>
        <v>221719.8672474593</v>
      </c>
    </row>
    <row r="199" spans="1:33" s="328" customFormat="1" ht="12.75" hidden="1" outlineLevel="1">
      <c r="A199" s="369"/>
      <c r="B199" s="370"/>
      <c r="C199" s="370"/>
      <c r="D199" s="370"/>
      <c r="E199" s="370"/>
      <c r="F199" s="648"/>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row>
    <row r="200" spans="1:33" s="328" customFormat="1" ht="38.25" collapsed="1">
      <c r="A200" s="364" t="s">
        <v>265</v>
      </c>
      <c r="B200" s="365" t="str">
        <f>IF((Aprekini!B260+Aprekini!B261+Aprekini!B252+Aprekini!B253)=0,"-",'Saimnieciskas pamatdarbibas NP'!B38/(Aprekini!B260+Aprekini!B261+Aprekini!B252+Aprekini!B253))</f>
        <v>-</v>
      </c>
      <c r="C200" s="365" t="str">
        <f>IF((Aprekini!C260+Aprekini!C261+Aprekini!C252+Aprekini!C253)=0,"-",'Saimnieciskas pamatdarbibas NP'!C38/(Aprekini!C260+Aprekini!C261+Aprekini!C252+Aprekini!C253))</f>
        <v>-</v>
      </c>
      <c r="D200" s="365">
        <f>IF((Aprekini!D260+Aprekini!D261+Aprekini!D252+Aprekini!D253)=0,"-",'Saimnieciskas pamatdarbibas NP'!D38/(Aprekini!D260+Aprekini!D261+Aprekini!D252+Aprekini!D253))</f>
        <v>1.6186818293572234</v>
      </c>
      <c r="E200" s="365">
        <f>IF((Aprekini!E260+Aprekini!E261+Aprekini!E252+Aprekini!E253)=0,"-",'Saimnieciskas pamatdarbibas NP'!E38/(Aprekini!E260+Aprekini!E261+Aprekini!E252+Aprekini!E253))</f>
        <v>0.30471674926268244</v>
      </c>
      <c r="F200" s="646">
        <f>IF((Aprekini!F260+Aprekini!F261+Aprekini!F252+Aprekini!F253)=0,"-",'Saimnieciskas pamatdarbibas NP'!F38/(Aprekini!F260+Aprekini!F261+Aprekini!F252+Aprekini!F253))</f>
        <v>0.16558012783304013</v>
      </c>
      <c r="G200" s="365">
        <f>IF((Aprekini!G260+Aprekini!G261+Aprekini!G252+Aprekini!G253)=0,"-",'Saimnieciskas pamatdarbibas NP'!G38/(Aprekini!G260+Aprekini!G261+Aprekini!G252+Aprekini!G253))</f>
        <v>0.1696828431389958</v>
      </c>
      <c r="H200" s="365">
        <f>IF((Aprekini!H260+Aprekini!H261+Aprekini!H252+Aprekini!H253)=0,"-",'Saimnieciskas pamatdarbibas NP'!H38/(Aprekini!H260+Aprekini!H261+Aprekini!H252+Aprekini!H253))</f>
        <v>0.17396977446161027</v>
      </c>
      <c r="I200" s="365">
        <f>IF((Aprekini!I260+Aprekini!I261+Aprekini!I252+Aprekini!I253)=0,"-",'Saimnieciskas pamatdarbibas NP'!I38/(Aprekini!I260+Aprekini!I261+Aprekini!I252+Aprekini!I253))</f>
        <v>0.1806258877612418</v>
      </c>
      <c r="J200" s="365">
        <f>IF((Aprekini!J260+Aprekini!J261+Aprekini!J252+Aprekini!J253)=0,"-",'Saimnieciskas pamatdarbibas NP'!J38/(Aprekini!J260+Aprekini!J261+Aprekini!J252+Aprekini!J253))</f>
        <v>0.17372167597308005</v>
      </c>
      <c r="K200" s="365">
        <f>IF((Aprekini!K260+Aprekini!K261+Aprekini!K252+Aprekini!K253)=0,"-",'Saimnieciskas pamatdarbibas NP'!K38/(Aprekini!K260+Aprekini!K261+Aprekini!K252+Aprekini!K253))</f>
        <v>0.17158484700241564</v>
      </c>
      <c r="L200" s="365">
        <f>IF((Aprekini!L260+Aprekini!L261+Aprekini!L252+Aprekini!L253)=0,"-",'Saimnieciskas pamatdarbibas NP'!L38/(Aprekini!L260+Aprekini!L261+Aprekini!L252+Aprekini!L253))</f>
        <v>0.12422346297075264</v>
      </c>
      <c r="M200" s="365">
        <f>IF((Aprekini!M260+Aprekini!M261+Aprekini!M252+Aprekini!M253)=0,"-",'Saimnieciskas pamatdarbibas NP'!M38/(Aprekini!M260+Aprekini!M261+Aprekini!M252+Aprekini!M253))</f>
        <v>0.13029484100598002</v>
      </c>
      <c r="N200" s="365">
        <f>IF((Aprekini!N260+Aprekini!N261+Aprekini!N252+Aprekini!N253)=0,"-",'Saimnieciskas pamatdarbibas NP'!N38/(Aprekini!N260+Aprekini!N261+Aprekini!N252+Aprekini!N253))</f>
        <v>0.13422719138633155</v>
      </c>
      <c r="O200" s="365">
        <f>IF((Aprekini!O260+Aprekini!O261+Aprekini!O252+Aprekini!O253)=0,"-",'Saimnieciskas pamatdarbibas NP'!O38/(Aprekini!O260+Aprekini!O261+Aprekini!O252+Aprekini!O253))</f>
        <v>0.13836903004323456</v>
      </c>
      <c r="P200" s="365">
        <f>IF((Aprekini!P260+Aprekini!P261+Aprekini!P252+Aprekini!P253)=0,"-",'Saimnieciskas pamatdarbibas NP'!P38/(Aprekini!P260+Aprekini!P261+Aprekini!P252+Aprekini!P253))</f>
        <v>0.1458432547798586</v>
      </c>
      <c r="Q200" s="365">
        <f>IF((Aprekini!Q260+Aprekini!Q261+Aprekini!Q252+Aprekini!Q253)=0,"-",'Saimnieciskas pamatdarbibas NP'!Q38/(Aprekini!Q260+Aprekini!Q261+Aprekini!Q252+Aprekini!Q253))</f>
        <v>0.1519950188013852</v>
      </c>
      <c r="R200" s="365">
        <f>IF((Aprekini!R260+Aprekini!R261+Aprekini!R252+Aprekini!R253)=0,"-",'Saimnieciskas pamatdarbibas NP'!R38/(Aprekini!R260+Aprekini!R261+Aprekini!R252+Aprekini!R253))</f>
        <v>0.1393351648499752</v>
      </c>
      <c r="S200" s="365">
        <f>IF((Aprekini!S260+Aprekini!S261+Aprekini!S252+Aprekini!S253)=0,"-",'Saimnieciskas pamatdarbibas NP'!S38/(Aprekini!S260+Aprekini!S261+Aprekini!S252+Aprekini!S253))</f>
        <v>0.10520828003644565</v>
      </c>
      <c r="T200" s="365">
        <f>IF((Aprekini!T260+Aprekini!T261+Aprekini!T252+Aprekini!T253)=0,"-",'Saimnieciskas pamatdarbibas NP'!T38/(Aprekini!T260+Aprekini!T261+Aprekini!T252+Aprekini!T253))</f>
        <v>0.11067848226880554</v>
      </c>
      <c r="U200" s="365">
        <f>IF((Aprekini!U260+Aprekini!U261+Aprekini!U252+Aprekini!U253)=0,"-",'Saimnieciskas pamatdarbibas NP'!U38/(Aprekini!U260+Aprekini!U261+Aprekini!U252+Aprekini!U253))</f>
        <v>0.11349683837359928</v>
      </c>
      <c r="V200" s="365">
        <f>IF((Aprekini!V260+Aprekini!V261+Aprekini!V252+Aprekini!V253)=0,"-",'Saimnieciskas pamatdarbibas NP'!V38/(Aprekini!V260+Aprekini!V261+Aprekini!V252+Aprekini!V253))</f>
        <v>0.12382904795997071</v>
      </c>
      <c r="W200" s="365">
        <f>IF((Aprekini!W260+Aprekini!W261+Aprekini!W252+Aprekini!W253)=0,"-",'Saimnieciskas pamatdarbibas NP'!W38/(Aprekini!W260+Aprekini!W261+Aprekini!W252+Aprekini!W253))</f>
        <v>0.12956198904907862</v>
      </c>
      <c r="X200" s="365">
        <f>IF((Aprekini!X260+Aprekini!X261+Aprekini!X252+Aprekini!X253)=0,"-",'Saimnieciskas pamatdarbibas NP'!X38/(Aprekini!X260+Aprekini!X261+Aprekini!X252+Aprekini!X253))</f>
        <v>0.1356966436125415</v>
      </c>
      <c r="Y200" s="365">
        <f>IF((Aprekini!Y260+Aprekini!Y261+Aprekini!Y252+Aprekini!Y253)=0,"-",'Saimnieciskas pamatdarbibas NP'!Y38/(Aprekini!Y260+Aprekini!Y261+Aprekini!Y252+Aprekini!Y253))</f>
        <v>0.14227676741361656</v>
      </c>
      <c r="Z200" s="365"/>
      <c r="AA200" s="365">
        <f>IF((Aprekini!AA260+Aprekini!AA261+Aprekini!AA252+Aprekini!AA253)=0,"-",'Saimnieciskas pamatdarbibas NP'!AA38/(Aprekini!AA260+Aprekini!AA261+Aprekini!AA252+Aprekini!AA253))</f>
        <v>0.1606858028474842</v>
      </c>
      <c r="AB200" s="365">
        <f>IF((Aprekini!AB260+Aprekini!AB261+Aprekini!AB252+Aprekini!AB253)=0,"-",'Saimnieciskas pamatdarbibas NP'!AB38/(Aprekini!AB260+Aprekini!AB261+Aprekini!AB252+Aprekini!AB253))</f>
        <v>0.16908846479808104</v>
      </c>
      <c r="AC200" s="365">
        <f>IF((Aprekini!AC260+Aprekini!AC261+Aprekini!AC252+Aprekini!AC253)=0,"-",'Saimnieciskas pamatdarbibas NP'!AC38/(Aprekini!AC260+Aprekini!AC261+Aprekini!AC252+Aprekini!AC253))</f>
        <v>0.1822226426254101</v>
      </c>
      <c r="AD200" s="365">
        <f>IF((Aprekini!AD260+Aprekini!AD261+Aprekini!AD252+Aprekini!AD253)=0,"-",'Saimnieciskas pamatdarbibas NP'!AD38/(Aprekini!AD260+Aprekini!AD261+Aprekini!AD252+Aprekini!AD253))</f>
        <v>0.19507442801320904</v>
      </c>
      <c r="AE200" s="365">
        <f>IF((Aprekini!AE260+Aprekini!AE261+Aprekini!AE252+Aprekini!AE253)=0,"-",'Saimnieciskas pamatdarbibas NP'!AE38/(Aprekini!AE260+Aprekini!AE261+Aprekini!AE252+Aprekini!AE253))</f>
        <v>-409822648369814.7</v>
      </c>
      <c r="AF200" s="365">
        <f>IF((Aprekini!AF260+Aprekini!AF261+Aprekini!AF252+Aprekini!AF253)=0,"-",'Saimnieciskas pamatdarbibas NP'!AF38/(Aprekini!AF260+Aprekini!AF261+Aprekini!AF252+Aprekini!AF253))</f>
        <v>-414022903587343.4</v>
      </c>
      <c r="AG200" s="365">
        <f>IF((Aprekini!AG260+Aprekini!AG261+Aprekini!AG252+Aprekini!AG253)=0,"-",'Saimnieciskas pamatdarbibas NP'!AG38/(Aprekini!AG260+Aprekini!AG261+Aprekini!AG252+Aprekini!AG253))</f>
        <v>-422977030680654</v>
      </c>
    </row>
    <row r="201" spans="1:6" s="328" customFormat="1" ht="12.75">
      <c r="A201" s="311"/>
      <c r="F201" s="645"/>
    </row>
    <row r="202" spans="1:6" s="328" customFormat="1" ht="13.5" hidden="1" outlineLevel="1">
      <c r="A202" s="363" t="s">
        <v>266</v>
      </c>
      <c r="F202" s="645"/>
    </row>
    <row r="203" spans="1:6" s="328" customFormat="1" ht="12.75" hidden="1" outlineLevel="1">
      <c r="A203" s="361"/>
      <c r="F203" s="645"/>
    </row>
    <row r="204" spans="1:33" s="328" customFormat="1" ht="25.5" hidden="1" outlineLevel="1">
      <c r="A204" s="367" t="s">
        <v>267</v>
      </c>
      <c r="B204" s="365">
        <f>IF(Aprekini!B306=0,"-",'Saimnieciskas pamatdarbibas NP'!B38/Aprekini!B306)</f>
        <v>2.1570372804915308</v>
      </c>
      <c r="C204" s="365">
        <f>IF(Aprekini!C306=0,"-",'Saimnieciskas pamatdarbibas NP'!C38/Aprekini!C306)</f>
        <v>0.7271047021714592</v>
      </c>
      <c r="D204" s="365">
        <f>IF(Aprekini!D306=0,"-",'Saimnieciskas pamatdarbibas NP'!D38/Aprekini!D306)</f>
        <v>1.9048967324853259</v>
      </c>
      <c r="E204" s="365">
        <f>IF(Aprekini!E306=0,"-",'Saimnieciskas pamatdarbibas NP'!E38/Aprekini!E306)</f>
        <v>1.1901467948093924</v>
      </c>
      <c r="F204" s="646">
        <f>IF(Aprekini!F306=0,"-",'Saimnieciskas pamatdarbibas NP'!F38/Aprekini!F306)</f>
        <v>0.8683174092711812</v>
      </c>
      <c r="G204" s="365">
        <f>IF(Aprekini!G306=0,"-",'Saimnieciskas pamatdarbibas NP'!G38/Aprekini!G306)</f>
        <v>0.679811032132446</v>
      </c>
      <c r="H204" s="365">
        <f>IF(Aprekini!H306=0,"-",'Saimnieciskas pamatdarbibas NP'!H38/Aprekini!H306)</f>
        <v>0.5579900697327607</v>
      </c>
      <c r="I204" s="365">
        <f>IF(Aprekini!I306=0,"-",'Saimnieciskas pamatdarbibas NP'!I38/Aprekini!I306)</f>
        <v>0.4781881842908551</v>
      </c>
      <c r="J204" s="365">
        <f>IF(Aprekini!J306=0,"-",'Saimnieciskas pamatdarbibas NP'!J38/Aprekini!J306)</f>
        <v>0.38835123012803446</v>
      </c>
      <c r="K204" s="365">
        <f>IF(Aprekini!K306=0,"-",'Saimnieciskas pamatdarbibas NP'!K38/Aprekini!K306)</f>
        <v>0.32937069198424795</v>
      </c>
      <c r="L204" s="365">
        <f>IF(Aprekini!L306=0,"-",'Saimnieciskas pamatdarbibas NP'!L38/Aprekini!L306)</f>
        <v>0.21312720306572136</v>
      </c>
      <c r="M204" s="365">
        <f>IF(Aprekini!M306=0,"-",'Saimnieciskas pamatdarbibas NP'!M38/Aprekini!M306)</f>
        <v>0.20089090043180496</v>
      </c>
      <c r="N204" s="365">
        <f>IF(Aprekini!N306=0,"-",'Saimnieciskas pamatdarbibas NP'!N38/Aprekini!N306)</f>
        <v>0.18681640116412784</v>
      </c>
      <c r="O204" s="365">
        <f>IF(Aprekini!O306=0,"-",'Saimnieciskas pamatdarbibas NP'!O38/Aprekini!O306)</f>
        <v>0.17462999135348803</v>
      </c>
      <c r="P204" s="365">
        <f>IF(Aprekini!P306=0,"-",'Saimnieciskas pamatdarbibas NP'!P38/Aprekini!P306)</f>
        <v>0.16746151619013883</v>
      </c>
      <c r="Q204" s="365">
        <f>IF(Aprekini!Q306=0,"-",'Saimnieciskas pamatdarbibas NP'!Q38/Aprekini!Q306)</f>
        <v>0.15920370303981604</v>
      </c>
      <c r="R204" s="365">
        <f>IF(Aprekini!R306=0,"-",'Saimnieciskas pamatdarbibas NP'!R38/Aprekini!R306)</f>
        <v>0.13342250197769445</v>
      </c>
      <c r="S204" s="365">
        <f>IF(Aprekini!S306=0,"-",'Saimnieciskas pamatdarbibas NP'!S38/Aprekini!S306)</f>
        <v>0.09223124466589017</v>
      </c>
      <c r="T204" s="365">
        <f>IF(Aprekini!T306=0,"-",'Saimnieciskas pamatdarbibas NP'!T38/Aprekini!T306)</f>
        <v>0.0889565379671156</v>
      </c>
      <c r="U204" s="365">
        <f>IF(Aprekini!U306=0,"-",'Saimnieciskas pamatdarbibas NP'!U38/Aprekini!U306)</f>
        <v>0.08378463293066174</v>
      </c>
      <c r="V204" s="365">
        <f>IF(Aprekini!V306=0,"-",'Saimnieciskas pamatdarbibas NP'!V38/Aprekini!V306)</f>
        <v>0.08405379987533626</v>
      </c>
      <c r="W204" s="365">
        <f>IF(Aprekini!W306=0,"-",'Saimnieciskas pamatdarbibas NP'!W38/Aprekini!W306)</f>
        <v>0.08096026735586577</v>
      </c>
      <c r="X204" s="365">
        <f>IF(Aprekini!X306=0,"-",'Saimnieciskas pamatdarbibas NP'!X38/Aprekini!X306)</f>
        <v>0.0781287751553952</v>
      </c>
      <c r="Y204" s="365">
        <f>IF(Aprekini!Y306=0,"-",'Saimnieciskas pamatdarbibas NP'!Y38/Aprekini!Y306)</f>
        <v>0.07552238781206912</v>
      </c>
      <c r="Z204" s="365">
        <f>IF(Aprekini!Z306=0,"-",'Saimnieciskas pamatdarbibas NP'!Z38/Aprekini!Z306)</f>
        <v>0.0748636342089684</v>
      </c>
      <c r="AA204" s="365">
        <f>IF(Aprekini!AA306=0,"-",'Saimnieciskas pamatdarbibas NP'!AA38/Aprekini!AA306)</f>
        <v>0.07256643535195757</v>
      </c>
      <c r="AB204" s="365">
        <f>IF(Aprekini!AB306=0,"-",'Saimnieciskas pamatdarbibas NP'!AB38/Aprekini!AB306)</f>
        <v>0.07041991493203109</v>
      </c>
      <c r="AC204" s="365">
        <f>IF(Aprekini!AC306=0,"-",'Saimnieciskas pamatdarbibas NP'!AC38/Aprekini!AC306)</f>
        <v>0.06996234625136173</v>
      </c>
      <c r="AD204" s="365">
        <f>IF(Aprekini!AD306=0,"-",'Saimnieciskas pamatdarbibas NP'!AD38/Aprekini!AD306)</f>
        <v>0.06902458324694812</v>
      </c>
      <c r="AE204" s="365">
        <f>IF(Aprekini!AE306=0,"-",'Saimnieciskas pamatdarbibas NP'!AE38/Aprekini!AE306)</f>
        <v>0.06718690784343867</v>
      </c>
      <c r="AF204" s="365">
        <f>IF(Aprekini!AF306=0,"-",'Saimnieciskas pamatdarbibas NP'!AF38/Aprekini!AF306)</f>
        <v>0.06544445355687001</v>
      </c>
      <c r="AG204" s="365">
        <f>IF(Aprekini!AG306=0,"-",'Saimnieciskas pamatdarbibas NP'!AG38/Aprekini!AG306)</f>
        <v>0.06452354484600856</v>
      </c>
    </row>
    <row r="205" spans="1:6" s="328" customFormat="1" ht="12.75" hidden="1" outlineLevel="1">
      <c r="A205" s="361"/>
      <c r="F205" s="645"/>
    </row>
    <row r="206" spans="1:33" s="328" customFormat="1" ht="25.5" hidden="1" outlineLevel="1">
      <c r="A206" s="367" t="s">
        <v>268</v>
      </c>
      <c r="B206" s="365">
        <f>IF(Aprekini!B304=0,"-",'Saimnieciskas pamatdarbibas NP'!B38/Aprekini!B304)</f>
        <v>0.08634747301984072</v>
      </c>
      <c r="C206" s="365">
        <f>IF(Aprekini!C304=0,"-",'Saimnieciskas pamatdarbibas NP'!C38/Aprekini!C304)</f>
        <v>0.029521720661934987</v>
      </c>
      <c r="D206" s="365">
        <f>IF(Aprekini!D304=0,"-",'Saimnieciskas pamatdarbibas NP'!D38/Aprekini!D304)</f>
        <v>0.09485952977660801</v>
      </c>
      <c r="E206" s="365">
        <f>IF(Aprekini!E304=0,"-",'Saimnieciskas pamatdarbibas NP'!E38/Aprekini!E304)</f>
        <v>0.08501237208381769</v>
      </c>
      <c r="F206" s="646">
        <f>IF(Aprekini!F304=0,"-",'Saimnieciskas pamatdarbibas NP'!F38/Aprekini!F304)</f>
        <v>0.097395283765743</v>
      </c>
      <c r="G206" s="365">
        <f>IF(Aprekini!G304=0,"-",'Saimnieciskas pamatdarbibas NP'!G38/Aprekini!G304)</f>
        <v>0.11113816607813579</v>
      </c>
      <c r="H206" s="365">
        <f>IF(Aprekini!H304=0,"-",'Saimnieciskas pamatdarbibas NP'!H38/Aprekini!H304)</f>
        <v>0.12688433501465793</v>
      </c>
      <c r="I206" s="365">
        <f>IF(Aprekini!I304=0,"-",'Saimnieciskas pamatdarbibas NP'!I38/Aprekini!I304)</f>
        <v>0.14550561575305185</v>
      </c>
      <c r="J206" s="365">
        <f>IF(Aprekini!J304=0,"-",'Saimnieciskas pamatdarbibas NP'!J38/Aprekini!J304)</f>
        <v>0.15377473078950604</v>
      </c>
      <c r="K206" s="365">
        <f>IF(Aprekini!K304=0,"-",'Saimnieciskas pamatdarbibas NP'!K38/Aprekini!K304)</f>
        <v>0.1649964866978183</v>
      </c>
      <c r="L206" s="365">
        <f>IF(Aprekini!L304=0,"-",'Saimnieciskas pamatdarbibas NP'!L38/Aprekini!L304)</f>
        <v>0.1264840780254907</v>
      </c>
      <c r="M206" s="365">
        <f>IF(Aprekini!M304=0,"-",'Saimnieciskas pamatdarbibas NP'!M38/Aprekini!M304)</f>
        <v>0.1363988267287832</v>
      </c>
      <c r="N206" s="365">
        <f>IF(Aprekini!N304=0,"-",'Saimnieciskas pamatdarbibas NP'!N38/Aprekini!N304)</f>
        <v>0.13918430095830864</v>
      </c>
      <c r="O206" s="365">
        <f>IF(Aprekini!O304=0,"-",'Saimnieciskas pamatdarbibas NP'!O38/Aprekini!O304)</f>
        <v>0.13911003070318834</v>
      </c>
      <c r="P206" s="365">
        <f>IF(Aprekini!P304=0,"-",'Saimnieciskas pamatdarbibas NP'!P38/Aprekini!P304)</f>
        <v>0.13805017478108364</v>
      </c>
      <c r="Q206" s="365">
        <f>IF(Aprekini!Q304=0,"-",'Saimnieciskas pamatdarbibas NP'!Q38/Aprekini!Q304)</f>
        <v>0.1312346551554144</v>
      </c>
      <c r="R206" s="365">
        <f>IF(Aprekini!R304=0,"-",'Saimnieciskas pamatdarbibas NP'!R38/Aprekini!R304)</f>
        <v>0.10674041555062372</v>
      </c>
      <c r="S206" s="365">
        <f>IF(Aprekini!S304=0,"-",'Saimnieciskas pamatdarbibas NP'!S38/Aprekini!S304)</f>
        <v>0.06928588989974206</v>
      </c>
      <c r="T206" s="365">
        <f>IF(Aprekini!T304=0,"-",'Saimnieciskas pamatdarbibas NP'!T38/Aprekini!T304)</f>
        <v>0.061728479134921785</v>
      </c>
      <c r="U206" s="365">
        <f>IF(Aprekini!U304=0,"-",'Saimnieciskas pamatdarbibas NP'!U38/Aprekini!U304)</f>
        <v>0.053854817120394465</v>
      </c>
      <c r="V206" s="365">
        <f>IF(Aprekini!V304=0,"-",'Saimnieciskas pamatdarbibas NP'!V38/Aprekini!V304)</f>
        <v>0.04993496263212082</v>
      </c>
      <c r="W206" s="365">
        <f>IF(Aprekini!W304=0,"-",'Saimnieciskas pamatdarbibas NP'!W38/Aprekini!W304)</f>
        <v>0.044665124283140394</v>
      </c>
      <c r="X206" s="365">
        <f>IF(Aprekini!X304=0,"-",'Saimnieciskas pamatdarbibas NP'!X38/Aprekini!X304)</f>
        <v>0.04020198503079524</v>
      </c>
      <c r="Y206" s="365">
        <f>IF(Aprekini!Y304=0,"-",'Saimnieciskas pamatdarbibas NP'!Y38/Aprekini!Y304)</f>
        <v>0.036357249509865415</v>
      </c>
      <c r="Z206" s="365">
        <f>IF(Aprekini!Z304=0,"-",'Saimnieciskas pamatdarbibas NP'!Z38/Aprekini!Z304)</f>
        <v>0.03384765147923611</v>
      </c>
      <c r="AA206" s="365">
        <f>IF(Aprekini!AA304=0,"-",'Saimnieciskas pamatdarbibas NP'!AA38/Aprekini!AA304)</f>
        <v>0.03091308855885</v>
      </c>
      <c r="AB206" s="365">
        <f>IF(Aprekini!AB304=0,"-",'Saimnieciskas pamatdarbibas NP'!AB38/Aprekini!AB304)</f>
        <v>0.028282221784540106</v>
      </c>
      <c r="AC206" s="365">
        <f>IF(Aprekini!AC304=0,"-",'Saimnieciskas pamatdarbibas NP'!AC38/Aprekini!AC304)</f>
        <v>0.026565828900688176</v>
      </c>
      <c r="AD206" s="365">
        <f>IF(Aprekini!AD304=0,"-",'Saimnieciskas pamatdarbibas NP'!AD38/Aprekini!AD304)</f>
        <v>0.02491246951501905</v>
      </c>
      <c r="AE206" s="365">
        <f>IF(Aprekini!AE304=0,"-",'Saimnieciskas pamatdarbibas NP'!AE38/Aprekini!AE304)</f>
        <v>0.020732763099323155</v>
      </c>
      <c r="AF206" s="365">
        <f>IF(Aprekini!AF304=0,"-",'Saimnieciskas pamatdarbibas NP'!AF38/Aprekini!AF304)</f>
        <v>0.017772679884147234</v>
      </c>
      <c r="AG206" s="365">
        <f>IF(Aprekini!AG304=0,"-",'Saimnieciskas pamatdarbibas NP'!AG38/Aprekini!AG304)</f>
        <v>0.015770794908720513</v>
      </c>
    </row>
    <row r="207" spans="1:6" s="328" customFormat="1" ht="12.75" hidden="1" outlineLevel="1">
      <c r="A207" s="361"/>
      <c r="F207" s="645"/>
    </row>
    <row r="208" spans="1:33" s="328" customFormat="1" ht="25.5" hidden="1" outlineLevel="1">
      <c r="A208" s="367" t="s">
        <v>269</v>
      </c>
      <c r="B208" s="365">
        <f>IF(Aprekini!B307=0,"-",'Saimnieciskas pamatdarbibas NP'!B38/Aprekini!B307)</f>
        <v>0.029841414988531705</v>
      </c>
      <c r="C208" s="365">
        <f>IF(Aprekini!C307=0,"-",'Saimnieciskas pamatdarbibas NP'!C38/Aprekini!C307)</f>
        <v>0.005937018997297114</v>
      </c>
      <c r="D208" s="365">
        <f>IF(Aprekini!D307=0,"-",'Saimnieciskas pamatdarbibas NP'!D38/Aprekini!D307)</f>
        <v>0.007202272560021233</v>
      </c>
      <c r="E208" s="365">
        <f>IF(Aprekini!E307=0,"-",'Saimnieciskas pamatdarbibas NP'!E38/Aprekini!E307)</f>
        <v>0.007448364020689751</v>
      </c>
      <c r="F208" s="646">
        <f>IF(Aprekini!F307=0,"-",'Saimnieciskas pamatdarbibas NP'!F38/Aprekini!F307)</f>
        <v>0.007868605015041368</v>
      </c>
      <c r="G208" s="365">
        <f>IF(Aprekini!G307=0,"-",'Saimnieciskas pamatdarbibas NP'!G38/Aprekini!G307)</f>
        <v>0.008248043632536492</v>
      </c>
      <c r="H208" s="365">
        <f>IF(Aprekini!H307=0,"-",'Saimnieciskas pamatdarbibas NP'!H38/Aprekini!H307)</f>
        <v>0.008652548888553444</v>
      </c>
      <c r="I208" s="365">
        <f>IF(Aprekini!I307=0,"-",'Saimnieciskas pamatdarbibas NP'!I38/Aprekini!I307)</f>
        <v>0.009191434422067818</v>
      </c>
      <c r="J208" s="365">
        <f>IF(Aprekini!J307=0,"-",'Saimnieciskas pamatdarbibas NP'!J38/Aprekini!J307)</f>
        <v>0.00904317120225542</v>
      </c>
      <c r="K208" s="365">
        <f>IF(Aprekini!K307=0,"-",'Saimnieciskas pamatdarbibas NP'!K38/Aprekini!K307)</f>
        <v>0.00913524494610562</v>
      </c>
      <c r="L208" s="365">
        <f>IF(Aprekini!L307=0,"-",'Saimnieciskas pamatdarbibas NP'!L38/Aprekini!L307)</f>
        <v>0.006744691060895122</v>
      </c>
      <c r="M208" s="365">
        <f>IF(Aprekini!M307=0,"-",'Saimnieciskas pamatdarbibas NP'!M38/Aprekini!M307)</f>
        <v>0.007211097255306156</v>
      </c>
      <c r="N208" s="365">
        <f>IF(Aprekini!N307=0,"-",'Saimnieciskas pamatdarbibas NP'!N38/Aprekini!N307)</f>
        <v>0.007566954712646813</v>
      </c>
      <c r="O208" s="365">
        <f>IF(Aprekini!O307=0,"-",'Saimnieciskas pamatdarbibas NP'!O38/Aprekini!O307)</f>
        <v>0.007912104954218275</v>
      </c>
      <c r="P208" s="365">
        <f>IF(Aprekini!P307=0,"-",'Saimnieciskas pamatdarbibas NP'!P38/Aprekini!P307)</f>
        <v>0.00845266988524917</v>
      </c>
      <c r="Q208" s="365">
        <f>IF(Aprekini!Q307=0,"-",'Saimnieciskas pamatdarbibas NP'!Q38/Aprekini!Q307)</f>
        <v>0.008918212980870692</v>
      </c>
      <c r="R208" s="365">
        <f>IF(Aprekini!R307=0,"-",'Saimnieciskas pamatdarbibas NP'!R38/Aprekini!R307)</f>
        <v>0.00825529630846449</v>
      </c>
      <c r="S208" s="365">
        <f>IF(Aprekini!S307=0,"-",'Saimnieciskas pamatdarbibas NP'!S38/Aprekini!S307)</f>
        <v>0.0062628093602045305</v>
      </c>
      <c r="T208" s="365">
        <f>IF(Aprekini!T307=0,"-",'Saimnieciskas pamatdarbibas NP'!T38/Aprekini!T307)</f>
        <v>0.006475092800651198</v>
      </c>
      <c r="U208" s="365">
        <f>IF(Aprekini!U307=0,"-",'Saimnieciskas pamatdarbibas NP'!U38/Aprekini!U307)</f>
        <v>0.0065122354630289606</v>
      </c>
      <c r="V208" s="365">
        <f>IF(Aprekini!V307=0,"-",'Saimnieciskas pamatdarbibas NP'!V38/Aprekini!V307)</f>
        <v>0.006947815149640524</v>
      </c>
      <c r="W208" s="365">
        <f>IF(Aprekini!W307=0,"-",'Saimnieciskas pamatdarbibas NP'!W38/Aprekini!W307)</f>
        <v>0.007092544725381152</v>
      </c>
      <c r="X208" s="365">
        <f>IF(Aprekini!X307=0,"-",'Saimnieciskas pamatdarbibas NP'!X38/Aprekini!X307)</f>
        <v>0.007230492636132562</v>
      </c>
      <c r="Y208" s="365">
        <f>IF(Aprekini!Y307=0,"-",'Saimnieciskas pamatdarbibas NP'!Y38/Aprekini!Y307)</f>
        <v>0.007359523304640798</v>
      </c>
      <c r="Z208" s="365">
        <f>IF(Aprekini!Z307=0,"-",'Saimnieciskas pamatdarbibas NP'!Z38/Aprekini!Z307)</f>
        <v>0.0076588178575128</v>
      </c>
      <c r="AA208" s="365">
        <f>IF(Aprekini!AA307=0,"-",'Saimnieciskas pamatdarbibas NP'!AA38/Aprekini!AA307)</f>
        <v>0.007770966260237528</v>
      </c>
      <c r="AB208" s="365">
        <f>IF(Aprekini!AB307=0,"-",'Saimnieciskas pamatdarbibas NP'!AB38/Aprekini!AB307)</f>
        <v>0.007867353611935043</v>
      </c>
      <c r="AC208" s="365">
        <f>IF(Aprekini!AC307=0,"-",'Saimnieciskas pamatdarbibas NP'!AC38/Aprekini!AC307)</f>
        <v>0.008131304161518497</v>
      </c>
      <c r="AD208" s="365">
        <f>IF(Aprekini!AD307=0,"-",'Saimnieciskas pamatdarbibas NP'!AD38/Aprekini!AD307)</f>
        <v>0.008328926452874284</v>
      </c>
      <c r="AE208" s="365">
        <f>IF(Aprekini!AE307=0,"-",'Saimnieciskas pamatdarbibas NP'!AE38/Aprekini!AE307)</f>
        <v>0.008061861013448485</v>
      </c>
      <c r="AF208" s="365">
        <f>IF(Aprekini!AF307=0,"-",'Saimnieciskas pamatdarbibas NP'!AF38/Aprekini!AF307)</f>
        <v>0.007809913551191423</v>
      </c>
      <c r="AG208" s="365">
        <f>IF(Aprekini!AG307=0,"-",'Saimnieciskas pamatdarbibas NP'!AG38/Aprekini!AG307)</f>
        <v>0.007664490199382889</v>
      </c>
    </row>
    <row r="209" spans="1:6" s="328" customFormat="1" ht="12.75" hidden="1" outlineLevel="1">
      <c r="A209" s="361"/>
      <c r="F209" s="645"/>
    </row>
    <row r="210" spans="1:6" s="328" customFormat="1" ht="13.5" hidden="1" outlineLevel="1">
      <c r="A210" s="363" t="s">
        <v>270</v>
      </c>
      <c r="F210" s="645"/>
    </row>
    <row r="211" spans="1:6" s="328" customFormat="1" ht="12.75" hidden="1" outlineLevel="1">
      <c r="A211" s="361"/>
      <c r="F211" s="645"/>
    </row>
    <row r="212" spans="1:33" s="328" customFormat="1" ht="25.5" collapsed="1">
      <c r="A212" s="364" t="s">
        <v>271</v>
      </c>
      <c r="B212" s="365">
        <f>IF(Aprekini!B307=0,"-",Aprekini!B309/Aprekini!B307)</f>
        <v>1</v>
      </c>
      <c r="C212" s="365">
        <f>IF(Aprekini!C307=0,"-",Aprekini!C309/Aprekini!C307)</f>
        <v>0.3774531500089746</v>
      </c>
      <c r="D212" s="365">
        <f>IF(Aprekini!D307=0,"-",Aprekini!D309/Aprekini!D307)</f>
        <v>0.11799033727921646</v>
      </c>
      <c r="E212" s="365">
        <f>IF(Aprekini!E307=0,"-",Aprekini!E309/Aprekini!E307)</f>
        <v>0.1099527841318507</v>
      </c>
      <c r="F212" s="646">
        <f>IF(Aprekini!F307=0,"-",Aprekini!F309/Aprekini!F307)</f>
        <v>0.10453968170008435</v>
      </c>
      <c r="G212" s="365">
        <f>IF(Aprekini!G307=0,"-",Aprekini!G309/Aprekini!G307)</f>
        <v>0.09948196013868338</v>
      </c>
      <c r="H212" s="365">
        <f>IF(Aprekini!H307=0,"-",Aprekini!H309/Aprekini!H307)</f>
        <v>0.09508852540749857</v>
      </c>
      <c r="I212" s="365">
        <f>IF(Aprekini!I307=0,"-",Aprekini!I309/Aprekini!I307)</f>
        <v>0.09180286248886123</v>
      </c>
      <c r="J212" s="365">
        <f>IF(Aprekini!J307=0,"-",Aprekini!J309/Aprekini!J307)</f>
        <v>0.08984431304577578</v>
      </c>
      <c r="K212" s="365">
        <f>IF(Aprekini!K307=0,"-",Aprekini!K309/Aprekini!K307)</f>
        <v>0.08939084690819206</v>
      </c>
      <c r="L212" s="365">
        <f>IF(Aprekini!L307=0,"-",Aprekini!L309/Aprekini!L307)</f>
        <v>0.09304370567938547</v>
      </c>
      <c r="M212" s="365">
        <f>IF(Aprekini!M307=0,"-",Aprekini!M309/Aprekini!M307)</f>
        <v>0.09873166651666863</v>
      </c>
      <c r="N212" s="365">
        <f>IF(Aprekini!N307=0,"-",Aprekini!N309/Aprekini!N307)</f>
        <v>0.10684477775665285</v>
      </c>
      <c r="O212" s="365">
        <f>IF(Aprekini!O307=0,"-",Aprekini!O309/Aprekini!O307)</f>
        <v>0.11882086324658858</v>
      </c>
      <c r="P212" s="365">
        <f>IF(Aprekini!P307=0,"-",Aprekini!P309/Aprekini!P307)</f>
        <v>0.13333037079359902</v>
      </c>
      <c r="Q212" s="365">
        <f>IF(Aprekini!Q307=0,"-",Aprekini!Q309/Aprekini!Q307)</f>
        <v>0.15091227373277366</v>
      </c>
      <c r="R212" s="365">
        <f>IF(Aprekini!R307=0,"-",Aprekini!R309/Aprekini!R307)</f>
        <v>0.17285003781179334</v>
      </c>
      <c r="S212" s="365">
        <f>IF(Aprekini!S307=0,"-",Aprekini!S309/Aprekini!S307)</f>
        <v>0.20113326793144506</v>
      </c>
      <c r="T212" s="365">
        <f>IF(Aprekini!T307=0,"-",Aprekini!T309/Aprekini!T307)</f>
        <v>0.24042939458251933</v>
      </c>
      <c r="U212" s="365">
        <f>IF(Aprekini!U307=0,"-",Aprekini!U309/Aprekini!U307)</f>
        <v>0.2816899998381924</v>
      </c>
      <c r="V212" s="365">
        <f>IF(Aprekini!V307=0,"-",Aprekini!V309/Aprekini!V307)</f>
        <v>0.3253556992904966</v>
      </c>
      <c r="W212" s="365">
        <f>IF(Aprekini!W307=0,"-",Aprekini!W309/Aprekini!W307)</f>
        <v>0.37069867858688493</v>
      </c>
      <c r="X212" s="365">
        <f>IF(Aprekini!X307=0,"-",Aprekini!X309/Aprekini!X307)</f>
        <v>0.4175892458488052</v>
      </c>
      <c r="Y212" s="365">
        <f>IF(Aprekini!Y307=0,"-",Aprekini!Y309/Aprekini!Y307)</f>
        <v>0.46598266505638564</v>
      </c>
      <c r="Z212" s="365">
        <f>IF(Aprekini!Z307=0,"-",Aprekini!Z309/Aprekini!Z307)</f>
        <v>0.5155929705095844</v>
      </c>
      <c r="AA212" s="365">
        <f>IF(Aprekini!AA307=0,"-",Aprekini!AA309/Aprekini!AA307)</f>
        <v>0.5662735528743571</v>
      </c>
      <c r="AB212" s="365">
        <f>IF(Aprekini!AB307=0,"-",Aprekini!AB309/Aprekini!AB307)</f>
        <v>0.6180981334408111</v>
      </c>
      <c r="AC212" s="365">
        <f>IF(Aprekini!AC307=0,"-",Aprekini!AC309/Aprekini!AC307)</f>
        <v>0.6705552958566929</v>
      </c>
      <c r="AD212" s="365">
        <f>IF(Aprekini!AD307=0,"-",Aprekini!AD309/Aprekini!AD307)</f>
        <v>0.7231360365730077</v>
      </c>
      <c r="AE212" s="365">
        <f>IF(Aprekini!AE307=0,"-",Aprekini!AE309/Aprekini!AE307)</f>
        <v>0.7458105069481258</v>
      </c>
      <c r="AF212" s="365">
        <f>IF(Aprekini!AF307=0,"-",Aprekini!AF309/Aprekini!AF307)</f>
        <v>0.7668511271847952</v>
      </c>
      <c r="AG212" s="365">
        <f>IF(Aprekini!AG307=0,"-",Aprekini!AG309/Aprekini!AG307)</f>
        <v>0.7862150446639109</v>
      </c>
    </row>
    <row r="213" spans="1:6" s="328" customFormat="1" ht="12.75">
      <c r="A213" s="361"/>
      <c r="F213" s="645"/>
    </row>
    <row r="214" spans="1:33" s="328" customFormat="1" ht="12.75" hidden="1" outlineLevel="1">
      <c r="A214" s="367" t="s">
        <v>272</v>
      </c>
      <c r="B214" s="365">
        <f>IF(Aprekini!B309=0,"-",(Aprekini!B314+Aprekini!B316)/Aprekini!B309)</f>
        <v>0</v>
      </c>
      <c r="C214" s="365">
        <f>IF(Aprekini!C309=0,"-",(Aprekini!C314+Aprekini!C316)/Aprekini!C309)</f>
        <v>1.6493354207700297</v>
      </c>
      <c r="D214" s="365">
        <f>IF(Aprekini!D309=0,"-",(Aprekini!D314+Aprekini!D316)/Aprekini!D309)</f>
        <v>7.475270289579434</v>
      </c>
      <c r="E214" s="365">
        <f>IF(Aprekini!E309=0,"-",(Aprekini!E314+Aprekini!E316)/Aprekini!E309)</f>
        <v>8.094815187881053</v>
      </c>
      <c r="F214" s="646">
        <f>IF(Aprekini!F309=0,"-",(Aprekini!F314+Aprekini!F316)/Aprekini!F309)</f>
        <v>8.565738073529168</v>
      </c>
      <c r="G214" s="365">
        <f>IF(Aprekini!G309=0,"-",(Aprekini!G314+Aprekini!G316)/Aprekini!G309)</f>
        <v>9.052082013999712</v>
      </c>
      <c r="H214" s="365">
        <f>IF(Aprekini!H309=0,"-",(Aprekini!H314+Aprekini!H316)/Aprekini!H309)</f>
        <v>9.516512996562131</v>
      </c>
      <c r="I214" s="365">
        <f>IF(Aprekini!I309=0,"-",(Aprekini!I314+Aprekini!I316)/Aprekini!I309)</f>
        <v>9.892906526976034</v>
      </c>
      <c r="J214" s="365">
        <f>IF(Aprekini!J309=0,"-",(Aprekini!J314+Aprekini!J316)/Aprekini!J309)</f>
        <v>10.130368526489981</v>
      </c>
      <c r="K214" s="365">
        <f>IF(Aprekini!K309=0,"-",(Aprekini!K314+Aprekini!K316)/Aprekini!K309)</f>
        <v>10.186816629419491</v>
      </c>
      <c r="L214" s="365">
        <f>IF(Aprekini!L309=0,"-",(Aprekini!L314+Aprekini!L316)/Aprekini!L309)</f>
        <v>9.747648369928708</v>
      </c>
      <c r="M214" s="365">
        <f>IF(Aprekini!M309=0,"-",(Aprekini!M314+Aprekini!M316)/Aprekini!M309)</f>
        <v>9.128459043337397</v>
      </c>
      <c r="N214" s="365">
        <f>IF(Aprekini!N309=0,"-",(Aprekini!N314+Aprekini!N316)/Aprekini!N309)</f>
        <v>8.359371800815346</v>
      </c>
      <c r="O214" s="365">
        <f>IF(Aprekini!O309=0,"-",(Aprekini!O314+Aprekini!O316)/Aprekini!O309)</f>
        <v>7.4160370065234655</v>
      </c>
      <c r="P214" s="365">
        <f>IF(Aprekini!P309=0,"-",(Aprekini!P314+Aprekini!P316)/Aprekini!P309)</f>
        <v>6.500163591958522</v>
      </c>
      <c r="Q214" s="365">
        <f>IF(Aprekini!Q309=0,"-",(Aprekini!Q314+Aprekini!Q316)/Aprekini!Q309)</f>
        <v>5.626369076396709</v>
      </c>
      <c r="R214" s="365">
        <f>IF(Aprekini!R309=0,"-",(Aprekini!R314+Aprekini!R316)/Aprekini!R309)</f>
        <v>4.785356669671617</v>
      </c>
      <c r="S214" s="365">
        <f>IF(Aprekini!S309=0,"-",(Aprekini!S314+Aprekini!S316)/Aprekini!S309)</f>
        <v>3.971827934207495</v>
      </c>
      <c r="T214" s="365">
        <f>IF(Aprekini!T309=0,"-",(Aprekini!T314+Aprekini!T316)/Aprekini!T309)</f>
        <v>3.1592290535995864</v>
      </c>
      <c r="U214" s="365">
        <f>IF(Aprekini!U309=0,"-",(Aprekini!U314+Aprekini!U316)/Aprekini!U309)</f>
        <v>2.550000118776189</v>
      </c>
      <c r="V214" s="365">
        <f>IF(Aprekini!V309=0,"-",(Aprekini!V314+Aprekini!V316)/Aprekini!V309)</f>
        <v>2.073560641210338</v>
      </c>
      <c r="W214" s="365">
        <f>IF(Aprekini!W309=0,"-",(Aprekini!W314+Aprekini!W316)/Aprekini!W309)</f>
        <v>1.6976061855718654</v>
      </c>
      <c r="X214" s="365">
        <f>IF(Aprekini!X309=0,"-",(Aprekini!X314+Aprekini!X316)/Aprekini!X309)</f>
        <v>1.3946976842455965</v>
      </c>
      <c r="Y214" s="365">
        <f>IF(Aprekini!Y309=0,"-",(Aprekini!Y314+Aprekini!Y316)/Aprekini!Y309)</f>
        <v>1.146004646787608</v>
      </c>
      <c r="Z214" s="365">
        <f>IF(Aprekini!Z309=0,"-",(Aprekini!Z314+Aprekini!Z316)/Aprekini!Z309)</f>
        <v>0.9395134779645683</v>
      </c>
      <c r="AA214" s="365">
        <f>IF(Aprekini!AA309=0,"-",(Aprekini!AA314+Aprekini!AA316)/Aprekini!AA309)</f>
        <v>0.7659318206149605</v>
      </c>
      <c r="AB214" s="365">
        <f>IF(Aprekini!AB309=0,"-",(Aprekini!AB314+Aprekini!AB316)/Aprekini!AB309)</f>
        <v>0.6178644979681012</v>
      </c>
      <c r="AC214" s="365">
        <f>IF(Aprekini!AC309=0,"-",(Aprekini!AC314+Aprekini!AC316)/Aprekini!AC309)</f>
        <v>0.49130132321512937</v>
      </c>
      <c r="AD214" s="365">
        <f>IF(Aprekini!AD309=0,"-",(Aprekini!AD314+Aprekini!AD316)/Aprekini!AD309)</f>
        <v>0.3828670155451092</v>
      </c>
      <c r="AE214" s="365">
        <f>IF(Aprekini!AE309=0,"-",(Aprekini!AE314+Aprekini!AE316)/Aprekini!AE309)</f>
        <v>0.34082253432936954</v>
      </c>
      <c r="AF214" s="365">
        <f>IF(Aprekini!AF309=0,"-",(Aprekini!AF314+Aprekini!AF316)/Aprekini!AF309)</f>
        <v>0.3040346572542795</v>
      </c>
      <c r="AG214" s="365">
        <f>IF(Aprekini!AG309=0,"-",(Aprekini!AG314+Aprekini!AG316)/Aprekini!AG309)</f>
        <v>0.2719155508205492</v>
      </c>
    </row>
    <row r="215" spans="1:6" s="328" customFormat="1" ht="12.75" hidden="1" outlineLevel="1">
      <c r="A215" s="361"/>
      <c r="F215" s="645"/>
    </row>
    <row r="216" spans="1:33" s="328" customFormat="1" ht="25.5" hidden="1" outlineLevel="1">
      <c r="A216" s="367" t="s">
        <v>273</v>
      </c>
      <c r="B216" s="365">
        <f>IF(Aprekini!B309=0,"-",Aprekini!B300/Aprekini!B309)</f>
        <v>0.6544031464397944</v>
      </c>
      <c r="C216" s="365">
        <f>IF(Aprekini!C309=0,"-",Aprekini!C300/Aprekini!C309)</f>
        <v>2.1165360320269198</v>
      </c>
      <c r="D216" s="365">
        <f>IF(Aprekini!D309=0,"-",Aprekini!D300/Aprekini!D309)</f>
        <v>7.831779785365974</v>
      </c>
      <c r="E216" s="365">
        <f>IF(Aprekini!E309=0,"-",Aprekini!E300/Aprekini!E309)</f>
        <v>8.297970332554378</v>
      </c>
      <c r="F216" s="646">
        <f>IF(Aprekini!F309=0,"-",Aprekini!F300/Aprekini!F309)</f>
        <v>8.792925078277634</v>
      </c>
      <c r="G216" s="365">
        <f>IF(Aprekini!G309=0,"-",Aprekini!G300/Aprekini!G309)</f>
        <v>9.306065911958918</v>
      </c>
      <c r="H216" s="365">
        <f>IF(Aprekini!H309=0,"-",Aprekini!H300/Aprekini!H309)</f>
        <v>9.799369416028783</v>
      </c>
      <c r="I216" s="365">
        <f>IF(Aprekini!I309=0,"-",Aprekini!I300/Aprekini!I309)</f>
        <v>10.204813249680553</v>
      </c>
      <c r="J216" s="365">
        <f>IF(Aprekini!J309=0,"-",Aprekini!J300/Aprekini!J309)</f>
        <v>10.475811475561065</v>
      </c>
      <c r="K216" s="365">
        <f>IF(Aprekini!K309=0,"-",Aprekini!K300/Aprekini!K309)</f>
        <v>10.567454419404195</v>
      </c>
      <c r="L216" s="365">
        <f>IF(Aprekini!L309=0,"-",Aprekini!L300/Aprekini!L309)</f>
        <v>10.174525675758156</v>
      </c>
      <c r="M216" s="365">
        <f>IF(Aprekini!M309=0,"-",Aprekini!M300/Aprekini!M309)</f>
        <v>9.59299378540873</v>
      </c>
      <c r="N216" s="365">
        <f>IF(Aprekini!N309=0,"-",Aprekini!N300/Aprekini!N309)</f>
        <v>8.850536091127033</v>
      </c>
      <c r="O216" s="365">
        <f>IF(Aprekini!O309=0,"-",Aprekini!O300/Aprekini!O309)</f>
        <v>7.937355264671005</v>
      </c>
      <c r="P216" s="365">
        <f>IF(Aprekini!P309=0,"-",Aprekini!P300/Aprekini!P309)</f>
        <v>7.040939174752016</v>
      </c>
      <c r="Q216" s="365">
        <f>IF(Aprekini!Q309=0,"-",Aprekini!Q300/Aprekini!Q309)</f>
        <v>6.176063368432264</v>
      </c>
      <c r="R216" s="365">
        <f>IF(Aprekini!R309=0,"-",Aprekini!R300/Aprekini!R309)</f>
        <v>5.337922289694977</v>
      </c>
      <c r="S216" s="365">
        <f>IF(Aprekini!S309=0,"-",Aprekini!S300/Aprekini!S309)</f>
        <v>4.522420261610124</v>
      </c>
      <c r="T216" s="365">
        <f>IF(Aprekini!T309=0,"-",Aprekini!T300/Aprekini!T309)</f>
        <v>3.7229376260379956</v>
      </c>
      <c r="U216" s="365">
        <f>IF(Aprekini!U309=0,"-",Aprekini!U300/Aprekini!U309)</f>
        <v>3.1207282467897675</v>
      </c>
      <c r="V216" s="365">
        <f>IF(Aprekini!V309=0,"-",Aprekini!V300/Aprekini!V309)</f>
        <v>2.6459125087652806</v>
      </c>
      <c r="W216" s="365">
        <f>IF(Aprekini!W309=0,"-",Aprekini!W300/Aprekini!W309)</f>
        <v>2.2692452132680345</v>
      </c>
      <c r="X216" s="365">
        <f>IF(Aprekini!X309=0,"-",Aprekini!X300/Aprekini!X309)</f>
        <v>1.9640014398079648</v>
      </c>
      <c r="Y216" s="365">
        <f>IF(Aprekini!Y309=0,"-",Aprekini!Y300/Aprekini!Y309)</f>
        <v>1.711603490348167</v>
      </c>
      <c r="Z216" s="365">
        <f>IF(Aprekini!Z309=0,"-",Aprekini!Z300/Aprekini!Z309)</f>
        <v>1.5006542012186017</v>
      </c>
      <c r="AA216" s="365">
        <f>IF(Aprekini!AA309=0,"-",Aprekini!AA300/Aprekini!AA309)</f>
        <v>1.3220092911914123</v>
      </c>
      <c r="AB216" s="365">
        <f>IF(Aprekini!AB309=0,"-",Aprekini!AB300/Aprekini!AB309)</f>
        <v>1.1678192348838756</v>
      </c>
      <c r="AC216" s="365">
        <f>IF(Aprekini!AC309=0,"-",Aprekini!AC300/Aprekini!AC309)</f>
        <v>1.0348418353192683</v>
      </c>
      <c r="AD216" s="365">
        <f>IF(Aprekini!AD309=0,"-",Aprekini!AD300/Aprekini!AD309)</f>
        <v>0.9205354924881494</v>
      </c>
      <c r="AE216" s="365">
        <f>IF(Aprekini!AE309=0,"-",Aprekini!AE300/Aprekini!AE309)</f>
        <v>0.8194488540559927</v>
      </c>
      <c r="AF216" s="365">
        <f>IF(Aprekini!AF309=0,"-",Aprekini!AF300/Aprekini!AF309)</f>
        <v>0.7309976244557957</v>
      </c>
      <c r="AG216" s="365">
        <f>IF(Aprekini!AG309=0,"-",Aprekini!AG300/Aprekini!AG309)</f>
        <v>0.6537745199131261</v>
      </c>
    </row>
    <row r="217" spans="1:6" s="328" customFormat="1" ht="12.75" hidden="1" outlineLevel="1">
      <c r="A217" s="361"/>
      <c r="F217" s="645"/>
    </row>
    <row r="218" spans="1:6" s="328" customFormat="1" ht="13.5" hidden="1" outlineLevel="1">
      <c r="A218" s="363" t="s">
        <v>274</v>
      </c>
      <c r="F218" s="645"/>
    </row>
    <row r="219" spans="1:6" s="328" customFormat="1" ht="12.75" hidden="1" outlineLevel="1">
      <c r="A219" s="361"/>
      <c r="F219" s="645"/>
    </row>
    <row r="220" spans="1:33" s="328" customFormat="1" ht="25.5" hidden="1" outlineLevel="1">
      <c r="A220" s="367" t="s">
        <v>275</v>
      </c>
      <c r="B220" s="365">
        <f>IF(Aprekini!B309=0,"-",Aprekini!B293/Aprekini!B309*100)</f>
        <v>-2.699456395436961</v>
      </c>
      <c r="C220" s="365">
        <f>IF(Aprekini!C309=0,"-",Aprekini!C293/Aprekini!C309*100)</f>
        <v>-2.870736312409504</v>
      </c>
      <c r="D220" s="365">
        <f>IF(Aprekini!D309=0,"-",Aprekini!D293/Aprekini!D309*100)</f>
        <v>0.05821100756029046</v>
      </c>
      <c r="E220" s="365">
        <f>IF(Aprekini!E309=0,"-",Aprekini!E293/Aprekini!E309*100)</f>
        <v>-9.686154540426285</v>
      </c>
      <c r="F220" s="646">
        <f>IF(Aprekini!F309=0,"-",Aprekini!F293/Aprekini!F309*100)</f>
        <v>-9.83503586590916</v>
      </c>
      <c r="G220" s="365">
        <f>IF(Aprekini!G309=0,"-",Aprekini!G293/Aprekini!G309*100)</f>
        <v>-9.848259009284039</v>
      </c>
      <c r="H220" s="365">
        <f>IF(Aprekini!H309=0,"-",Aprekini!H293/Aprekini!H309*100)</f>
        <v>-9.44999769625452</v>
      </c>
      <c r="I220" s="365">
        <f>IF(Aprekini!I309=0,"-",Aprekini!I293/Aprekini!I309*100)</f>
        <v>-8.409207197800036</v>
      </c>
      <c r="J220" s="365">
        <f>IF(Aprekini!J309=0,"-",Aprekini!J293/Aprekini!J309*100)</f>
        <v>-6.984150359149294</v>
      </c>
      <c r="K220" s="365">
        <f>IF(Aprekini!K309=0,"-",Aprekini!K293/Aprekini!K309*100)</f>
        <v>-5.269475043662792</v>
      </c>
      <c r="L220" s="365">
        <f>IF(Aprekini!L309=0,"-",Aprekini!L293/Aprekini!L309*100)</f>
        <v>-0.39344029564526967</v>
      </c>
      <c r="M220" s="365">
        <f>IF(Aprekini!M309=0,"-",Aprekini!M293/Aprekini!M309*100)</f>
        <v>1.509883145922059</v>
      </c>
      <c r="N220" s="365">
        <f>IF(Aprekini!N309=0,"-",Aprekini!N293/Aprekini!N309*100)</f>
        <v>3.431846666043507</v>
      </c>
      <c r="O220" s="365">
        <f>IF(Aprekini!O309=0,"-",Aprekini!O293/Aprekini!O309*100)</f>
        <v>6.362498286699757</v>
      </c>
      <c r="P220" s="365">
        <f>IF(Aprekini!P309=0,"-",Aprekini!P293/Aprekini!P309*100)</f>
        <v>7.201066114285873</v>
      </c>
      <c r="Q220" s="365">
        <f>IF(Aprekini!Q309=0,"-",Aprekini!Q293/Aprekini!Q309*100)</f>
        <v>8.040679710842351</v>
      </c>
      <c r="R220" s="365">
        <f>IF(Aprekini!R309=0,"-",Aprekini!R293/Aprekini!R309*100)</f>
        <v>9.28632590825066</v>
      </c>
      <c r="S220" s="365">
        <f>IF(Aprekini!S309=0,"-",Aprekini!S293/Aprekini!S309*100)</f>
        <v>11.081675476678031</v>
      </c>
      <c r="T220" s="365">
        <f>IF(Aprekini!T309=0,"-",Aprekini!T293/Aprekini!T309*100)</f>
        <v>15.256886292793753</v>
      </c>
      <c r="U220" s="365">
        <f>IF(Aprekini!U309=0,"-",Aprekini!U293/Aprekini!U309*100)</f>
        <v>13.63565368675091</v>
      </c>
      <c r="V220" s="365">
        <f>IF(Aprekini!V309=0,"-",Aprekini!V293/Aprekini!V309*100)</f>
        <v>12.565273103245508</v>
      </c>
      <c r="W220" s="365">
        <f>IF(Aprekini!W309=0,"-",Aprekini!W293/Aprekini!W309*100)</f>
        <v>11.469380398064185</v>
      </c>
      <c r="X220" s="365">
        <f>IF(Aprekini!X309=0,"-",Aprekini!X293/Aprekini!X309*100)</f>
        <v>10.566278225376209</v>
      </c>
      <c r="Y220" s="365">
        <f>IF(Aprekini!Y309=0,"-",Aprekini!Y293/Aprekini!Y309*100)</f>
        <v>9.845970286040444</v>
      </c>
      <c r="Z220" s="365">
        <f>IF(Aprekini!Z309=0,"-",Aprekini!Z293/Aprekini!Z309*100)</f>
        <v>9.19356323308989</v>
      </c>
      <c r="AA220" s="365">
        <f>IF(Aprekini!AA309=0,"-",Aprekini!AA293/Aprekini!AA309*100)</f>
        <v>8.641554721463253</v>
      </c>
      <c r="AB220" s="365">
        <f>IF(Aprekini!AB309=0,"-",Aprekini!AB293/Aprekini!AB309*100)</f>
        <v>8.265929448863321</v>
      </c>
      <c r="AC220" s="365">
        <f>IF(Aprekini!AC309=0,"-",Aprekini!AC293/Aprekini!AC309*100)</f>
        <v>7.842161844890665</v>
      </c>
      <c r="AD220" s="365">
        <f>IF(Aprekini!AD309=0,"-",Aprekini!AD293/Aprekini!AD309*100)</f>
        <v>7.339217793217621</v>
      </c>
      <c r="AE220" s="365">
        <f>IF(Aprekini!AE309=0,"-",Aprekini!AE293/Aprekini!AE309*100)</f>
        <v>7.111114055928186</v>
      </c>
      <c r="AF220" s="365">
        <f>IF(Aprekini!AF309=0,"-",Aprekini!AF293/Aprekini!AF309*100)</f>
        <v>6.739026212677565</v>
      </c>
      <c r="AG220" s="365">
        <f>IF(Aprekini!AG309=0,"-",Aprekini!AG293/Aprekini!AG309*100)</f>
        <v>6.3054478867563795</v>
      </c>
    </row>
    <row r="221" spans="1:6" s="328" customFormat="1" ht="12.75" hidden="1" outlineLevel="1">
      <c r="A221" s="361"/>
      <c r="F221" s="645"/>
    </row>
    <row r="222" spans="1:33" s="328" customFormat="1" ht="25.5" hidden="1" outlineLevel="1">
      <c r="A222" s="367" t="s">
        <v>276</v>
      </c>
      <c r="B222" s="365">
        <f>IF(Aprekini!B307=0,"-",Aprekini!B293/Aprekini!B307*100)</f>
        <v>-2.699456395436961</v>
      </c>
      <c r="C222" s="365">
        <f>IF(Aprekini!C307=0,"-",Aprekini!C293/Aprekini!C307*100)</f>
        <v>-1.083568463964115</v>
      </c>
      <c r="D222" s="365">
        <f>IF(Aprekini!D307=0,"-",Aprekini!D293/Aprekini!D307*100)</f>
        <v>0.006868336415401691</v>
      </c>
      <c r="E222" s="365">
        <f>IF(Aprekini!E307=0,"-",Aprekini!E293/Aprekini!E307*100)</f>
        <v>-1.0650196592512369</v>
      </c>
      <c r="F222" s="646">
        <f>IF(Aprekini!F307=0,"-",Aprekini!F293/Aprekini!F307*100)</f>
        <v>-1.028151518931057</v>
      </c>
      <c r="G222" s="365">
        <f>IF(Aprekini!G307=0,"-",Aprekini!G293/Aprekini!G307*100)</f>
        <v>-0.9797241101970241</v>
      </c>
      <c r="H222" s="365">
        <f>IF(Aprekini!H307=0,"-",Aprekini!H293/Aprekini!H307*100)</f>
        <v>-0.8985863460411008</v>
      </c>
      <c r="I222" s="365">
        <f>IF(Aprekini!I307=0,"-",Aprekini!I293/Aprekini!I307*100)</f>
        <v>-0.7719892920199788</v>
      </c>
      <c r="J222" s="365">
        <f>IF(Aprekini!J307=0,"-",Aprekini!J293/Aprekini!J307*100)</f>
        <v>-0.6274861912261764</v>
      </c>
      <c r="K222" s="365">
        <f>IF(Aprekini!K307=0,"-",Aprekini!K293/Aprekini!K307*100)</f>
        <v>-0.4710428369145993</v>
      </c>
      <c r="L222" s="365">
        <f>IF(Aprekini!L307=0,"-",Aprekini!L293/Aprekini!L307*100)</f>
        <v>-0.03660714307042887</v>
      </c>
      <c r="M222" s="365">
        <f>IF(Aprekini!M307=0,"-",Aprekini!M293/Aprekini!M307*100)</f>
        <v>0.14907327924231523</v>
      </c>
      <c r="N222" s="365">
        <f>IF(Aprekini!N307=0,"-",Aprekini!N293/Aprekini!N307*100)</f>
        <v>0.3666748943283285</v>
      </c>
      <c r="O222" s="365">
        <f>IF(Aprekini!O307=0,"-",Aprekini!O293/Aprekini!O307*100)</f>
        <v>0.7559975388306059</v>
      </c>
      <c r="P222" s="365">
        <f>IF(Aprekini!P307=0,"-",Aprekini!P293/Aprekini!P307*100)</f>
        <v>0.9601208151269567</v>
      </c>
      <c r="Q222" s="365">
        <f>IF(Aprekini!Q307=0,"-",Aprekini!Q293/Aprekini!Q307*100)</f>
        <v>1.2134372575202002</v>
      </c>
      <c r="R222" s="365">
        <f>IF(Aprekini!R307=0,"-",Aprekini!R293/Aprekini!R307*100)</f>
        <v>1.6051417843737628</v>
      </c>
      <c r="S222" s="365">
        <f>IF(Aprekini!S307=0,"-",Aprekini!S293/Aprekini!S307*100)</f>
        <v>2.228893602780006</v>
      </c>
      <c r="T222" s="365">
        <f>IF(Aprekini!T307=0,"-",Aprekini!T293/Aprekini!T307*100)</f>
        <v>3.66820393459074</v>
      </c>
      <c r="U222" s="365">
        <f>IF(Aprekini!U307=0,"-",Aprekini!U293/Aprekini!U307*100)</f>
        <v>3.841027284814511</v>
      </c>
      <c r="V222" s="365">
        <f>IF(Aprekini!V307=0,"-",Aprekini!V293/Aprekini!V307*100)</f>
        <v>4.088183217282511</v>
      </c>
      <c r="W222" s="365">
        <f>IF(Aprekini!W307=0,"-",Aprekini!W293/Aprekini!W307*100)</f>
        <v>4.251684157772714</v>
      </c>
      <c r="X222" s="365">
        <f>IF(Aprekini!X307=0,"-",Aprekini!X293/Aprekini!X307*100)</f>
        <v>4.412364155563502</v>
      </c>
      <c r="Y222" s="365">
        <f>IF(Aprekini!Y307=0,"-",Aprekini!Y293/Aprekini!Y307*100)</f>
        <v>4.58805147395511</v>
      </c>
      <c r="Z222" s="365">
        <f>IF(Aprekini!Z307=0,"-",Aprekini!Z293/Aprekini!Z307*100)</f>
        <v>4.740136576916515</v>
      </c>
      <c r="AA222" s="365">
        <f>IF(Aprekini!AA307=0,"-",Aprekini!AA293/Aprekini!AA307*100)</f>
        <v>4.893483894481171</v>
      </c>
      <c r="AB222" s="365">
        <f>IF(Aprekini!AB307=0,"-",Aprekini!AB293/Aprekini!AB307*100)</f>
        <v>5.10915556349585</v>
      </c>
      <c r="AC222" s="365">
        <f>IF(Aprekini!AC307=0,"-",Aprekini!AC293/Aprekini!AC307*100)</f>
        <v>5.258603156056728</v>
      </c>
      <c r="AD222" s="365">
        <f>IF(Aprekini!AD307=0,"-",Aprekini!AD293/Aprekini!AD307*100)</f>
        <v>5.307252866533487</v>
      </c>
      <c r="AE222" s="365">
        <f>IF(Aprekini!AE307=0,"-",Aprekini!AE293/Aprekini!AE307*100)</f>
        <v>5.3035435790177425</v>
      </c>
      <c r="AF222" s="365">
        <f>IF(Aprekini!AF307=0,"-",Aprekini!AF293/Aprekini!AF307*100)</f>
        <v>5.167829847319673</v>
      </c>
      <c r="AG222" s="365">
        <f>IF(Aprekini!AG307=0,"-",Aprekini!AG293/Aprekini!AG307*100)</f>
        <v>4.95743799191213</v>
      </c>
    </row>
    <row r="223" spans="1:6" s="328" customFormat="1" ht="12.75" hidden="1" outlineLevel="1">
      <c r="A223" s="361"/>
      <c r="F223" s="645"/>
    </row>
    <row r="224" spans="1:33" s="328" customFormat="1" ht="38.25" hidden="1" outlineLevel="1">
      <c r="A224" s="367" t="s">
        <v>277</v>
      </c>
      <c r="B224" s="365">
        <f>IF(Aprekini!B300=0,"-",Aprekini!B293/Aprekini!B300*100)</f>
        <v>-4.125066344993978</v>
      </c>
      <c r="C224" s="365">
        <f>IF(Aprekini!C300=0,"-",Aprekini!C293/Aprekini!C300*100)</f>
        <v>-1.3563370852044119</v>
      </c>
      <c r="D224" s="365">
        <f>IF(Aprekini!D300=0,"-",Aprekini!D293/Aprekini!D300*100)</f>
        <v>0.007432666540121606</v>
      </c>
      <c r="E224" s="365">
        <f>IF(Aprekini!E300=0,"-",Aprekini!E293/Aprekini!E300*100)</f>
        <v>-1.1672920186790519</v>
      </c>
      <c r="F224" s="646">
        <f>IF(Aprekini!F300=0,"-",Aprekini!F293/Aprekini!F300*100)</f>
        <v>-1.1185169643041761</v>
      </c>
      <c r="G224" s="365">
        <f>IF(Aprekini!G300=0,"-",Aprekini!G293/Aprekini!G300*100)</f>
        <v>-1.0582623315216761</v>
      </c>
      <c r="H224" s="365">
        <f>IF(Aprekini!H300=0,"-",Aprekini!H293/Aprekini!H300*100)</f>
        <v>-0.9643475304438675</v>
      </c>
      <c r="I224" s="365">
        <f>IF(Aprekini!I300=0,"-",Aprekini!I293/Aprekini!I300*100)</f>
        <v>-0.8240432227471948</v>
      </c>
      <c r="J224" s="365">
        <f>IF(Aprekini!J300=0,"-",Aprekini!J293/Aprekini!J300*100)</f>
        <v>-0.6666930170939561</v>
      </c>
      <c r="K224" s="365">
        <f>IF(Aprekini!K300=0,"-",Aprekini!K293/Aprekini!K300*100)</f>
        <v>-0.4986513151158585</v>
      </c>
      <c r="L224" s="365">
        <f>IF(Aprekini!L300=0,"-",Aprekini!L293/Aprekini!L300*100)</f>
        <v>-0.0386691535491115</v>
      </c>
      <c r="M224" s="365">
        <f>IF(Aprekini!M300=0,"-",Aprekini!M293/Aprekini!M300*100)</f>
        <v>0.15739436297964068</v>
      </c>
      <c r="N224" s="365">
        <f>IF(Aprekini!N300=0,"-",Aprekini!N293/Aprekini!N300*100)</f>
        <v>0.3877557958872177</v>
      </c>
      <c r="O224" s="365">
        <f>IF(Aprekini!O300=0,"-",Aprekini!O293/Aprekini!O300*100)</f>
        <v>0.8015892037766154</v>
      </c>
      <c r="P224" s="365">
        <f>IF(Aprekini!P300=0,"-",Aprekini!P293/Aprekini!P300*100)</f>
        <v>1.0227422699670596</v>
      </c>
      <c r="Q224" s="365">
        <f>IF(Aprekini!Q300=0,"-",Aprekini!Q293/Aprekini!Q300*100)</f>
        <v>1.301910170148303</v>
      </c>
      <c r="R224" s="365">
        <f>IF(Aprekini!R300=0,"-",Aprekini!R293/Aprekini!R300*100)</f>
        <v>1.7396892281811964</v>
      </c>
      <c r="S224" s="365">
        <f>IF(Aprekini!S300=0,"-",Aprekini!S293/Aprekini!S300*100)</f>
        <v>2.4503860401360855</v>
      </c>
      <c r="T224" s="365">
        <f>IF(Aprekini!T300=0,"-",Aprekini!T293/Aprekini!T300*100)</f>
        <v>4.098077331752226</v>
      </c>
      <c r="U224" s="365">
        <f>IF(Aprekini!U300=0,"-",Aprekini!U293/Aprekini!U300*100)</f>
        <v>4.369381954605513</v>
      </c>
      <c r="V224" s="365">
        <f>IF(Aprekini!V300=0,"-",Aprekini!V293/Aprekini!V300*100)</f>
        <v>4.74893748815191</v>
      </c>
      <c r="W224" s="365">
        <f>IF(Aprekini!W300=0,"-",Aprekini!W293/Aprekini!W300*100)</f>
        <v>5.054271054976316</v>
      </c>
      <c r="X224" s="365">
        <f>IF(Aprekini!X300=0,"-",Aprekini!X293/Aprekini!X300*100)</f>
        <v>5.37997478576663</v>
      </c>
      <c r="Y224" s="365">
        <f>IF(Aprekini!Y300=0,"-",Aprekini!Y293/Aprekini!Y300*100)</f>
        <v>5.752483178237513</v>
      </c>
      <c r="Z224" s="365">
        <f>IF(Aprekini!Z300=0,"-",Aprekini!Z293/Aprekini!Z300*100)</f>
        <v>6.126370236143866</v>
      </c>
      <c r="AA224" s="365">
        <f>IF(Aprekini!AA300=0,"-",Aprekini!AA293/Aprekini!AA300*100)</f>
        <v>6.536682290390992</v>
      </c>
      <c r="AB224" s="365">
        <f>IF(Aprekini!AB300=0,"-",Aprekini!AB293/Aprekini!AB300*100)</f>
        <v>7.078089829275042</v>
      </c>
      <c r="AC224" s="365">
        <f>IF(Aprekini!AC300=0,"-",Aprekini!AC293/Aprekini!AC300*100)</f>
        <v>7.578126025868685</v>
      </c>
      <c r="AD224" s="365">
        <f>IF(Aprekini!AD300=0,"-",Aprekini!AD293/Aprekini!AD300*100)</f>
        <v>7.97277003777462</v>
      </c>
      <c r="AE224" s="365">
        <f>IF(Aprekini!AE300=0,"-",Aprekini!AE293/Aprekini!AE300*100)</f>
        <v>8.677922997549627</v>
      </c>
      <c r="AF224" s="365">
        <f>IF(Aprekini!AF300=0,"-",Aprekini!AF293/Aprekini!AF300*100)</f>
        <v>9.218944066602889</v>
      </c>
      <c r="AG224" s="365">
        <f>IF(Aprekini!AG300=0,"-",Aprekini!AG293/Aprekini!AG300*100)</f>
        <v>9.644682829783962</v>
      </c>
    </row>
    <row r="225" spans="1:6" s="328" customFormat="1" ht="12.75" hidden="1" outlineLevel="1">
      <c r="A225" s="361"/>
      <c r="F225" s="645"/>
    </row>
    <row r="226" spans="1:33" s="328" customFormat="1" ht="12.75" collapsed="1">
      <c r="A226" s="364" t="s">
        <v>278</v>
      </c>
      <c r="B226" s="368">
        <f>Aprekini!B293+'Naudas plusma'!B9*0.5</f>
        <v>90.15999999999622</v>
      </c>
      <c r="C226" s="368">
        <f>Aprekini!C293+'Naudas plusma'!C9*0.5</f>
        <v>-525.7112000000052</v>
      </c>
      <c r="D226" s="368">
        <f>Aprekini!D293+'Naudas plusma'!D9*0.5</f>
        <v>1855.9235317012058</v>
      </c>
      <c r="E226" s="368">
        <f>Aprekini!E293+'Naudas plusma'!E9*0.5</f>
        <v>4321.626664522331</v>
      </c>
      <c r="F226" s="647">
        <f>Aprekini!F293+'Naudas plusma'!F9*0.5</f>
        <v>4962.571564522334</v>
      </c>
      <c r="G226" s="368">
        <f>Aprekini!G293+'Naudas plusma'!G9*0.5</f>
        <v>5656.107749562327</v>
      </c>
      <c r="H226" s="368">
        <f>Aprekini!H293+'Naudas plusma'!H9*0.5</f>
        <v>6537.536434602343</v>
      </c>
      <c r="I226" s="368">
        <f>Aprekini!I293+'Naudas plusma'!I9*0.5</f>
        <v>7660.502619642344</v>
      </c>
      <c r="J226" s="368">
        <f>Aprekini!J293+'Naudas plusma'!J9*0.5</f>
        <v>8636.32880468233</v>
      </c>
      <c r="K226" s="368">
        <f>Aprekini!K293+'Naudas plusma'!K9*0.5</f>
        <v>9642.757489722333</v>
      </c>
      <c r="L226" s="368">
        <f>Aprekini!L293+'Naudas plusma'!L9*0.5</f>
        <v>11542.501174762334</v>
      </c>
      <c r="M226" s="368">
        <f>Aprekini!M293+'Naudas plusma'!M9*0.5</f>
        <v>12584.954859802345</v>
      </c>
      <c r="N226" s="368">
        <f>Aprekini!N293+'Naudas plusma'!N9*0.5</f>
        <v>13707.921044842331</v>
      </c>
      <c r="O226" s="368">
        <f>Aprekini!O293+'Naudas plusma'!O9*0.5</f>
        <v>14500.656316621633</v>
      </c>
      <c r="P226" s="368">
        <f>Aprekini!P293+'Naudas plusma'!P9*0.5</f>
        <v>15349.693001661642</v>
      </c>
      <c r="Q226" s="368">
        <f>Aprekini!Q293+'Naudas plusma'!Q9*0.5</f>
        <v>16359.754686701639</v>
      </c>
      <c r="R226" s="368">
        <f>Aprekini!R293+'Naudas plusma'!R9*0.5</f>
        <v>17673.50637174163</v>
      </c>
      <c r="S226" s="368">
        <f>Aprekini!S293+'Naudas plusma'!S9*0.5</f>
        <v>19666.643056781646</v>
      </c>
      <c r="T226" s="368">
        <f>Aprekini!T293+'Naudas plusma'!T9*0.5</f>
        <v>21594.734084801956</v>
      </c>
      <c r="U226" s="368">
        <f>Aprekini!U293+'Naudas plusma'!U9*0.5</f>
        <v>22148.49826984196</v>
      </c>
      <c r="V226" s="368">
        <f>Aprekini!V293+'Naudas plusma'!V9*0.5</f>
        <v>23035.424554881956</v>
      </c>
      <c r="W226" s="368">
        <f>Aprekini!W293+'Naudas plusma'!W9*0.5</f>
        <v>23573.38833992196</v>
      </c>
      <c r="X226" s="368">
        <f>Aprekini!X293+'Naudas plusma'!X9*0.5</f>
        <v>24111.352124961963</v>
      </c>
      <c r="Y226" s="368">
        <f>Aprekini!Y293+'Naudas plusma'!Y9*0.5</f>
        <v>24729.828410001963</v>
      </c>
      <c r="Z226" s="368">
        <f>Aprekini!Z293+'Naudas plusma'!Z9*0.5</f>
        <v>25267.792195041966</v>
      </c>
      <c r="AA226" s="368">
        <f>Aprekini!AA293+'Naudas plusma'!AA9*0.5</f>
        <v>25832.578480081964</v>
      </c>
      <c r="AB226" s="368">
        <f>Aprekini!AB293+'Naudas plusma'!AB9*0.5</f>
        <v>26692.592265121963</v>
      </c>
      <c r="AC226" s="368">
        <f>Aprekini!AC293+'Naudas plusma'!AC9*0.5</f>
        <v>27311.06855016197</v>
      </c>
      <c r="AD226" s="368">
        <f>Aprekini!AD293+'Naudas plusma'!AD9*0.5</f>
        <v>27526.982335201978</v>
      </c>
      <c r="AE226" s="368">
        <f>Aprekini!AE293+'Naudas plusma'!AE9*0.5</f>
        <v>28467.50862024196</v>
      </c>
      <c r="AF226" s="368">
        <f>Aprekini!AF293+'Naudas plusma'!AF9*0.5</f>
        <v>28835.25102024197</v>
      </c>
      <c r="AG226" s="368">
        <f>Aprekini!AG293+'Naudas plusma'!AG9*0.5</f>
        <v>28803.551420241947</v>
      </c>
    </row>
    <row r="227" spans="1:6" s="328" customFormat="1" ht="12.75">
      <c r="A227" s="361"/>
      <c r="F227" s="645"/>
    </row>
    <row r="228" spans="1:6" s="209" customFormat="1" ht="12" customHeight="1">
      <c r="A228" s="311"/>
      <c r="F228" s="633"/>
    </row>
    <row r="229" spans="1:254" s="209" customFormat="1" ht="31.5">
      <c r="A229" s="447" t="s">
        <v>394</v>
      </c>
      <c r="B229" s="316"/>
      <c r="C229" s="316"/>
      <c r="D229" s="316"/>
      <c r="E229" s="316"/>
      <c r="F229" s="612"/>
      <c r="G229" s="316"/>
      <c r="H229" s="316"/>
      <c r="I229" s="316"/>
      <c r="J229" s="316"/>
      <c r="K229" s="316"/>
      <c r="L229" s="316"/>
      <c r="M229" s="316"/>
      <c r="N229" s="316"/>
      <c r="O229" s="316"/>
      <c r="P229" s="317"/>
      <c r="Q229" s="317"/>
      <c r="R229" s="317"/>
      <c r="S229" s="317"/>
      <c r="T229" s="317"/>
      <c r="U229" s="317"/>
      <c r="V229" s="317"/>
      <c r="W229" s="317"/>
      <c r="X229" s="317"/>
      <c r="Y229" s="317"/>
      <c r="Z229" s="317"/>
      <c r="AA229" s="317"/>
      <c r="AB229" s="317"/>
      <c r="AC229" s="317"/>
      <c r="AD229" s="317"/>
      <c r="AE229" s="317"/>
      <c r="AF229" s="317"/>
      <c r="AG229" s="317"/>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208"/>
      <c r="BD229" s="208"/>
      <c r="BE229" s="208"/>
      <c r="BF229" s="208"/>
      <c r="BG229" s="208"/>
      <c r="BH229" s="208"/>
      <c r="BI229" s="208"/>
      <c r="BJ229" s="208"/>
      <c r="BK229" s="208"/>
      <c r="BL229" s="208"/>
      <c r="BM229" s="208"/>
      <c r="BN229" s="208"/>
      <c r="BO229" s="208"/>
      <c r="BP229" s="208"/>
      <c r="BQ229" s="208"/>
      <c r="BR229" s="208"/>
      <c r="BS229" s="208"/>
      <c r="BT229" s="208"/>
      <c r="BU229" s="208"/>
      <c r="BV229" s="208"/>
      <c r="BW229" s="208"/>
      <c r="BX229" s="208"/>
      <c r="BY229" s="208"/>
      <c r="BZ229" s="208"/>
      <c r="CA229" s="208"/>
      <c r="CB229" s="208"/>
      <c r="CC229" s="208"/>
      <c r="CD229" s="208"/>
      <c r="CE229" s="208"/>
      <c r="CF229" s="208"/>
      <c r="CG229" s="208"/>
      <c r="CH229" s="208"/>
      <c r="CI229" s="208"/>
      <c r="CJ229" s="208"/>
      <c r="CK229" s="208"/>
      <c r="CL229" s="208"/>
      <c r="CM229" s="208"/>
      <c r="CN229" s="208"/>
      <c r="CO229" s="208"/>
      <c r="CP229" s="208"/>
      <c r="CQ229" s="208"/>
      <c r="CR229" s="208"/>
      <c r="CS229" s="208"/>
      <c r="CT229" s="208"/>
      <c r="CU229" s="208"/>
      <c r="CV229" s="208"/>
      <c r="CW229" s="208"/>
      <c r="CX229" s="208"/>
      <c r="CY229" s="208"/>
      <c r="CZ229" s="208"/>
      <c r="DA229" s="208"/>
      <c r="DB229" s="208"/>
      <c r="DC229" s="208"/>
      <c r="DD229" s="208"/>
      <c r="DE229" s="208"/>
      <c r="DF229" s="208"/>
      <c r="DG229" s="208"/>
      <c r="DH229" s="208"/>
      <c r="DI229" s="208"/>
      <c r="DJ229" s="208"/>
      <c r="DK229" s="208"/>
      <c r="DL229" s="208"/>
      <c r="DM229" s="208"/>
      <c r="DN229" s="208"/>
      <c r="DO229" s="208"/>
      <c r="DP229" s="208"/>
      <c r="DQ229" s="208"/>
      <c r="DR229" s="208"/>
      <c r="DS229" s="208"/>
      <c r="DT229" s="208"/>
      <c r="DU229" s="208"/>
      <c r="DV229" s="208"/>
      <c r="DW229" s="208"/>
      <c r="DX229" s="208"/>
      <c r="DY229" s="208"/>
      <c r="DZ229" s="208"/>
      <c r="EA229" s="208"/>
      <c r="EB229" s="208"/>
      <c r="EC229" s="208"/>
      <c r="ED229" s="208"/>
      <c r="EE229" s="208"/>
      <c r="EF229" s="208"/>
      <c r="EG229" s="208"/>
      <c r="EH229" s="208"/>
      <c r="EI229" s="208"/>
      <c r="EJ229" s="208"/>
      <c r="EK229" s="208"/>
      <c r="EL229" s="208"/>
      <c r="EM229" s="208"/>
      <c r="EN229" s="208"/>
      <c r="EO229" s="208"/>
      <c r="EP229" s="208"/>
      <c r="EQ229" s="208"/>
      <c r="ER229" s="208"/>
      <c r="ES229" s="208"/>
      <c r="ET229" s="208"/>
      <c r="EU229" s="208"/>
      <c r="EV229" s="208"/>
      <c r="EW229" s="208"/>
      <c r="EX229" s="208"/>
      <c r="EY229" s="208"/>
      <c r="EZ229" s="208"/>
      <c r="FA229" s="208"/>
      <c r="FB229" s="208"/>
      <c r="FC229" s="208"/>
      <c r="FD229" s="208"/>
      <c r="FE229" s="208"/>
      <c r="FF229" s="208"/>
      <c r="FG229" s="208"/>
      <c r="FH229" s="208"/>
      <c r="FI229" s="208"/>
      <c r="FJ229" s="208"/>
      <c r="FK229" s="208"/>
      <c r="FL229" s="208"/>
      <c r="FM229" s="208"/>
      <c r="FN229" s="208"/>
      <c r="FO229" s="208"/>
      <c r="FP229" s="208"/>
      <c r="FQ229" s="208"/>
      <c r="FR229" s="208"/>
      <c r="FS229" s="208"/>
      <c r="FT229" s="208"/>
      <c r="FU229" s="208"/>
      <c r="FV229" s="208"/>
      <c r="FW229" s="208"/>
      <c r="FX229" s="208"/>
      <c r="FY229" s="208"/>
      <c r="FZ229" s="208"/>
      <c r="GA229" s="208"/>
      <c r="GB229" s="208"/>
      <c r="GC229" s="208"/>
      <c r="GD229" s="208"/>
      <c r="GE229" s="208"/>
      <c r="GF229" s="208"/>
      <c r="GG229" s="208"/>
      <c r="GH229" s="208"/>
      <c r="GI229" s="208"/>
      <c r="GJ229" s="208"/>
      <c r="GK229" s="208"/>
      <c r="GL229" s="208"/>
      <c r="GM229" s="208"/>
      <c r="GN229" s="208"/>
      <c r="GO229" s="208"/>
      <c r="GP229" s="208"/>
      <c r="GQ229" s="208"/>
      <c r="GR229" s="208"/>
      <c r="GS229" s="208"/>
      <c r="GT229" s="208"/>
      <c r="GU229" s="208"/>
      <c r="GV229" s="208"/>
      <c r="GW229" s="208"/>
      <c r="GX229" s="208"/>
      <c r="GY229" s="208"/>
      <c r="GZ229" s="208"/>
      <c r="HA229" s="208"/>
      <c r="HB229" s="208"/>
      <c r="HC229" s="208"/>
      <c r="HD229" s="208"/>
      <c r="HE229" s="208"/>
      <c r="HF229" s="208"/>
      <c r="HG229" s="208"/>
      <c r="HH229" s="208"/>
      <c r="HI229" s="208"/>
      <c r="HJ229" s="208"/>
      <c r="HK229" s="208"/>
      <c r="HL229" s="208"/>
      <c r="HM229" s="208"/>
      <c r="HN229" s="208"/>
      <c r="HO229" s="208"/>
      <c r="HP229" s="208"/>
      <c r="HQ229" s="208"/>
      <c r="HR229" s="208"/>
      <c r="HS229" s="208"/>
      <c r="HT229" s="208"/>
      <c r="HU229" s="208"/>
      <c r="HV229" s="208"/>
      <c r="HW229" s="208"/>
      <c r="HX229" s="208"/>
      <c r="HY229" s="208"/>
      <c r="HZ229" s="208"/>
      <c r="IA229" s="208"/>
      <c r="IB229" s="208"/>
      <c r="IC229" s="208"/>
      <c r="ID229" s="208"/>
      <c r="IE229" s="208"/>
      <c r="IF229" s="208"/>
      <c r="IG229" s="208"/>
      <c r="IH229" s="208"/>
      <c r="II229" s="208"/>
      <c r="IJ229" s="208"/>
      <c r="IK229" s="208"/>
      <c r="IL229" s="208"/>
      <c r="IM229" s="208"/>
      <c r="IN229" s="208"/>
      <c r="IO229" s="208"/>
      <c r="IP229" s="208"/>
      <c r="IQ229" s="208"/>
      <c r="IR229" s="208"/>
      <c r="IS229" s="208"/>
      <c r="IT229" s="208"/>
    </row>
    <row r="230" spans="1:33" s="209" customFormat="1" ht="12.75">
      <c r="A230" s="332"/>
      <c r="B230" s="308"/>
      <c r="C230" s="308"/>
      <c r="D230" s="308"/>
      <c r="E230" s="308"/>
      <c r="F230" s="631"/>
      <c r="G230" s="308"/>
      <c r="H230" s="308"/>
      <c r="I230" s="308"/>
      <c r="J230" s="308"/>
      <c r="K230" s="308"/>
      <c r="L230" s="308"/>
      <c r="M230" s="348" t="s">
        <v>25</v>
      </c>
      <c r="N230" s="308"/>
      <c r="O230" s="308"/>
      <c r="P230" s="308"/>
      <c r="Q230" s="308"/>
      <c r="R230" s="308"/>
      <c r="S230" s="308"/>
      <c r="T230" s="308"/>
      <c r="U230" s="308"/>
      <c r="V230" s="308"/>
      <c r="W230" s="308"/>
      <c r="X230" s="308"/>
      <c r="Y230" s="308"/>
      <c r="Z230" s="308"/>
      <c r="AA230" s="308"/>
      <c r="AB230" s="308"/>
      <c r="AC230" s="308"/>
      <c r="AD230" s="308"/>
      <c r="AE230" s="308"/>
      <c r="AF230" s="308"/>
      <c r="AG230" s="308"/>
    </row>
    <row r="231" spans="1:33" s="209" customFormat="1" ht="12.75">
      <c r="A231" s="332"/>
      <c r="B231" s="327">
        <f>Aprekini!B5</f>
        <v>2011</v>
      </c>
      <c r="C231" s="327">
        <f aca="true" t="shared" si="80" ref="C231:AG231">B231+1</f>
        <v>2012</v>
      </c>
      <c r="D231" s="327">
        <f t="shared" si="80"/>
        <v>2013</v>
      </c>
      <c r="E231" s="327">
        <f t="shared" si="80"/>
        <v>2014</v>
      </c>
      <c r="F231" s="637">
        <f t="shared" si="80"/>
        <v>2015</v>
      </c>
      <c r="G231" s="327">
        <f t="shared" si="80"/>
        <v>2016</v>
      </c>
      <c r="H231" s="327">
        <f t="shared" si="80"/>
        <v>2017</v>
      </c>
      <c r="I231" s="327">
        <f t="shared" si="80"/>
        <v>2018</v>
      </c>
      <c r="J231" s="327">
        <f t="shared" si="80"/>
        <v>2019</v>
      </c>
      <c r="K231" s="327">
        <f t="shared" si="80"/>
        <v>2020</v>
      </c>
      <c r="L231" s="327">
        <f t="shared" si="80"/>
        <v>2021</v>
      </c>
      <c r="M231" s="327">
        <f t="shared" si="80"/>
        <v>2022</v>
      </c>
      <c r="N231" s="327">
        <f t="shared" si="80"/>
        <v>2023</v>
      </c>
      <c r="O231" s="327">
        <f t="shared" si="80"/>
        <v>2024</v>
      </c>
      <c r="P231" s="327">
        <f t="shared" si="80"/>
        <v>2025</v>
      </c>
      <c r="Q231" s="327">
        <f t="shared" si="80"/>
        <v>2026</v>
      </c>
      <c r="R231" s="327">
        <f t="shared" si="80"/>
        <v>2027</v>
      </c>
      <c r="S231" s="327">
        <f t="shared" si="80"/>
        <v>2028</v>
      </c>
      <c r="T231" s="327">
        <f t="shared" si="80"/>
        <v>2029</v>
      </c>
      <c r="U231" s="322">
        <f t="shared" si="80"/>
        <v>2030</v>
      </c>
      <c r="V231" s="322">
        <f t="shared" si="80"/>
        <v>2031</v>
      </c>
      <c r="W231" s="322">
        <f t="shared" si="80"/>
        <v>2032</v>
      </c>
      <c r="X231" s="322">
        <f t="shared" si="80"/>
        <v>2033</v>
      </c>
      <c r="Y231" s="322">
        <f t="shared" si="80"/>
        <v>2034</v>
      </c>
      <c r="Z231" s="322">
        <f t="shared" si="80"/>
        <v>2035</v>
      </c>
      <c r="AA231" s="322">
        <f t="shared" si="80"/>
        <v>2036</v>
      </c>
      <c r="AB231" s="322">
        <f t="shared" si="80"/>
        <v>2037</v>
      </c>
      <c r="AC231" s="322">
        <f t="shared" si="80"/>
        <v>2038</v>
      </c>
      <c r="AD231" s="322">
        <f t="shared" si="80"/>
        <v>2039</v>
      </c>
      <c r="AE231" s="322">
        <f t="shared" si="80"/>
        <v>2040</v>
      </c>
      <c r="AF231" s="322">
        <f t="shared" si="80"/>
        <v>2041</v>
      </c>
      <c r="AG231" s="322">
        <f t="shared" si="80"/>
        <v>2042</v>
      </c>
    </row>
    <row r="232" spans="1:33" s="209" customFormat="1" ht="12.75">
      <c r="A232" s="346" t="s">
        <v>180</v>
      </c>
      <c r="B232" s="207">
        <f>'Saimnieciskas pamatdarbibas NP'!B111</f>
        <v>0</v>
      </c>
      <c r="C232" s="207">
        <f>'Saimnieciskas pamatdarbibas NP'!C111</f>
        <v>0</v>
      </c>
      <c r="D232" s="207">
        <f>'Saimnieciskas pamatdarbibas NP'!D111</f>
        <v>-1335.4717499999997</v>
      </c>
      <c r="E232" s="207">
        <f>'Saimnieciskas pamatdarbibas NP'!E111</f>
        <v>12430.91</v>
      </c>
      <c r="F232" s="635">
        <f>'Saimnieciskas pamatdarbibas NP'!F111</f>
        <v>12186.496750000002</v>
      </c>
      <c r="G232" s="207">
        <f>'Saimnieciskas pamatdarbibas NP'!G111</f>
        <v>11903.023749999997</v>
      </c>
      <c r="H232" s="207">
        <f>'Saimnieciskas pamatdarbibas NP'!H111</f>
        <v>11807.44325</v>
      </c>
      <c r="I232" s="207">
        <f>'Saimnieciskas pamatdarbibas NP'!I111</f>
        <v>11879.731499999998</v>
      </c>
      <c r="J232" s="207">
        <f>'Saimnieciskas pamatdarbibas NP'!J111</f>
        <v>12089.560499999996</v>
      </c>
      <c r="K232" s="207">
        <f>'Saimnieciskas pamatdarbibas NP'!K111</f>
        <v>12214.98624999999</v>
      </c>
      <c r="L232" s="207">
        <f>'Saimnieciskas pamatdarbibas NP'!L111</f>
        <v>14033.437749999994</v>
      </c>
      <c r="M232" s="207">
        <f>'Saimnieciskas pamatdarbibas NP'!M111</f>
        <v>14025.213500000002</v>
      </c>
      <c r="N232" s="207">
        <f>'Saimnieciskas pamatdarbibas NP'!N111</f>
        <v>14171.170499999993</v>
      </c>
      <c r="O232" s="207">
        <f>'Saimnieciskas pamatdarbibas NP'!O111</f>
        <v>13753.44999999999</v>
      </c>
      <c r="P232" s="207">
        <f>'Saimnieciskas pamatdarbibas NP'!P111</f>
        <v>13446.289999999997</v>
      </c>
      <c r="Q232" s="207">
        <f>'Saimnieciskas pamatdarbibas NP'!Q111</f>
        <v>13348.406499999994</v>
      </c>
      <c r="R232" s="207">
        <f>'Saimnieciskas pamatdarbibas NP'!R111</f>
        <v>13819.894249999994</v>
      </c>
      <c r="S232" s="207">
        <f>'Saimnieciskas pamatdarbibas NP'!S111</f>
        <v>15261.865499999993</v>
      </c>
      <c r="T232" s="207">
        <f>'Saimnieciskas pamatdarbibas NP'!T111</f>
        <v>15378.741999999995</v>
      </c>
      <c r="U232" s="207">
        <f>'Saimnieciskas pamatdarbibas NP'!U111</f>
        <v>14898.229749999999</v>
      </c>
      <c r="V232" s="207">
        <f>'Saimnieciskas pamatdarbibas NP'!V111</f>
        <v>14576.529499999999</v>
      </c>
      <c r="W232" s="207">
        <f>'Saimnieciskas pamatdarbibas NP'!W111</f>
        <v>14027.787</v>
      </c>
      <c r="X232" s="207">
        <f>'Saimnieciskas pamatdarbibas NP'!X111</f>
        <v>13479.0445</v>
      </c>
      <c r="Y232" s="207">
        <f>'Saimnieciskas pamatdarbibas NP'!Y111</f>
        <v>13010.814500000002</v>
      </c>
      <c r="Z232" s="207">
        <f>'Saimnieciskas pamatdarbibas NP'!Z111</f>
        <v>12388.40325</v>
      </c>
      <c r="AA232" s="207">
        <f>'Saimnieciskas pamatdarbibas NP'!AA111</f>
        <v>11866.48324999999</v>
      </c>
      <c r="AB232" s="207">
        <f>'Saimnieciskas pamatdarbibas NP'!AB111</f>
        <v>11639.79075</v>
      </c>
      <c r="AC232" s="207">
        <f>'Saimnieciskas pamatdarbibas NP'!AC111</f>
        <v>11097.892000000003</v>
      </c>
      <c r="AD232" s="207">
        <f>'Saimnieciskas pamatdarbibas NP'!AD111</f>
        <v>10178.848000000002</v>
      </c>
      <c r="AE232" s="207">
        <f>'Saimnieciskas pamatdarbibas NP'!AE111</f>
        <v>10032.668</v>
      </c>
      <c r="AF232" s="207">
        <f>'Saimnieciskas pamatdarbibas NP'!AF111</f>
        <v>10047.558000000006</v>
      </c>
      <c r="AG232" s="207">
        <f>'Saimnieciskas pamatdarbibas NP'!AG111</f>
        <v>9577.069999999989</v>
      </c>
    </row>
    <row r="233" spans="1:33" s="209" customFormat="1" ht="12.75">
      <c r="A233" s="994" t="s">
        <v>554</v>
      </c>
      <c r="B233" s="207">
        <f>B104</f>
        <v>0</v>
      </c>
      <c r="C233" s="207">
        <f aca="true" t="shared" si="81" ref="C233:AG233">C104</f>
        <v>0</v>
      </c>
      <c r="D233" s="207">
        <f t="shared" si="81"/>
        <v>0</v>
      </c>
      <c r="E233" s="207">
        <f t="shared" si="81"/>
        <v>0</v>
      </c>
      <c r="F233" s="207">
        <f t="shared" si="81"/>
        <v>0</v>
      </c>
      <c r="G233" s="207">
        <f t="shared" si="81"/>
        <v>0</v>
      </c>
      <c r="H233" s="207">
        <f t="shared" si="81"/>
        <v>0</v>
      </c>
      <c r="I233" s="207">
        <f t="shared" si="81"/>
        <v>0</v>
      </c>
      <c r="J233" s="207">
        <f t="shared" si="81"/>
        <v>0</v>
      </c>
      <c r="K233" s="207">
        <f t="shared" si="81"/>
        <v>0</v>
      </c>
      <c r="L233" s="207">
        <f t="shared" si="81"/>
        <v>0</v>
      </c>
      <c r="M233" s="207">
        <f t="shared" si="81"/>
        <v>0</v>
      </c>
      <c r="N233" s="207">
        <f t="shared" si="81"/>
        <v>0</v>
      </c>
      <c r="O233" s="207">
        <f t="shared" si="81"/>
        <v>0</v>
      </c>
      <c r="P233" s="207">
        <f t="shared" si="81"/>
        <v>0</v>
      </c>
      <c r="Q233" s="207">
        <f t="shared" si="81"/>
        <v>0</v>
      </c>
      <c r="R233" s="207">
        <f t="shared" si="81"/>
        <v>0</v>
      </c>
      <c r="S233" s="207">
        <f t="shared" si="81"/>
        <v>0</v>
      </c>
      <c r="T233" s="207">
        <f t="shared" si="81"/>
        <v>0</v>
      </c>
      <c r="U233" s="207">
        <f t="shared" si="81"/>
        <v>0</v>
      </c>
      <c r="V233" s="207">
        <f t="shared" si="81"/>
        <v>0</v>
      </c>
      <c r="W233" s="207">
        <f t="shared" si="81"/>
        <v>0</v>
      </c>
      <c r="X233" s="207">
        <f t="shared" si="81"/>
        <v>0</v>
      </c>
      <c r="Y233" s="207">
        <f t="shared" si="81"/>
        <v>0</v>
      </c>
      <c r="Z233" s="207">
        <f t="shared" si="81"/>
        <v>0</v>
      </c>
      <c r="AA233" s="207">
        <f t="shared" si="81"/>
        <v>0</v>
      </c>
      <c r="AB233" s="207">
        <f t="shared" si="81"/>
        <v>0</v>
      </c>
      <c r="AC233" s="207">
        <f t="shared" si="81"/>
        <v>0</v>
      </c>
      <c r="AD233" s="207">
        <f t="shared" si="81"/>
        <v>0</v>
      </c>
      <c r="AE233" s="207">
        <f t="shared" si="81"/>
        <v>0</v>
      </c>
      <c r="AF233" s="207">
        <f t="shared" si="81"/>
        <v>0</v>
      </c>
      <c r="AG233" s="207">
        <f t="shared" si="81"/>
        <v>239518</v>
      </c>
    </row>
    <row r="234" spans="1:33" s="209" customFormat="1" ht="12.75">
      <c r="A234" s="324" t="s">
        <v>255</v>
      </c>
      <c r="B234" s="325">
        <f>SUM(B232:B233)</f>
        <v>0</v>
      </c>
      <c r="C234" s="325">
        <f aca="true" t="shared" si="82" ref="C234:AG234">SUM(C232:C233)</f>
        <v>0</v>
      </c>
      <c r="D234" s="325">
        <f t="shared" si="82"/>
        <v>-1335.4717499999997</v>
      </c>
      <c r="E234" s="325">
        <f t="shared" si="82"/>
        <v>12430.91</v>
      </c>
      <c r="F234" s="325">
        <f t="shared" si="82"/>
        <v>12186.496750000002</v>
      </c>
      <c r="G234" s="325">
        <f t="shared" si="82"/>
        <v>11903.023749999997</v>
      </c>
      <c r="H234" s="325">
        <f t="shared" si="82"/>
        <v>11807.44325</v>
      </c>
      <c r="I234" s="325">
        <f t="shared" si="82"/>
        <v>11879.731499999998</v>
      </c>
      <c r="J234" s="325">
        <f t="shared" si="82"/>
        <v>12089.560499999996</v>
      </c>
      <c r="K234" s="325">
        <f t="shared" si="82"/>
        <v>12214.98624999999</v>
      </c>
      <c r="L234" s="325">
        <f t="shared" si="82"/>
        <v>14033.437749999994</v>
      </c>
      <c r="M234" s="325">
        <f t="shared" si="82"/>
        <v>14025.213500000002</v>
      </c>
      <c r="N234" s="325">
        <f t="shared" si="82"/>
        <v>14171.170499999993</v>
      </c>
      <c r="O234" s="325">
        <f t="shared" si="82"/>
        <v>13753.44999999999</v>
      </c>
      <c r="P234" s="325">
        <f t="shared" si="82"/>
        <v>13446.289999999997</v>
      </c>
      <c r="Q234" s="325">
        <f t="shared" si="82"/>
        <v>13348.406499999994</v>
      </c>
      <c r="R234" s="325">
        <f t="shared" si="82"/>
        <v>13819.894249999994</v>
      </c>
      <c r="S234" s="325">
        <f t="shared" si="82"/>
        <v>15261.865499999993</v>
      </c>
      <c r="T234" s="325">
        <f t="shared" si="82"/>
        <v>15378.741999999995</v>
      </c>
      <c r="U234" s="325">
        <f t="shared" si="82"/>
        <v>14898.229749999999</v>
      </c>
      <c r="V234" s="325">
        <f t="shared" si="82"/>
        <v>14576.529499999999</v>
      </c>
      <c r="W234" s="325">
        <f t="shared" si="82"/>
        <v>14027.787</v>
      </c>
      <c r="X234" s="325">
        <f t="shared" si="82"/>
        <v>13479.0445</v>
      </c>
      <c r="Y234" s="325">
        <f t="shared" si="82"/>
        <v>13010.814500000002</v>
      </c>
      <c r="Z234" s="325">
        <f t="shared" si="82"/>
        <v>12388.40325</v>
      </c>
      <c r="AA234" s="325">
        <f t="shared" si="82"/>
        <v>11866.48324999999</v>
      </c>
      <c r="AB234" s="325">
        <f t="shared" si="82"/>
        <v>11639.79075</v>
      </c>
      <c r="AC234" s="325">
        <f t="shared" si="82"/>
        <v>11097.892000000003</v>
      </c>
      <c r="AD234" s="325">
        <f t="shared" si="82"/>
        <v>10178.848000000002</v>
      </c>
      <c r="AE234" s="325">
        <f t="shared" si="82"/>
        <v>10032.668</v>
      </c>
      <c r="AF234" s="325">
        <f t="shared" si="82"/>
        <v>10047.558000000006</v>
      </c>
      <c r="AG234" s="325">
        <f t="shared" si="82"/>
        <v>249095.06999999998</v>
      </c>
    </row>
    <row r="235" spans="1:33" s="209" customFormat="1" ht="12.75">
      <c r="A235" s="206" t="s">
        <v>256</v>
      </c>
      <c r="B235" s="207">
        <f>'Saimnieciskas pamatdarbibas NP'!B102</f>
        <v>0</v>
      </c>
      <c r="C235" s="207">
        <f>'Saimnieciskas pamatdarbibas NP'!C102</f>
        <v>0</v>
      </c>
      <c r="D235" s="207">
        <f>'Saimnieciskas pamatdarbibas NP'!D102</f>
        <v>-2750</v>
      </c>
      <c r="E235" s="207">
        <f>'Saimnieciskas pamatdarbibas NP'!E102</f>
        <v>-9079.55</v>
      </c>
      <c r="F235" s="635">
        <f>'Saimnieciskas pamatdarbibas NP'!F102</f>
        <v>-9895.913999999999</v>
      </c>
      <c r="G235" s="207">
        <f>'Saimnieciskas pamatdarbibas NP'!G102</f>
        <v>-10077.505000000003</v>
      </c>
      <c r="H235" s="207">
        <f>'Saimnieciskas pamatdarbibas NP'!H102</f>
        <v>-10259.096</v>
      </c>
      <c r="I235" s="207">
        <f>'Saimnieciskas pamatdarbibas NP'!I102</f>
        <v>-10440.686999999996</v>
      </c>
      <c r="J235" s="207">
        <f>'Saimnieciskas pamatdarbibas NP'!J102</f>
        <v>-10622.278000000002</v>
      </c>
      <c r="K235" s="207">
        <f>'Saimnieciskas pamatdarbibas NP'!K102</f>
        <v>-10803.869</v>
      </c>
      <c r="L235" s="207">
        <f>'Saimnieciskas pamatdarbibas NP'!L102</f>
        <v>-10985.46</v>
      </c>
      <c r="M235" s="207">
        <f>'Saimnieciskas pamatdarbibas NP'!M102</f>
        <v>-11167.051000000003</v>
      </c>
      <c r="N235" s="207">
        <f>'Saimnieciskas pamatdarbibas NP'!N102</f>
        <v>-11348.642</v>
      </c>
      <c r="O235" s="207">
        <f>'Saimnieciskas pamatdarbibas NP'!O102</f>
        <v>-11575.233</v>
      </c>
      <c r="P235" s="207">
        <f>'Saimnieciskas pamatdarbibas NP'!P102</f>
        <v>-11847.6195</v>
      </c>
      <c r="Q235" s="207">
        <f>'Saimnieciskas pamatdarbibas NP'!Q102</f>
        <v>-12120.006</v>
      </c>
      <c r="R235" s="207">
        <f>'Saimnieciskas pamatdarbibas NP'!R102</f>
        <v>-12392.392499999996</v>
      </c>
      <c r="S235" s="207">
        <f>'Saimnieciskas pamatdarbibas NP'!S102</f>
        <v>-12664.779</v>
      </c>
      <c r="T235" s="207">
        <f>'Saimnieciskas pamatdarbibas NP'!T102</f>
        <v>-12937.1655</v>
      </c>
      <c r="U235" s="207">
        <f>'Saimnieciskas pamatdarbibas NP'!U102</f>
        <v>-13209.552</v>
      </c>
      <c r="V235" s="207">
        <f>'Saimnieciskas pamatdarbibas NP'!V102</f>
        <v>-13481.938500000002</v>
      </c>
      <c r="W235" s="207">
        <f>'Saimnieciskas pamatdarbibas NP'!W102</f>
        <v>-13754.325</v>
      </c>
      <c r="X235" s="207">
        <f>'Saimnieciskas pamatdarbibas NP'!X102</f>
        <v>-14026.7115</v>
      </c>
      <c r="Y235" s="207">
        <f>'Saimnieciskas pamatdarbibas NP'!Y102</f>
        <v>-14299.098</v>
      </c>
      <c r="Z235" s="207">
        <f>'Saimnieciskas pamatdarbibas NP'!Z102</f>
        <v>-14571.4845</v>
      </c>
      <c r="AA235" s="207">
        <f>'Saimnieciskas pamatdarbibas NP'!AA102</f>
        <v>-14843.871</v>
      </c>
      <c r="AB235" s="207">
        <f>'Saimnieciskas pamatdarbibas NP'!AB102</f>
        <v>-15116.2575</v>
      </c>
      <c r="AC235" s="207">
        <f>'Saimnieciskas pamatdarbibas NP'!AC102</f>
        <v>-15388.644</v>
      </c>
      <c r="AD235" s="207">
        <f>'Saimnieciskas pamatdarbibas NP'!AD102</f>
        <v>-15661.0305</v>
      </c>
      <c r="AE235" s="207">
        <f>'Saimnieciskas pamatdarbibas NP'!AE102</f>
        <v>-15933.417000000003</v>
      </c>
      <c r="AF235" s="207">
        <f>'Saimnieciskas pamatdarbibas NP'!AF102</f>
        <v>-16250.8035</v>
      </c>
      <c r="AG235" s="207">
        <f>'Saimnieciskas pamatdarbibas NP'!AG102</f>
        <v>-16613.985499999995</v>
      </c>
    </row>
    <row r="236" spans="1:33" s="209" customFormat="1" ht="12.75">
      <c r="A236" s="206" t="s">
        <v>279</v>
      </c>
      <c r="B236" s="207">
        <f>Aprekini!B252+Aprekini!B260</f>
        <v>0</v>
      </c>
      <c r="C236" s="207">
        <f>Aprekini!C252+Aprekini!C260</f>
        <v>0</v>
      </c>
      <c r="D236" s="207">
        <f>Aprekini!D252+Aprekini!D260</f>
        <v>3622.8561682988006</v>
      </c>
      <c r="E236" s="207">
        <f>Aprekini!E252+Aprekini!E260</f>
        <v>19471.347126</v>
      </c>
      <c r="F236" s="635">
        <f>Aprekini!F252+Aprekini!F260</f>
        <v>19471.347126</v>
      </c>
      <c r="G236" s="207">
        <f>Aprekini!G252+Aprekini!G260</f>
        <v>18692.49324096</v>
      </c>
      <c r="H236" s="207">
        <f>Aprekini!H252+Aprekini!H260</f>
        <v>17913.63935592</v>
      </c>
      <c r="I236" s="207">
        <f>Aprekini!I252+Aprekini!I260</f>
        <v>17134.78547088</v>
      </c>
      <c r="J236" s="207">
        <f>Aprekini!J252+Aprekini!J260</f>
        <v>16355.931585839999</v>
      </c>
      <c r="K236" s="207">
        <f>Aprekini!K252+Aprekini!K260</f>
        <v>15577.077700799999</v>
      </c>
      <c r="L236" s="207">
        <f>Aprekini!L252+Aprekini!L260</f>
        <v>14798.223815759997</v>
      </c>
      <c r="M236" s="207">
        <f>Aprekini!M252+Aprekini!M260</f>
        <v>14019.369930719997</v>
      </c>
      <c r="N236" s="207">
        <f>Aprekini!N252+Aprekini!N260</f>
        <v>13240.516045679997</v>
      </c>
      <c r="O236" s="207">
        <f>Aprekini!O252+Aprekini!O260</f>
        <v>12461.662160639995</v>
      </c>
      <c r="P236" s="207">
        <f>Aprekini!P252+Aprekini!P260</f>
        <v>11682.808275599995</v>
      </c>
      <c r="Q236" s="207">
        <f>Aprekini!Q252+Aprekini!Q260</f>
        <v>10903.954390559995</v>
      </c>
      <c r="R236" s="207">
        <f>Aprekini!R252+Aprekini!R260</f>
        <v>10125.100505519993</v>
      </c>
      <c r="S236" s="207">
        <f>Aprekini!S252+Aprekini!S260</f>
        <v>9346.246620479993</v>
      </c>
      <c r="T236" s="207">
        <f>Aprekini!T252+Aprekini!T260</f>
        <v>8567.392735439993</v>
      </c>
      <c r="U236" s="207">
        <f>Aprekini!U252+Aprekini!U260</f>
        <v>7788.538850399992</v>
      </c>
      <c r="V236" s="207">
        <f>Aprekini!V252+Aprekini!V260</f>
        <v>7009.684965359992</v>
      </c>
      <c r="W236" s="207">
        <f>Aprekini!W252+Aprekini!W260</f>
        <v>6230.831080319991</v>
      </c>
      <c r="X236" s="207">
        <f>Aprekini!X252+Aprekini!X260</f>
        <v>5451.977195279991</v>
      </c>
      <c r="Y236" s="207">
        <f>Aprekini!Y252+Aprekini!Y260</f>
        <v>4673.123310239991</v>
      </c>
      <c r="Z236" s="207">
        <f>Aprekini!Z252+Aprekini!Z260</f>
        <v>3894.2694251999915</v>
      </c>
      <c r="AA236" s="207">
        <f>Aprekini!AA252+Aprekini!AA260</f>
        <v>3115.4155401599915</v>
      </c>
      <c r="AB236" s="207">
        <f>Aprekini!AB252+Aprekini!AB260</f>
        <v>2336.5616551199914</v>
      </c>
      <c r="AC236" s="207">
        <f>Aprekini!AC252+Aprekini!AC260</f>
        <v>1557.7077700799916</v>
      </c>
      <c r="AD236" s="207">
        <f>Aprekini!AD252+Aprekini!AD260</f>
        <v>778.8538850399916</v>
      </c>
      <c r="AE236" s="207">
        <f>Aprekini!AE252+Aprekini!AE260</f>
        <v>-8.443748811259866E-12</v>
      </c>
      <c r="AF236" s="207">
        <f>Aprekini!AF252+Aprekini!AF260</f>
        <v>-8.443748811259866E-12</v>
      </c>
      <c r="AG236" s="207">
        <f>Aprekini!AG252+Aprekini!AG260</f>
        <v>-8.443748811259866E-12</v>
      </c>
    </row>
    <row r="237" spans="1:33" s="209" customFormat="1" ht="12.75">
      <c r="A237" s="206" t="s">
        <v>280</v>
      </c>
      <c r="B237" s="207">
        <f>Aprekini!B261+Aprekini!B253</f>
        <v>0</v>
      </c>
      <c r="C237" s="207">
        <f>Aprekini!C261+Aprekini!C253</f>
        <v>0</v>
      </c>
      <c r="D237" s="207">
        <f>Aprekini!D261+Aprekini!D253</f>
        <v>0</v>
      </c>
      <c r="E237" s="207">
        <f>Aprekini!E261+Aprekini!E253</f>
        <v>0</v>
      </c>
      <c r="F237" s="635">
        <f>Aprekini!F261+Aprekini!F253</f>
        <v>16778.412</v>
      </c>
      <c r="G237" s="207">
        <f>Aprekini!G261+Aprekini!G253</f>
        <v>16778.412</v>
      </c>
      <c r="H237" s="207">
        <f>Aprekini!H261+Aprekini!H253</f>
        <v>16778.412</v>
      </c>
      <c r="I237" s="207">
        <f>Aprekini!I261+Aprekini!I253</f>
        <v>16778.412</v>
      </c>
      <c r="J237" s="207">
        <f>Aprekini!J261+Aprekini!J253</f>
        <v>16778.412</v>
      </c>
      <c r="K237" s="207">
        <f>Aprekini!K261+Aprekini!K253</f>
        <v>16778.412</v>
      </c>
      <c r="L237" s="207">
        <f>Aprekini!L261+Aprekini!L253</f>
        <v>16778.412</v>
      </c>
      <c r="M237" s="207">
        <f>Aprekini!M261+Aprekini!M253</f>
        <v>16778.412</v>
      </c>
      <c r="N237" s="207">
        <f>Aprekini!N261+Aprekini!N253</f>
        <v>16778.412</v>
      </c>
      <c r="O237" s="207">
        <f>Aprekini!O261+Aprekini!O253</f>
        <v>16778.412</v>
      </c>
      <c r="P237" s="207">
        <f>Aprekini!P261+Aprekini!P253</f>
        <v>16778.412</v>
      </c>
      <c r="Q237" s="207">
        <f>Aprekini!Q261+Aprekini!Q253</f>
        <v>16778.412</v>
      </c>
      <c r="R237" s="207">
        <f>Aprekini!R261+Aprekini!R253</f>
        <v>16778.412</v>
      </c>
      <c r="S237" s="207">
        <f>Aprekini!S261+Aprekini!S253</f>
        <v>16778.412</v>
      </c>
      <c r="T237" s="207">
        <f>Aprekini!T261+Aprekini!T253</f>
        <v>16778.412</v>
      </c>
      <c r="U237" s="207">
        <f>Aprekini!U261+Aprekini!U253</f>
        <v>16778.412</v>
      </c>
      <c r="V237" s="207">
        <f>Aprekini!V261+Aprekini!V253</f>
        <v>16778.412</v>
      </c>
      <c r="W237" s="207">
        <f>Aprekini!W261+Aprekini!W253</f>
        <v>16778.412</v>
      </c>
      <c r="X237" s="207">
        <f>Aprekini!X261+Aprekini!X253</f>
        <v>16778.412</v>
      </c>
      <c r="Y237" s="207">
        <f>Aprekini!Y261+Aprekini!Y253</f>
        <v>16778.412</v>
      </c>
      <c r="Z237" s="207">
        <f>Aprekini!Z261+Aprekini!Z253</f>
        <v>16778.412</v>
      </c>
      <c r="AA237" s="207">
        <f>Aprekini!AA261+Aprekini!AA253</f>
        <v>16778.412</v>
      </c>
      <c r="AB237" s="207">
        <f>Aprekini!AB261+Aprekini!AB253</f>
        <v>16778.412</v>
      </c>
      <c r="AC237" s="207">
        <f>Aprekini!AC261+Aprekini!AC253</f>
        <v>16778.412</v>
      </c>
      <c r="AD237" s="207">
        <f>Aprekini!AD261+Aprekini!AD253</f>
        <v>16778.412</v>
      </c>
      <c r="AE237" s="207">
        <f>Aprekini!AE261+Aprekini!AE253</f>
        <v>0</v>
      </c>
      <c r="AF237" s="207">
        <f>Aprekini!AF261+Aprekini!AF253</f>
        <v>0</v>
      </c>
      <c r="AG237" s="207">
        <f>Aprekini!AG261+Aprekini!AG253</f>
        <v>0</v>
      </c>
    </row>
    <row r="238" spans="1:33" s="209" customFormat="1" ht="12.75">
      <c r="A238" s="206" t="s">
        <v>281</v>
      </c>
      <c r="B238" s="207">
        <f>Aprekini!B151</f>
        <v>0</v>
      </c>
      <c r="C238" s="207">
        <f>Aprekini!C151</f>
        <v>0</v>
      </c>
      <c r="D238" s="207">
        <f>Aprekini!D151</f>
        <v>0</v>
      </c>
      <c r="E238" s="207">
        <f>Aprekini!E151</f>
        <v>0</v>
      </c>
      <c r="F238" s="207">
        <f>Aprekini!F151</f>
        <v>0</v>
      </c>
      <c r="G238" s="207">
        <f>Aprekini!G151</f>
        <v>0</v>
      </c>
      <c r="H238" s="207">
        <f>Aprekini!H151</f>
        <v>0</v>
      </c>
      <c r="I238" s="207">
        <f>Aprekini!I151</f>
        <v>0</v>
      </c>
      <c r="J238" s="207">
        <f>Aprekini!J151</f>
        <v>0</v>
      </c>
      <c r="K238" s="207">
        <f>Aprekini!K151</f>
        <v>0</v>
      </c>
      <c r="L238" s="207">
        <f>Aprekini!L151</f>
        <v>0</v>
      </c>
      <c r="M238" s="207">
        <f>Aprekini!M151</f>
        <v>0</v>
      </c>
      <c r="N238" s="207">
        <f>Aprekini!N151</f>
        <v>0</v>
      </c>
      <c r="O238" s="207">
        <f>Aprekini!O151</f>
        <v>0</v>
      </c>
      <c r="P238" s="207">
        <f>Aprekini!P151</f>
        <v>0</v>
      </c>
      <c r="Q238" s="207">
        <f>Aprekini!Q151</f>
        <v>0</v>
      </c>
      <c r="R238" s="207">
        <f>Aprekini!R151</f>
        <v>0</v>
      </c>
      <c r="S238" s="207">
        <f>Aprekini!S151</f>
        <v>0</v>
      </c>
      <c r="T238" s="207">
        <f>Aprekini!T151</f>
        <v>0</v>
      </c>
      <c r="U238" s="207">
        <f>Aprekini!U151</f>
        <v>0</v>
      </c>
      <c r="V238" s="207">
        <f>Aprekini!V151</f>
        <v>0</v>
      </c>
      <c r="W238" s="207">
        <f>Aprekini!W151</f>
        <v>0</v>
      </c>
      <c r="X238" s="207">
        <f>Aprekini!X151</f>
        <v>0</v>
      </c>
      <c r="Y238" s="207">
        <f>Aprekini!Y151</f>
        <v>0</v>
      </c>
      <c r="Z238" s="207">
        <f>Aprekini!Z151</f>
        <v>0</v>
      </c>
      <c r="AA238" s="207">
        <f>Aprekini!AA151</f>
        <v>0</v>
      </c>
      <c r="AB238" s="207">
        <f>Aprekini!AB151</f>
        <v>0</v>
      </c>
      <c r="AC238" s="207">
        <f>Aprekini!AC151</f>
        <v>0</v>
      </c>
      <c r="AD238" s="207">
        <f>Aprekini!AD151</f>
        <v>0</v>
      </c>
      <c r="AE238" s="207">
        <f>Aprekini!AE151</f>
        <v>0</v>
      </c>
      <c r="AF238" s="207">
        <f>Aprekini!AF151</f>
        <v>0</v>
      </c>
      <c r="AG238" s="207">
        <f>Aprekini!AG151</f>
        <v>0</v>
      </c>
    </row>
    <row r="239" spans="1:33" s="209" customFormat="1" ht="12.75">
      <c r="A239" s="324" t="s">
        <v>282</v>
      </c>
      <c r="B239" s="325">
        <f aca="true" t="shared" si="83" ref="B239:AG239">SUM(B235:B238)</f>
        <v>0</v>
      </c>
      <c r="C239" s="325">
        <f t="shared" si="83"/>
        <v>0</v>
      </c>
      <c r="D239" s="325">
        <f t="shared" si="83"/>
        <v>872.8561682988006</v>
      </c>
      <c r="E239" s="325">
        <f t="shared" si="83"/>
        <v>10391.797126000001</v>
      </c>
      <c r="F239" s="636">
        <f t="shared" si="83"/>
        <v>26353.845126</v>
      </c>
      <c r="G239" s="325">
        <f t="shared" si="83"/>
        <v>25393.40024096</v>
      </c>
      <c r="H239" s="325">
        <f t="shared" si="83"/>
        <v>24432.95535592</v>
      </c>
      <c r="I239" s="325">
        <f t="shared" si="83"/>
        <v>23472.510470880006</v>
      </c>
      <c r="J239" s="325">
        <f t="shared" si="83"/>
        <v>22512.06558584</v>
      </c>
      <c r="K239" s="325">
        <f t="shared" si="83"/>
        <v>21551.6207008</v>
      </c>
      <c r="L239" s="325">
        <f t="shared" si="83"/>
        <v>20591.175815759998</v>
      </c>
      <c r="M239" s="325">
        <f t="shared" si="83"/>
        <v>19630.730930719994</v>
      </c>
      <c r="N239" s="325">
        <f t="shared" si="83"/>
        <v>18670.286045679997</v>
      </c>
      <c r="O239" s="325">
        <f t="shared" si="83"/>
        <v>17664.841160639997</v>
      </c>
      <c r="P239" s="325">
        <f t="shared" si="83"/>
        <v>16613.600775599996</v>
      </c>
      <c r="Q239" s="325">
        <f t="shared" si="83"/>
        <v>15562.360390559996</v>
      </c>
      <c r="R239" s="325">
        <f t="shared" si="83"/>
        <v>14511.120005519997</v>
      </c>
      <c r="S239" s="325">
        <f t="shared" si="83"/>
        <v>13459.879620479993</v>
      </c>
      <c r="T239" s="325">
        <f t="shared" si="83"/>
        <v>12408.639235439994</v>
      </c>
      <c r="U239" s="325">
        <f t="shared" si="83"/>
        <v>11357.398850399994</v>
      </c>
      <c r="V239" s="325">
        <f t="shared" si="83"/>
        <v>10306.15846535999</v>
      </c>
      <c r="W239" s="325">
        <f t="shared" si="83"/>
        <v>9254.91808031999</v>
      </c>
      <c r="X239" s="325">
        <f t="shared" si="83"/>
        <v>8203.677695279992</v>
      </c>
      <c r="Y239" s="325">
        <f t="shared" si="83"/>
        <v>7152.437310239991</v>
      </c>
      <c r="Z239" s="325">
        <f t="shared" si="83"/>
        <v>6101.196925199991</v>
      </c>
      <c r="AA239" s="325">
        <f t="shared" si="83"/>
        <v>5049.956540159992</v>
      </c>
      <c r="AB239" s="325">
        <f t="shared" si="83"/>
        <v>3998.7161551199915</v>
      </c>
      <c r="AC239" s="325">
        <f t="shared" si="83"/>
        <v>2947.475770079991</v>
      </c>
      <c r="AD239" s="325">
        <f t="shared" si="83"/>
        <v>1896.2353850399904</v>
      </c>
      <c r="AE239" s="325">
        <f t="shared" si="83"/>
        <v>-15933.417000000012</v>
      </c>
      <c r="AF239" s="325">
        <f t="shared" si="83"/>
        <v>-16250.803500000009</v>
      </c>
      <c r="AG239" s="325">
        <f t="shared" si="83"/>
        <v>-16613.985500000003</v>
      </c>
    </row>
    <row r="240" spans="1:33" s="209" customFormat="1" ht="12.75">
      <c r="A240" s="351" t="s">
        <v>258</v>
      </c>
      <c r="B240" s="352">
        <f aca="true" t="shared" si="84" ref="B240:AG240">B234-B239</f>
        <v>0</v>
      </c>
      <c r="C240" s="352">
        <f t="shared" si="84"/>
        <v>0</v>
      </c>
      <c r="D240" s="352">
        <f t="shared" si="84"/>
        <v>-2208.3279182988003</v>
      </c>
      <c r="E240" s="352">
        <f t="shared" si="84"/>
        <v>2039.1128739999986</v>
      </c>
      <c r="F240" s="641">
        <f t="shared" si="84"/>
        <v>-14167.348375999998</v>
      </c>
      <c r="G240" s="352">
        <f t="shared" si="84"/>
        <v>-13490.376490960003</v>
      </c>
      <c r="H240" s="352">
        <f t="shared" si="84"/>
        <v>-12625.51210592</v>
      </c>
      <c r="I240" s="352">
        <f t="shared" si="84"/>
        <v>-11592.778970880008</v>
      </c>
      <c r="J240" s="352">
        <f t="shared" si="84"/>
        <v>-10422.505085840003</v>
      </c>
      <c r="K240" s="352">
        <f t="shared" si="84"/>
        <v>-9336.634450800007</v>
      </c>
      <c r="L240" s="352">
        <f t="shared" si="84"/>
        <v>-6557.738065760004</v>
      </c>
      <c r="M240" s="352">
        <f t="shared" si="84"/>
        <v>-5605.517430719992</v>
      </c>
      <c r="N240" s="352">
        <f t="shared" si="84"/>
        <v>-4499.115545680004</v>
      </c>
      <c r="O240" s="352">
        <f t="shared" si="84"/>
        <v>-3911.391160640007</v>
      </c>
      <c r="P240" s="352">
        <f t="shared" si="84"/>
        <v>-3167.310775599999</v>
      </c>
      <c r="Q240" s="352">
        <f t="shared" si="84"/>
        <v>-2213.953890560002</v>
      </c>
      <c r="R240" s="352">
        <f t="shared" si="84"/>
        <v>-691.2257555200031</v>
      </c>
      <c r="S240" s="352">
        <f t="shared" si="84"/>
        <v>1801.9858795199998</v>
      </c>
      <c r="T240" s="352">
        <f t="shared" si="84"/>
        <v>2970.1027645600007</v>
      </c>
      <c r="U240" s="352">
        <f t="shared" si="84"/>
        <v>3540.830899600005</v>
      </c>
      <c r="V240" s="352">
        <f t="shared" si="84"/>
        <v>4270.371034640009</v>
      </c>
      <c r="W240" s="352">
        <f t="shared" si="84"/>
        <v>4772.86891968001</v>
      </c>
      <c r="X240" s="352">
        <f t="shared" si="84"/>
        <v>5275.366804720008</v>
      </c>
      <c r="Y240" s="352">
        <f t="shared" si="84"/>
        <v>5858.377189760011</v>
      </c>
      <c r="Z240" s="352">
        <f t="shared" si="84"/>
        <v>6287.206324800009</v>
      </c>
      <c r="AA240" s="352">
        <f t="shared" si="84"/>
        <v>6816.526709839998</v>
      </c>
      <c r="AB240" s="352">
        <f t="shared" si="84"/>
        <v>7641.074594880009</v>
      </c>
      <c r="AC240" s="352">
        <f t="shared" si="84"/>
        <v>8150.4162299200125</v>
      </c>
      <c r="AD240" s="352">
        <f t="shared" si="84"/>
        <v>8282.612614960011</v>
      </c>
      <c r="AE240" s="352">
        <f t="shared" si="84"/>
        <v>25966.085000000014</v>
      </c>
      <c r="AF240" s="352">
        <f t="shared" si="84"/>
        <v>26298.361500000014</v>
      </c>
      <c r="AG240" s="352">
        <f t="shared" si="84"/>
        <v>265709.05549999996</v>
      </c>
    </row>
    <row r="241" spans="1:33" s="209" customFormat="1" ht="12.75">
      <c r="A241" s="306" t="s">
        <v>283</v>
      </c>
      <c r="B241" s="353"/>
      <c r="C241" s="353"/>
      <c r="D241" s="353"/>
      <c r="E241" s="353"/>
      <c r="F241" s="642"/>
      <c r="G241" s="353"/>
      <c r="H241" s="308"/>
      <c r="I241" s="353"/>
      <c r="J241" s="353"/>
      <c r="K241" s="353"/>
      <c r="L241" s="353"/>
      <c r="M241" s="542">
        <f>IF(ISERROR(IRR(C240:AG240,0)),"Nevar aprēķināt",IRR(C240:AG240,0))</f>
        <v>0.06460445756423316</v>
      </c>
      <c r="N241" s="353"/>
      <c r="O241" s="353"/>
      <c r="P241" s="308"/>
      <c r="Q241" s="355"/>
      <c r="R241" s="353"/>
      <c r="S241" s="353"/>
      <c r="T241" s="353"/>
      <c r="U241" s="353"/>
      <c r="V241" s="353"/>
      <c r="W241" s="353"/>
      <c r="X241" s="353"/>
      <c r="Y241" s="353"/>
      <c r="Z241" s="353"/>
      <c r="AA241" s="353"/>
      <c r="AB241" s="353"/>
      <c r="AC241" s="353"/>
      <c r="AD241" s="353"/>
      <c r="AE241" s="353"/>
      <c r="AF241" s="353"/>
      <c r="AG241" s="353"/>
    </row>
    <row r="242" spans="1:33" s="209" customFormat="1" ht="12.75">
      <c r="A242" s="306" t="s">
        <v>284</v>
      </c>
      <c r="B242" s="308"/>
      <c r="C242" s="308"/>
      <c r="D242" s="308"/>
      <c r="E242" s="308"/>
      <c r="F242" s="631"/>
      <c r="G242" s="308"/>
      <c r="H242" s="308"/>
      <c r="I242" s="308"/>
      <c r="J242" s="308"/>
      <c r="K242" s="308"/>
      <c r="L242" s="308"/>
      <c r="M242" s="357">
        <f>NPV('Datu ievade'!B432,C240:AG240)</f>
        <v>-6144.0781683053465</v>
      </c>
      <c r="N242" s="308"/>
      <c r="O242" s="308"/>
      <c r="P242" s="308"/>
      <c r="Q242" s="357"/>
      <c r="R242" s="308"/>
      <c r="S242" s="308"/>
      <c r="T242" s="308"/>
      <c r="U242" s="308"/>
      <c r="V242" s="308"/>
      <c r="W242" s="308"/>
      <c r="X242" s="308"/>
      <c r="Y242" s="308"/>
      <c r="Z242" s="308"/>
      <c r="AA242" s="308"/>
      <c r="AB242" s="308"/>
      <c r="AC242" s="308"/>
      <c r="AD242" s="308"/>
      <c r="AE242" s="308"/>
      <c r="AF242" s="308"/>
      <c r="AG242" s="308"/>
    </row>
    <row r="243" spans="1:6" s="209" customFormat="1" ht="12.75">
      <c r="A243" s="311"/>
      <c r="F243" s="633"/>
    </row>
    <row r="244" spans="1:6" s="209" customFormat="1" ht="12.75">
      <c r="A244" s="311"/>
      <c r="F244" s="633"/>
    </row>
    <row r="245" spans="1:254" s="209" customFormat="1" ht="32.25" customHeight="1">
      <c r="A245" s="561" t="s">
        <v>395</v>
      </c>
      <c r="B245" s="371"/>
      <c r="C245" s="371"/>
      <c r="D245" s="371"/>
      <c r="E245" s="371"/>
      <c r="F245" s="649"/>
      <c r="G245" s="371"/>
      <c r="H245" s="371"/>
      <c r="I245" s="371"/>
      <c r="J245" s="371"/>
      <c r="K245" s="371"/>
      <c r="L245" s="371"/>
      <c r="M245" s="371"/>
      <c r="N245" s="371"/>
      <c r="O245" s="371"/>
      <c r="P245" s="371"/>
      <c r="Q245" s="371"/>
      <c r="R245" s="371"/>
      <c r="S245" s="371"/>
      <c r="T245" s="371"/>
      <c r="U245" s="371"/>
      <c r="V245" s="317"/>
      <c r="W245" s="317"/>
      <c r="X245" s="317"/>
      <c r="Y245" s="317"/>
      <c r="Z245" s="317"/>
      <c r="AA245" s="317"/>
      <c r="AB245" s="317"/>
      <c r="AC245" s="317"/>
      <c r="AD245" s="317"/>
      <c r="AE245" s="317"/>
      <c r="AF245" s="317"/>
      <c r="AG245" s="317"/>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c r="BM245" s="208"/>
      <c r="BN245" s="208"/>
      <c r="BO245" s="208"/>
      <c r="BP245" s="208"/>
      <c r="BQ245" s="208"/>
      <c r="BR245" s="208"/>
      <c r="BS245" s="208"/>
      <c r="BT245" s="208"/>
      <c r="BU245" s="208"/>
      <c r="BV245" s="208"/>
      <c r="BW245" s="208"/>
      <c r="BX245" s="208"/>
      <c r="BY245" s="208"/>
      <c r="BZ245" s="208"/>
      <c r="CA245" s="208"/>
      <c r="CB245" s="208"/>
      <c r="CC245" s="208"/>
      <c r="CD245" s="208"/>
      <c r="CE245" s="208"/>
      <c r="CF245" s="208"/>
      <c r="CG245" s="208"/>
      <c r="CH245" s="208"/>
      <c r="CI245" s="208"/>
      <c r="CJ245" s="208"/>
      <c r="CK245" s="208"/>
      <c r="CL245" s="208"/>
      <c r="CM245" s="208"/>
      <c r="CN245" s="208"/>
      <c r="CO245" s="208"/>
      <c r="CP245" s="208"/>
      <c r="CQ245" s="208"/>
      <c r="CR245" s="208"/>
      <c r="CS245" s="208"/>
      <c r="CT245" s="208"/>
      <c r="CU245" s="208"/>
      <c r="CV245" s="208"/>
      <c r="CW245" s="208"/>
      <c r="CX245" s="208"/>
      <c r="CY245" s="208"/>
      <c r="CZ245" s="208"/>
      <c r="DA245" s="208"/>
      <c r="DB245" s="208"/>
      <c r="DC245" s="208"/>
      <c r="DD245" s="208"/>
      <c r="DE245" s="208"/>
      <c r="DF245" s="208"/>
      <c r="DG245" s="208"/>
      <c r="DH245" s="208"/>
      <c r="DI245" s="208"/>
      <c r="DJ245" s="208"/>
      <c r="DK245" s="208"/>
      <c r="DL245" s="208"/>
      <c r="DM245" s="208"/>
      <c r="DN245" s="208"/>
      <c r="DO245" s="208"/>
      <c r="DP245" s="208"/>
      <c r="DQ245" s="208"/>
      <c r="DR245" s="208"/>
      <c r="DS245" s="208"/>
      <c r="DT245" s="208"/>
      <c r="DU245" s="208"/>
      <c r="DV245" s="208"/>
      <c r="DW245" s="208"/>
      <c r="DX245" s="208"/>
      <c r="DY245" s="208"/>
      <c r="DZ245" s="208"/>
      <c r="EA245" s="208"/>
      <c r="EB245" s="208"/>
      <c r="EC245" s="208"/>
      <c r="ED245" s="208"/>
      <c r="EE245" s="208"/>
      <c r="EF245" s="208"/>
      <c r="EG245" s="208"/>
      <c r="EH245" s="208"/>
      <c r="EI245" s="208"/>
      <c r="EJ245" s="208"/>
      <c r="EK245" s="208"/>
      <c r="EL245" s="208"/>
      <c r="EM245" s="208"/>
      <c r="EN245" s="208"/>
      <c r="EO245" s="208"/>
      <c r="EP245" s="208"/>
      <c r="EQ245" s="208"/>
      <c r="ER245" s="208"/>
      <c r="ES245" s="208"/>
      <c r="ET245" s="208"/>
      <c r="EU245" s="208"/>
      <c r="EV245" s="208"/>
      <c r="EW245" s="208"/>
      <c r="EX245" s="208"/>
      <c r="EY245" s="208"/>
      <c r="EZ245" s="208"/>
      <c r="FA245" s="208"/>
      <c r="FB245" s="208"/>
      <c r="FC245" s="208"/>
      <c r="FD245" s="208"/>
      <c r="FE245" s="208"/>
      <c r="FF245" s="208"/>
      <c r="FG245" s="208"/>
      <c r="FH245" s="208"/>
      <c r="FI245" s="208"/>
      <c r="FJ245" s="208"/>
      <c r="FK245" s="208"/>
      <c r="FL245" s="208"/>
      <c r="FM245" s="208"/>
      <c r="FN245" s="208"/>
      <c r="FO245" s="208"/>
      <c r="FP245" s="208"/>
      <c r="FQ245" s="208"/>
      <c r="FR245" s="208"/>
      <c r="FS245" s="208"/>
      <c r="FT245" s="208"/>
      <c r="FU245" s="208"/>
      <c r="FV245" s="208"/>
      <c r="FW245" s="208"/>
      <c r="FX245" s="208"/>
      <c r="FY245" s="208"/>
      <c r="FZ245" s="208"/>
      <c r="GA245" s="208"/>
      <c r="GB245" s="208"/>
      <c r="GC245" s="208"/>
      <c r="GD245" s="208"/>
      <c r="GE245" s="208"/>
      <c r="GF245" s="208"/>
      <c r="GG245" s="208"/>
      <c r="GH245" s="208"/>
      <c r="GI245" s="208"/>
      <c r="GJ245" s="208"/>
      <c r="GK245" s="208"/>
      <c r="GL245" s="208"/>
      <c r="GM245" s="208"/>
      <c r="GN245" s="208"/>
      <c r="GO245" s="208"/>
      <c r="GP245" s="208"/>
      <c r="GQ245" s="208"/>
      <c r="GR245" s="208"/>
      <c r="GS245" s="208"/>
      <c r="GT245" s="208"/>
      <c r="GU245" s="208"/>
      <c r="GV245" s="208"/>
      <c r="GW245" s="208"/>
      <c r="GX245" s="208"/>
      <c r="GY245" s="208"/>
      <c r="GZ245" s="208"/>
      <c r="HA245" s="208"/>
      <c r="HB245" s="208"/>
      <c r="HC245" s="208"/>
      <c r="HD245" s="208"/>
      <c r="HE245" s="208"/>
      <c r="HF245" s="208"/>
      <c r="HG245" s="208"/>
      <c r="HH245" s="208"/>
      <c r="HI245" s="208"/>
      <c r="HJ245" s="208"/>
      <c r="HK245" s="208"/>
      <c r="HL245" s="208"/>
      <c r="HM245" s="208"/>
      <c r="HN245" s="208"/>
      <c r="HO245" s="208"/>
      <c r="HP245" s="208"/>
      <c r="HQ245" s="208"/>
      <c r="HR245" s="208"/>
      <c r="HS245" s="208"/>
      <c r="HT245" s="208"/>
      <c r="HU245" s="208"/>
      <c r="HV245" s="208"/>
      <c r="HW245" s="208"/>
      <c r="HX245" s="208"/>
      <c r="HY245" s="208"/>
      <c r="HZ245" s="208"/>
      <c r="IA245" s="208"/>
      <c r="IB245" s="208"/>
      <c r="IC245" s="208"/>
      <c r="ID245" s="208"/>
      <c r="IE245" s="208"/>
      <c r="IF245" s="208"/>
      <c r="IG245" s="208"/>
      <c r="IH245" s="208"/>
      <c r="II245" s="208"/>
      <c r="IJ245" s="208"/>
      <c r="IK245" s="208"/>
      <c r="IL245" s="208"/>
      <c r="IM245" s="208"/>
      <c r="IN245" s="208"/>
      <c r="IO245" s="208"/>
      <c r="IP245" s="208"/>
      <c r="IQ245" s="208"/>
      <c r="IR245" s="208"/>
      <c r="IS245" s="208"/>
      <c r="IT245" s="208"/>
    </row>
    <row r="246" spans="1:254" s="209" customFormat="1" ht="12.75">
      <c r="A246" s="372"/>
      <c r="B246" s="287"/>
      <c r="C246" s="287"/>
      <c r="D246" s="287"/>
      <c r="E246" s="287"/>
      <c r="F246" s="650"/>
      <c r="G246" s="287"/>
      <c r="H246" s="287"/>
      <c r="I246" s="287"/>
      <c r="J246" s="319" t="s">
        <v>25</v>
      </c>
      <c r="K246" s="287"/>
      <c r="L246" s="319"/>
      <c r="M246" s="287"/>
      <c r="N246" s="287"/>
      <c r="O246" s="287"/>
      <c r="P246" s="373"/>
      <c r="Q246" s="373"/>
      <c r="R246" s="373"/>
      <c r="S246" s="373"/>
      <c r="T246" s="373"/>
      <c r="U246" s="373"/>
      <c r="V246" s="373"/>
      <c r="W246" s="373"/>
      <c r="X246" s="373"/>
      <c r="Y246" s="373"/>
      <c r="Z246" s="373"/>
      <c r="AA246" s="373"/>
      <c r="AB246" s="373"/>
      <c r="AC246" s="373"/>
      <c r="AD246" s="373"/>
      <c r="AE246" s="373"/>
      <c r="AF246" s="373"/>
      <c r="AG246" s="373"/>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c r="BD246" s="208"/>
      <c r="BE246" s="208"/>
      <c r="BF246" s="208"/>
      <c r="BG246" s="208"/>
      <c r="BH246" s="208"/>
      <c r="BI246" s="208"/>
      <c r="BJ246" s="208"/>
      <c r="BK246" s="208"/>
      <c r="BL246" s="208"/>
      <c r="BM246" s="208"/>
      <c r="BN246" s="208"/>
      <c r="BO246" s="208"/>
      <c r="BP246" s="208"/>
      <c r="BQ246" s="208"/>
      <c r="BR246" s="208"/>
      <c r="BS246" s="208"/>
      <c r="BT246" s="208"/>
      <c r="BU246" s="208"/>
      <c r="BV246" s="208"/>
      <c r="BW246" s="208"/>
      <c r="BX246" s="208"/>
      <c r="BY246" s="208"/>
      <c r="BZ246" s="208"/>
      <c r="CA246" s="208"/>
      <c r="CB246" s="208"/>
      <c r="CC246" s="208"/>
      <c r="CD246" s="208"/>
      <c r="CE246" s="208"/>
      <c r="CF246" s="208"/>
      <c r="CG246" s="208"/>
      <c r="CH246" s="208"/>
      <c r="CI246" s="208"/>
      <c r="CJ246" s="208"/>
      <c r="CK246" s="208"/>
      <c r="CL246" s="208"/>
      <c r="CM246" s="208"/>
      <c r="CN246" s="208"/>
      <c r="CO246" s="208"/>
      <c r="CP246" s="208"/>
      <c r="CQ246" s="208"/>
      <c r="CR246" s="208"/>
      <c r="CS246" s="208"/>
      <c r="CT246" s="208"/>
      <c r="CU246" s="208"/>
      <c r="CV246" s="208"/>
      <c r="CW246" s="208"/>
      <c r="CX246" s="208"/>
      <c r="CY246" s="208"/>
      <c r="CZ246" s="208"/>
      <c r="DA246" s="208"/>
      <c r="DB246" s="208"/>
      <c r="DC246" s="208"/>
      <c r="DD246" s="208"/>
      <c r="DE246" s="208"/>
      <c r="DF246" s="208"/>
      <c r="DG246" s="208"/>
      <c r="DH246" s="208"/>
      <c r="DI246" s="208"/>
      <c r="DJ246" s="208"/>
      <c r="DK246" s="208"/>
      <c r="DL246" s="208"/>
      <c r="DM246" s="208"/>
      <c r="DN246" s="208"/>
      <c r="DO246" s="208"/>
      <c r="DP246" s="208"/>
      <c r="DQ246" s="208"/>
      <c r="DR246" s="208"/>
      <c r="DS246" s="208"/>
      <c r="DT246" s="208"/>
      <c r="DU246" s="208"/>
      <c r="DV246" s="208"/>
      <c r="DW246" s="208"/>
      <c r="DX246" s="208"/>
      <c r="DY246" s="208"/>
      <c r="DZ246" s="208"/>
      <c r="EA246" s="208"/>
      <c r="EB246" s="208"/>
      <c r="EC246" s="208"/>
      <c r="ED246" s="208"/>
      <c r="EE246" s="208"/>
      <c r="EF246" s="208"/>
      <c r="EG246" s="208"/>
      <c r="EH246" s="208"/>
      <c r="EI246" s="208"/>
      <c r="EJ246" s="208"/>
      <c r="EK246" s="208"/>
      <c r="EL246" s="208"/>
      <c r="EM246" s="208"/>
      <c r="EN246" s="208"/>
      <c r="EO246" s="208"/>
      <c r="EP246" s="208"/>
      <c r="EQ246" s="208"/>
      <c r="ER246" s="208"/>
      <c r="ES246" s="208"/>
      <c r="ET246" s="208"/>
      <c r="EU246" s="208"/>
      <c r="EV246" s="208"/>
      <c r="EW246" s="208"/>
      <c r="EX246" s="208"/>
      <c r="EY246" s="208"/>
      <c r="EZ246" s="208"/>
      <c r="FA246" s="208"/>
      <c r="FB246" s="208"/>
      <c r="FC246" s="208"/>
      <c r="FD246" s="208"/>
      <c r="FE246" s="208"/>
      <c r="FF246" s="208"/>
      <c r="FG246" s="208"/>
      <c r="FH246" s="208"/>
      <c r="FI246" s="208"/>
      <c r="FJ246" s="208"/>
      <c r="FK246" s="208"/>
      <c r="FL246" s="208"/>
      <c r="FM246" s="208"/>
      <c r="FN246" s="208"/>
      <c r="FO246" s="208"/>
      <c r="FP246" s="208"/>
      <c r="FQ246" s="208"/>
      <c r="FR246" s="208"/>
      <c r="FS246" s="208"/>
      <c r="FT246" s="208"/>
      <c r="FU246" s="208"/>
      <c r="FV246" s="208"/>
      <c r="FW246" s="208"/>
      <c r="FX246" s="208"/>
      <c r="FY246" s="208"/>
      <c r="FZ246" s="208"/>
      <c r="GA246" s="208"/>
      <c r="GB246" s="208"/>
      <c r="GC246" s="208"/>
      <c r="GD246" s="208"/>
      <c r="GE246" s="208"/>
      <c r="GF246" s="208"/>
      <c r="GG246" s="208"/>
      <c r="GH246" s="208"/>
      <c r="GI246" s="208"/>
      <c r="GJ246" s="208"/>
      <c r="GK246" s="208"/>
      <c r="GL246" s="208"/>
      <c r="GM246" s="208"/>
      <c r="GN246" s="208"/>
      <c r="GO246" s="208"/>
      <c r="GP246" s="208"/>
      <c r="GQ246" s="208"/>
      <c r="GR246" s="208"/>
      <c r="GS246" s="208"/>
      <c r="GT246" s="208"/>
      <c r="GU246" s="208"/>
      <c r="GV246" s="208"/>
      <c r="GW246" s="208"/>
      <c r="GX246" s="208"/>
      <c r="GY246" s="208"/>
      <c r="GZ246" s="208"/>
      <c r="HA246" s="208"/>
      <c r="HB246" s="208"/>
      <c r="HC246" s="208"/>
      <c r="HD246" s="208"/>
      <c r="HE246" s="208"/>
      <c r="HF246" s="208"/>
      <c r="HG246" s="208"/>
      <c r="HH246" s="208"/>
      <c r="HI246" s="208"/>
      <c r="HJ246" s="208"/>
      <c r="HK246" s="208"/>
      <c r="HL246" s="208"/>
      <c r="HM246" s="208"/>
      <c r="HN246" s="208"/>
      <c r="HO246" s="208"/>
      <c r="HP246" s="208"/>
      <c r="HQ246" s="208"/>
      <c r="HR246" s="208"/>
      <c r="HS246" s="208"/>
      <c r="HT246" s="208"/>
      <c r="HU246" s="208"/>
      <c r="HV246" s="208"/>
      <c r="HW246" s="208"/>
      <c r="HX246" s="208"/>
      <c r="HY246" s="208"/>
      <c r="HZ246" s="208"/>
      <c r="IA246" s="208"/>
      <c r="IB246" s="208"/>
      <c r="IC246" s="208"/>
      <c r="ID246" s="208"/>
      <c r="IE246" s="208"/>
      <c r="IF246" s="208"/>
      <c r="IG246" s="208"/>
      <c r="IH246" s="208"/>
      <c r="II246" s="208"/>
      <c r="IJ246" s="208"/>
      <c r="IK246" s="208"/>
      <c r="IL246" s="208"/>
      <c r="IM246" s="208"/>
      <c r="IN246" s="208"/>
      <c r="IO246" s="208"/>
      <c r="IP246" s="208"/>
      <c r="IQ246" s="208"/>
      <c r="IR246" s="208"/>
      <c r="IS246" s="208"/>
      <c r="IT246" s="208"/>
    </row>
    <row r="247" spans="1:254" s="209" customFormat="1" ht="12.75">
      <c r="A247" s="342"/>
      <c r="B247" s="294">
        <f>Aprekini!B5</f>
        <v>2011</v>
      </c>
      <c r="C247" s="294">
        <f aca="true" t="shared" si="85" ref="C247:AG247">B247+1</f>
        <v>2012</v>
      </c>
      <c r="D247" s="294">
        <f t="shared" si="85"/>
        <v>2013</v>
      </c>
      <c r="E247" s="294">
        <f t="shared" si="85"/>
        <v>2014</v>
      </c>
      <c r="F247" s="624">
        <f t="shared" si="85"/>
        <v>2015</v>
      </c>
      <c r="G247" s="294">
        <f t="shared" si="85"/>
        <v>2016</v>
      </c>
      <c r="H247" s="294">
        <f t="shared" si="85"/>
        <v>2017</v>
      </c>
      <c r="I247" s="294">
        <f t="shared" si="85"/>
        <v>2018</v>
      </c>
      <c r="J247" s="294">
        <f t="shared" si="85"/>
        <v>2019</v>
      </c>
      <c r="K247" s="294">
        <f t="shared" si="85"/>
        <v>2020</v>
      </c>
      <c r="L247" s="374">
        <f t="shared" si="85"/>
        <v>2021</v>
      </c>
      <c r="M247" s="375">
        <f t="shared" si="85"/>
        <v>2022</v>
      </c>
      <c r="N247" s="375">
        <f t="shared" si="85"/>
        <v>2023</v>
      </c>
      <c r="O247" s="375">
        <f t="shared" si="85"/>
        <v>2024</v>
      </c>
      <c r="P247" s="375">
        <f t="shared" si="85"/>
        <v>2025</v>
      </c>
      <c r="Q247" s="375">
        <f t="shared" si="85"/>
        <v>2026</v>
      </c>
      <c r="R247" s="375">
        <f t="shared" si="85"/>
        <v>2027</v>
      </c>
      <c r="S247" s="375">
        <f t="shared" si="85"/>
        <v>2028</v>
      </c>
      <c r="T247" s="375">
        <f t="shared" si="85"/>
        <v>2029</v>
      </c>
      <c r="U247" s="375">
        <f t="shared" si="85"/>
        <v>2030</v>
      </c>
      <c r="V247" s="375">
        <f t="shared" si="85"/>
        <v>2031</v>
      </c>
      <c r="W247" s="375">
        <f t="shared" si="85"/>
        <v>2032</v>
      </c>
      <c r="X247" s="375">
        <f t="shared" si="85"/>
        <v>2033</v>
      </c>
      <c r="Y247" s="375">
        <f t="shared" si="85"/>
        <v>2034</v>
      </c>
      <c r="Z247" s="375">
        <f t="shared" si="85"/>
        <v>2035</v>
      </c>
      <c r="AA247" s="375">
        <f t="shared" si="85"/>
        <v>2036</v>
      </c>
      <c r="AB247" s="375">
        <f t="shared" si="85"/>
        <v>2037</v>
      </c>
      <c r="AC247" s="375">
        <f t="shared" si="85"/>
        <v>2038</v>
      </c>
      <c r="AD247" s="375">
        <f t="shared" si="85"/>
        <v>2039</v>
      </c>
      <c r="AE247" s="375">
        <f t="shared" si="85"/>
        <v>2040</v>
      </c>
      <c r="AF247" s="375">
        <f t="shared" si="85"/>
        <v>2041</v>
      </c>
      <c r="AG247" s="375">
        <f t="shared" si="85"/>
        <v>2042</v>
      </c>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c r="BD247" s="208"/>
      <c r="BE247" s="208"/>
      <c r="BF247" s="208"/>
      <c r="BG247" s="208"/>
      <c r="BH247" s="208"/>
      <c r="BI247" s="208"/>
      <c r="BJ247" s="208"/>
      <c r="BK247" s="208"/>
      <c r="BL247" s="208"/>
      <c r="BM247" s="208"/>
      <c r="BN247" s="208"/>
      <c r="BO247" s="208"/>
      <c r="BP247" s="208"/>
      <c r="BQ247" s="208"/>
      <c r="BR247" s="208"/>
      <c r="BS247" s="208"/>
      <c r="BT247" s="208"/>
      <c r="BU247" s="208"/>
      <c r="BV247" s="208"/>
      <c r="BW247" s="208"/>
      <c r="BX247" s="208"/>
      <c r="BY247" s="208"/>
      <c r="BZ247" s="208"/>
      <c r="CA247" s="208"/>
      <c r="CB247" s="208"/>
      <c r="CC247" s="208"/>
      <c r="CD247" s="208"/>
      <c r="CE247" s="208"/>
      <c r="CF247" s="208"/>
      <c r="CG247" s="208"/>
      <c r="CH247" s="208"/>
      <c r="CI247" s="208"/>
      <c r="CJ247" s="208"/>
      <c r="CK247" s="208"/>
      <c r="CL247" s="208"/>
      <c r="CM247" s="208"/>
      <c r="CN247" s="208"/>
      <c r="CO247" s="208"/>
      <c r="CP247" s="208"/>
      <c r="CQ247" s="208"/>
      <c r="CR247" s="208"/>
      <c r="CS247" s="208"/>
      <c r="CT247" s="208"/>
      <c r="CU247" s="208"/>
      <c r="CV247" s="208"/>
      <c r="CW247" s="208"/>
      <c r="CX247" s="208"/>
      <c r="CY247" s="208"/>
      <c r="CZ247" s="208"/>
      <c r="DA247" s="208"/>
      <c r="DB247" s="208"/>
      <c r="DC247" s="208"/>
      <c r="DD247" s="208"/>
      <c r="DE247" s="208"/>
      <c r="DF247" s="208"/>
      <c r="DG247" s="208"/>
      <c r="DH247" s="208"/>
      <c r="DI247" s="208"/>
      <c r="DJ247" s="208"/>
      <c r="DK247" s="208"/>
      <c r="DL247" s="208"/>
      <c r="DM247" s="208"/>
      <c r="DN247" s="208"/>
      <c r="DO247" s="208"/>
      <c r="DP247" s="208"/>
      <c r="DQ247" s="208"/>
      <c r="DR247" s="208"/>
      <c r="DS247" s="208"/>
      <c r="DT247" s="208"/>
      <c r="DU247" s="208"/>
      <c r="DV247" s="208"/>
      <c r="DW247" s="208"/>
      <c r="DX247" s="208"/>
      <c r="DY247" s="208"/>
      <c r="DZ247" s="208"/>
      <c r="EA247" s="208"/>
      <c r="EB247" s="208"/>
      <c r="EC247" s="208"/>
      <c r="ED247" s="208"/>
      <c r="EE247" s="208"/>
      <c r="EF247" s="208"/>
      <c r="EG247" s="208"/>
      <c r="EH247" s="208"/>
      <c r="EI247" s="208"/>
      <c r="EJ247" s="208"/>
      <c r="EK247" s="208"/>
      <c r="EL247" s="208"/>
      <c r="EM247" s="208"/>
      <c r="EN247" s="208"/>
      <c r="EO247" s="208"/>
      <c r="EP247" s="208"/>
      <c r="EQ247" s="208"/>
      <c r="ER247" s="208"/>
      <c r="ES247" s="208"/>
      <c r="ET247" s="208"/>
      <c r="EU247" s="208"/>
      <c r="EV247" s="208"/>
      <c r="EW247" s="208"/>
      <c r="EX247" s="208"/>
      <c r="EY247" s="208"/>
      <c r="EZ247" s="208"/>
      <c r="FA247" s="208"/>
      <c r="FB247" s="208"/>
      <c r="FC247" s="208"/>
      <c r="FD247" s="208"/>
      <c r="FE247" s="208"/>
      <c r="FF247" s="208"/>
      <c r="FG247" s="208"/>
      <c r="FH247" s="208"/>
      <c r="FI247" s="208"/>
      <c r="FJ247" s="208"/>
      <c r="FK247" s="208"/>
      <c r="FL247" s="208"/>
      <c r="FM247" s="208"/>
      <c r="FN247" s="208"/>
      <c r="FO247" s="208"/>
      <c r="FP247" s="208"/>
      <c r="FQ247" s="208"/>
      <c r="FR247" s="208"/>
      <c r="FS247" s="208"/>
      <c r="FT247" s="208"/>
      <c r="FU247" s="208"/>
      <c r="FV247" s="208"/>
      <c r="FW247" s="208"/>
      <c r="FX247" s="208"/>
      <c r="FY247" s="208"/>
      <c r="FZ247" s="208"/>
      <c r="GA247" s="208"/>
      <c r="GB247" s="208"/>
      <c r="GC247" s="208"/>
      <c r="GD247" s="208"/>
      <c r="GE247" s="208"/>
      <c r="GF247" s="208"/>
      <c r="GG247" s="208"/>
      <c r="GH247" s="208"/>
      <c r="GI247" s="208"/>
      <c r="GJ247" s="208"/>
      <c r="GK247" s="208"/>
      <c r="GL247" s="208"/>
      <c r="GM247" s="208"/>
      <c r="GN247" s="208"/>
      <c r="GO247" s="208"/>
      <c r="GP247" s="208"/>
      <c r="GQ247" s="208"/>
      <c r="GR247" s="208"/>
      <c r="GS247" s="208"/>
      <c r="GT247" s="208"/>
      <c r="GU247" s="208"/>
      <c r="GV247" s="208"/>
      <c r="GW247" s="208"/>
      <c r="GX247" s="208"/>
      <c r="GY247" s="208"/>
      <c r="GZ247" s="208"/>
      <c r="HA247" s="208"/>
      <c r="HB247" s="208"/>
      <c r="HC247" s="208"/>
      <c r="HD247" s="208"/>
      <c r="HE247" s="208"/>
      <c r="HF247" s="208"/>
      <c r="HG247" s="208"/>
      <c r="HH247" s="208"/>
      <c r="HI247" s="208"/>
      <c r="HJ247" s="208"/>
      <c r="HK247" s="208"/>
      <c r="HL247" s="208"/>
      <c r="HM247" s="208"/>
      <c r="HN247" s="208"/>
      <c r="HO247" s="208"/>
      <c r="HP247" s="208"/>
      <c r="HQ247" s="208"/>
      <c r="HR247" s="208"/>
      <c r="HS247" s="208"/>
      <c r="HT247" s="208"/>
      <c r="HU247" s="208"/>
      <c r="HV247" s="208"/>
      <c r="HW247" s="208"/>
      <c r="HX247" s="208"/>
      <c r="HY247" s="208"/>
      <c r="HZ247" s="208"/>
      <c r="IA247" s="208"/>
      <c r="IB247" s="208"/>
      <c r="IC247" s="208"/>
      <c r="ID247" s="208"/>
      <c r="IE247" s="208"/>
      <c r="IF247" s="208"/>
      <c r="IG247" s="208"/>
      <c r="IH247" s="208"/>
      <c r="II247" s="208"/>
      <c r="IJ247" s="208"/>
      <c r="IK247" s="208"/>
      <c r="IL247" s="208"/>
      <c r="IM247" s="208"/>
      <c r="IN247" s="208"/>
      <c r="IO247" s="208"/>
      <c r="IP247" s="208"/>
      <c r="IQ247" s="208"/>
      <c r="IR247" s="208"/>
      <c r="IS247" s="208"/>
      <c r="IT247" s="208"/>
    </row>
    <row r="248" spans="1:254" s="209" customFormat="1" ht="12.75">
      <c r="A248" s="286" t="s">
        <v>285</v>
      </c>
      <c r="B248" s="376"/>
      <c r="C248" s="376"/>
      <c r="D248" s="376"/>
      <c r="E248" s="376"/>
      <c r="F248" s="651"/>
      <c r="G248" s="376"/>
      <c r="H248" s="376"/>
      <c r="I248" s="376"/>
      <c r="J248" s="376"/>
      <c r="K248" s="376"/>
      <c r="L248" s="376"/>
      <c r="M248" s="376"/>
      <c r="N248" s="376"/>
      <c r="O248" s="376"/>
      <c r="P248" s="376"/>
      <c r="Q248" s="376"/>
      <c r="R248" s="376"/>
      <c r="S248" s="376"/>
      <c r="T248" s="376"/>
      <c r="U248" s="376"/>
      <c r="V248" s="376"/>
      <c r="W248" s="376"/>
      <c r="X248" s="376"/>
      <c r="Y248" s="376"/>
      <c r="Z248" s="377"/>
      <c r="AA248" s="377"/>
      <c r="AB248" s="377"/>
      <c r="AC248" s="377"/>
      <c r="AD248" s="377"/>
      <c r="AE248" s="377"/>
      <c r="AF248" s="377"/>
      <c r="AG248" s="377"/>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208"/>
      <c r="BD248" s="208"/>
      <c r="BE248" s="208"/>
      <c r="BF248" s="208"/>
      <c r="BG248" s="208"/>
      <c r="BH248" s="208"/>
      <c r="BI248" s="208"/>
      <c r="BJ248" s="208"/>
      <c r="BK248" s="208"/>
      <c r="BL248" s="208"/>
      <c r="BM248" s="208"/>
      <c r="BN248" s="208"/>
      <c r="BO248" s="208"/>
      <c r="BP248" s="208"/>
      <c r="BQ248" s="208"/>
      <c r="BR248" s="208"/>
      <c r="BS248" s="208"/>
      <c r="BT248" s="208"/>
      <c r="BU248" s="208"/>
      <c r="BV248" s="208"/>
      <c r="BW248" s="208"/>
      <c r="BX248" s="208"/>
      <c r="BY248" s="208"/>
      <c r="BZ248" s="208"/>
      <c r="CA248" s="208"/>
      <c r="CB248" s="208"/>
      <c r="CC248" s="208"/>
      <c r="CD248" s="208"/>
      <c r="CE248" s="208"/>
      <c r="CF248" s="208"/>
      <c r="CG248" s="208"/>
      <c r="CH248" s="208"/>
      <c r="CI248" s="208"/>
      <c r="CJ248" s="208"/>
      <c r="CK248" s="208"/>
      <c r="CL248" s="208"/>
      <c r="CM248" s="208"/>
      <c r="CN248" s="208"/>
      <c r="CO248" s="208"/>
      <c r="CP248" s="208"/>
      <c r="CQ248" s="208"/>
      <c r="CR248" s="208"/>
      <c r="CS248" s="208"/>
      <c r="CT248" s="208"/>
      <c r="CU248" s="208"/>
      <c r="CV248" s="208"/>
      <c r="CW248" s="208"/>
      <c r="CX248" s="208"/>
      <c r="CY248" s="208"/>
      <c r="CZ248" s="208"/>
      <c r="DA248" s="208"/>
      <c r="DB248" s="208"/>
      <c r="DC248" s="208"/>
      <c r="DD248" s="208"/>
      <c r="DE248" s="208"/>
      <c r="DF248" s="208"/>
      <c r="DG248" s="208"/>
      <c r="DH248" s="208"/>
      <c r="DI248" s="208"/>
      <c r="DJ248" s="208"/>
      <c r="DK248" s="208"/>
      <c r="DL248" s="208"/>
      <c r="DM248" s="208"/>
      <c r="DN248" s="208"/>
      <c r="DO248" s="208"/>
      <c r="DP248" s="208"/>
      <c r="DQ248" s="208"/>
      <c r="DR248" s="208"/>
      <c r="DS248" s="208"/>
      <c r="DT248" s="208"/>
      <c r="DU248" s="208"/>
      <c r="DV248" s="208"/>
      <c r="DW248" s="208"/>
      <c r="DX248" s="208"/>
      <c r="DY248" s="208"/>
      <c r="DZ248" s="208"/>
      <c r="EA248" s="208"/>
      <c r="EB248" s="208"/>
      <c r="EC248" s="208"/>
      <c r="ED248" s="208"/>
      <c r="EE248" s="208"/>
      <c r="EF248" s="208"/>
      <c r="EG248" s="208"/>
      <c r="EH248" s="208"/>
      <c r="EI248" s="208"/>
      <c r="EJ248" s="208"/>
      <c r="EK248" s="208"/>
      <c r="EL248" s="208"/>
      <c r="EM248" s="208"/>
      <c r="EN248" s="208"/>
      <c r="EO248" s="208"/>
      <c r="EP248" s="208"/>
      <c r="EQ248" s="208"/>
      <c r="ER248" s="208"/>
      <c r="ES248" s="208"/>
      <c r="ET248" s="208"/>
      <c r="EU248" s="208"/>
      <c r="EV248" s="208"/>
      <c r="EW248" s="208"/>
      <c r="EX248" s="208"/>
      <c r="EY248" s="208"/>
      <c r="EZ248" s="208"/>
      <c r="FA248" s="208"/>
      <c r="FB248" s="208"/>
      <c r="FC248" s="208"/>
      <c r="FD248" s="208"/>
      <c r="FE248" s="208"/>
      <c r="FF248" s="208"/>
      <c r="FG248" s="208"/>
      <c r="FH248" s="208"/>
      <c r="FI248" s="208"/>
      <c r="FJ248" s="208"/>
      <c r="FK248" s="208"/>
      <c r="FL248" s="208"/>
      <c r="FM248" s="208"/>
      <c r="FN248" s="208"/>
      <c r="FO248" s="208"/>
      <c r="FP248" s="208"/>
      <c r="FQ248" s="208"/>
      <c r="FR248" s="208"/>
      <c r="FS248" s="208"/>
      <c r="FT248" s="208"/>
      <c r="FU248" s="208"/>
      <c r="FV248" s="208"/>
      <c r="FW248" s="208"/>
      <c r="FX248" s="208"/>
      <c r="FY248" s="208"/>
      <c r="FZ248" s="208"/>
      <c r="GA248" s="208"/>
      <c r="GB248" s="208"/>
      <c r="GC248" s="208"/>
      <c r="GD248" s="208"/>
      <c r="GE248" s="208"/>
      <c r="GF248" s="208"/>
      <c r="GG248" s="208"/>
      <c r="GH248" s="208"/>
      <c r="GI248" s="208"/>
      <c r="GJ248" s="208"/>
      <c r="GK248" s="208"/>
      <c r="GL248" s="208"/>
      <c r="GM248" s="208"/>
      <c r="GN248" s="208"/>
      <c r="GO248" s="208"/>
      <c r="GP248" s="208"/>
      <c r="GQ248" s="208"/>
      <c r="GR248" s="208"/>
      <c r="GS248" s="208"/>
      <c r="GT248" s="208"/>
      <c r="GU248" s="208"/>
      <c r="GV248" s="208"/>
      <c r="GW248" s="208"/>
      <c r="GX248" s="208"/>
      <c r="GY248" s="208"/>
      <c r="GZ248" s="208"/>
      <c r="HA248" s="208"/>
      <c r="HB248" s="208"/>
      <c r="HC248" s="208"/>
      <c r="HD248" s="208"/>
      <c r="HE248" s="208"/>
      <c r="HF248" s="208"/>
      <c r="HG248" s="208"/>
      <c r="HH248" s="208"/>
      <c r="HI248" s="208"/>
      <c r="HJ248" s="208"/>
      <c r="HK248" s="208"/>
      <c r="HL248" s="208"/>
      <c r="HM248" s="208"/>
      <c r="HN248" s="208"/>
      <c r="HO248" s="208"/>
      <c r="HP248" s="208"/>
      <c r="HQ248" s="208"/>
      <c r="HR248" s="208"/>
      <c r="HS248" s="208"/>
      <c r="HT248" s="208"/>
      <c r="HU248" s="208"/>
      <c r="HV248" s="208"/>
      <c r="HW248" s="208"/>
      <c r="HX248" s="208"/>
      <c r="HY248" s="208"/>
      <c r="HZ248" s="208"/>
      <c r="IA248" s="208"/>
      <c r="IB248" s="208"/>
      <c r="IC248" s="208"/>
      <c r="ID248" s="208"/>
      <c r="IE248" s="208"/>
      <c r="IF248" s="208"/>
      <c r="IG248" s="208"/>
      <c r="IH248" s="208"/>
      <c r="II248" s="208"/>
      <c r="IJ248" s="208"/>
      <c r="IK248" s="208"/>
      <c r="IL248" s="208"/>
      <c r="IM248" s="208"/>
      <c r="IN248" s="208"/>
      <c r="IO248" s="208"/>
      <c r="IP248" s="208"/>
      <c r="IQ248" s="208"/>
      <c r="IR248" s="208"/>
      <c r="IS248" s="208"/>
      <c r="IT248" s="208"/>
    </row>
    <row r="249" spans="1:254" s="209" customFormat="1" ht="12.75">
      <c r="A249" s="346" t="s">
        <v>286</v>
      </c>
      <c r="B249" s="378">
        <f>'Datu ievade'!$B$83</f>
        <v>0.04642</v>
      </c>
      <c r="C249" s="378"/>
      <c r="D249" s="378"/>
      <c r="E249" s="378"/>
      <c r="F249" s="652"/>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208"/>
      <c r="BD249" s="208"/>
      <c r="BE249" s="208"/>
      <c r="BF249" s="208"/>
      <c r="BG249" s="208"/>
      <c r="BH249" s="208"/>
      <c r="BI249" s="208"/>
      <c r="BJ249" s="208"/>
      <c r="BK249" s="208"/>
      <c r="BL249" s="208"/>
      <c r="BM249" s="208"/>
      <c r="BN249" s="208"/>
      <c r="BO249" s="208"/>
      <c r="BP249" s="208"/>
      <c r="BQ249" s="208"/>
      <c r="BR249" s="208"/>
      <c r="BS249" s="208"/>
      <c r="BT249" s="208"/>
      <c r="BU249" s="208"/>
      <c r="BV249" s="208"/>
      <c r="BW249" s="208"/>
      <c r="BX249" s="208"/>
      <c r="BY249" s="208"/>
      <c r="BZ249" s="208"/>
      <c r="CA249" s="208"/>
      <c r="CB249" s="208"/>
      <c r="CC249" s="208"/>
      <c r="CD249" s="208"/>
      <c r="CE249" s="208"/>
      <c r="CF249" s="208"/>
      <c r="CG249" s="208"/>
      <c r="CH249" s="208"/>
      <c r="CI249" s="208"/>
      <c r="CJ249" s="208"/>
      <c r="CK249" s="208"/>
      <c r="CL249" s="208"/>
      <c r="CM249" s="208"/>
      <c r="CN249" s="208"/>
      <c r="CO249" s="208"/>
      <c r="CP249" s="208"/>
      <c r="CQ249" s="208"/>
      <c r="CR249" s="208"/>
      <c r="CS249" s="208"/>
      <c r="CT249" s="208"/>
      <c r="CU249" s="208"/>
      <c r="CV249" s="208"/>
      <c r="CW249" s="208"/>
      <c r="CX249" s="208"/>
      <c r="CY249" s="208"/>
      <c r="CZ249" s="208"/>
      <c r="DA249" s="208"/>
      <c r="DB249" s="208"/>
      <c r="DC249" s="208"/>
      <c r="DD249" s="208"/>
      <c r="DE249" s="208"/>
      <c r="DF249" s="208"/>
      <c r="DG249" s="208"/>
      <c r="DH249" s="208"/>
      <c r="DI249" s="208"/>
      <c r="DJ249" s="208"/>
      <c r="DK249" s="208"/>
      <c r="DL249" s="208"/>
      <c r="DM249" s="208"/>
      <c r="DN249" s="208"/>
      <c r="DO249" s="208"/>
      <c r="DP249" s="208"/>
      <c r="DQ249" s="208"/>
      <c r="DR249" s="208"/>
      <c r="DS249" s="208"/>
      <c r="DT249" s="208"/>
      <c r="DU249" s="208"/>
      <c r="DV249" s="208"/>
      <c r="DW249" s="208"/>
      <c r="DX249" s="208"/>
      <c r="DY249" s="208"/>
      <c r="DZ249" s="208"/>
      <c r="EA249" s="208"/>
      <c r="EB249" s="208"/>
      <c r="EC249" s="208"/>
      <c r="ED249" s="208"/>
      <c r="EE249" s="208"/>
      <c r="EF249" s="208"/>
      <c r="EG249" s="208"/>
      <c r="EH249" s="208"/>
      <c r="EI249" s="208"/>
      <c r="EJ249" s="208"/>
      <c r="EK249" s="208"/>
      <c r="EL249" s="208"/>
      <c r="EM249" s="208"/>
      <c r="EN249" s="208"/>
      <c r="EO249" s="208"/>
      <c r="EP249" s="208"/>
      <c r="EQ249" s="208"/>
      <c r="ER249" s="208"/>
      <c r="ES249" s="208"/>
      <c r="ET249" s="208"/>
      <c r="EU249" s="208"/>
      <c r="EV249" s="208"/>
      <c r="EW249" s="208"/>
      <c r="EX249" s="208"/>
      <c r="EY249" s="208"/>
      <c r="EZ249" s="208"/>
      <c r="FA249" s="208"/>
      <c r="FB249" s="208"/>
      <c r="FC249" s="208"/>
      <c r="FD249" s="208"/>
      <c r="FE249" s="208"/>
      <c r="FF249" s="208"/>
      <c r="FG249" s="208"/>
      <c r="FH249" s="208"/>
      <c r="FI249" s="208"/>
      <c r="FJ249" s="208"/>
      <c r="FK249" s="208"/>
      <c r="FL249" s="208"/>
      <c r="FM249" s="208"/>
      <c r="FN249" s="208"/>
      <c r="FO249" s="208"/>
      <c r="FP249" s="208"/>
      <c r="FQ249" s="208"/>
      <c r="FR249" s="208"/>
      <c r="FS249" s="208"/>
      <c r="FT249" s="208"/>
      <c r="FU249" s="208"/>
      <c r="FV249" s="208"/>
      <c r="FW249" s="208"/>
      <c r="FX249" s="208"/>
      <c r="FY249" s="208"/>
      <c r="FZ249" s="208"/>
      <c r="GA249" s="208"/>
      <c r="GB249" s="208"/>
      <c r="GC249" s="208"/>
      <c r="GD249" s="208"/>
      <c r="GE249" s="208"/>
      <c r="GF249" s="208"/>
      <c r="GG249" s="208"/>
      <c r="GH249" s="208"/>
      <c r="GI249" s="208"/>
      <c r="GJ249" s="208"/>
      <c r="GK249" s="208"/>
      <c r="GL249" s="208"/>
      <c r="GM249" s="208"/>
      <c r="GN249" s="208"/>
      <c r="GO249" s="208"/>
      <c r="GP249" s="208"/>
      <c r="GQ249" s="208"/>
      <c r="GR249" s="208"/>
      <c r="GS249" s="208"/>
      <c r="GT249" s="208"/>
      <c r="GU249" s="208"/>
      <c r="GV249" s="208"/>
      <c r="GW249" s="208"/>
      <c r="GX249" s="208"/>
      <c r="GY249" s="208"/>
      <c r="GZ249" s="208"/>
      <c r="HA249" s="208"/>
      <c r="HB249" s="208"/>
      <c r="HC249" s="208"/>
      <c r="HD249" s="208"/>
      <c r="HE249" s="208"/>
      <c r="HF249" s="208"/>
      <c r="HG249" s="208"/>
      <c r="HH249" s="208"/>
      <c r="HI249" s="208"/>
      <c r="HJ249" s="208"/>
      <c r="HK249" s="208"/>
      <c r="HL249" s="208"/>
      <c r="HM249" s="208"/>
      <c r="HN249" s="208"/>
      <c r="HO249" s="208"/>
      <c r="HP249" s="208"/>
      <c r="HQ249" s="208"/>
      <c r="HR249" s="208"/>
      <c r="HS249" s="208"/>
      <c r="HT249" s="208"/>
      <c r="HU249" s="208"/>
      <c r="HV249" s="208"/>
      <c r="HW249" s="208"/>
      <c r="HX249" s="208"/>
      <c r="HY249" s="208"/>
      <c r="HZ249" s="208"/>
      <c r="IA249" s="208"/>
      <c r="IB249" s="208"/>
      <c r="IC249" s="208"/>
      <c r="ID249" s="208"/>
      <c r="IE249" s="208"/>
      <c r="IF249" s="208"/>
      <c r="IG249" s="208"/>
      <c r="IH249" s="208"/>
      <c r="II249" s="208"/>
      <c r="IJ249" s="208"/>
      <c r="IK249" s="208"/>
      <c r="IL249" s="208"/>
      <c r="IM249" s="208"/>
      <c r="IN249" s="208"/>
      <c r="IO249" s="208"/>
      <c r="IP249" s="208"/>
      <c r="IQ249" s="208"/>
      <c r="IR249" s="208"/>
      <c r="IS249" s="208"/>
      <c r="IT249" s="208"/>
    </row>
    <row r="250" spans="1:254" s="633" customFormat="1" ht="12.75">
      <c r="A250" s="746" t="s">
        <v>287</v>
      </c>
      <c r="B250" s="635">
        <f>IF('Datu ievade'!$B$88="Jā",'Datu ievade'!B101,0)</f>
        <v>0</v>
      </c>
      <c r="C250" s="635">
        <f>IF('Datu ievade'!$B$88="Jā",'Datu ievade'!C101,0)</f>
        <v>78045.15657688066</v>
      </c>
      <c r="D250" s="635">
        <f>IF('Datu ievade'!$B$88="Jā",'Datu ievade'!D101,0)</f>
        <v>341415.1434231193</v>
      </c>
      <c r="E250" s="635">
        <f>IF('Datu ievade'!$B$88="Jā",'Datu ievade'!E101,0)</f>
        <v>0</v>
      </c>
      <c r="F250" s="635">
        <f>IF('Datu ievade'!$B$88="Jā",'Datu ievade'!F101,0)</f>
        <v>0</v>
      </c>
      <c r="G250" s="635">
        <f>IF('Datu ievade'!$B$88="Jā",'Datu ievade'!G101,0)</f>
        <v>0</v>
      </c>
      <c r="H250" s="635">
        <f>IF('Datu ievade'!$B$88="Jā",'Datu ievade'!H101,0)</f>
        <v>0</v>
      </c>
      <c r="I250" s="635">
        <f>IF('Datu ievade'!$B$88="Jā",'Datu ievade'!I101,0)</f>
        <v>0</v>
      </c>
      <c r="J250" s="635">
        <f>IF('Datu ievade'!$B$88="Jā",'Datu ievade'!J101,0)</f>
        <v>0</v>
      </c>
      <c r="K250" s="635">
        <f>IF('Datu ievade'!$B$88="Jā",'Datu ievade'!K101,0)</f>
        <v>0</v>
      </c>
      <c r="L250" s="635">
        <f>IF('Datu ievade'!$B$88="Jā",'Datu ievade'!L101,0)</f>
        <v>0</v>
      </c>
      <c r="M250" s="635">
        <f>IF('Datu ievade'!$B$88="Jā",'Datu ievade'!M101,0)</f>
        <v>0</v>
      </c>
      <c r="N250" s="635">
        <f>IF('Datu ievade'!$B$88="Jā",'Datu ievade'!N101,0)</f>
        <v>0</v>
      </c>
      <c r="O250" s="635">
        <f>IF('Datu ievade'!$B$88="Jā",'Datu ievade'!O101,0)</f>
        <v>0</v>
      </c>
      <c r="P250" s="635">
        <f>IF('Datu ievade'!$B$88="Jā",'Datu ievade'!P101,0)</f>
        <v>0</v>
      </c>
      <c r="Q250" s="635">
        <f>IF('Datu ievade'!$B$88="Jā",'Datu ievade'!Q101,0)</f>
        <v>0</v>
      </c>
      <c r="R250" s="635">
        <f>IF('Datu ievade'!$B$88="Jā",'Datu ievade'!R101,0)</f>
        <v>0</v>
      </c>
      <c r="S250" s="635">
        <f>IF('Datu ievade'!$B$88="Jā",'Datu ievade'!S101,0)</f>
        <v>0</v>
      </c>
      <c r="T250" s="635">
        <f>IF('Datu ievade'!$B$88="Jā",'Datu ievade'!T101,0)</f>
        <v>0</v>
      </c>
      <c r="U250" s="635">
        <f>IF('Datu ievade'!$B$88="Jā",'Datu ievade'!U101,0)</f>
        <v>0</v>
      </c>
      <c r="V250" s="635">
        <f>IF('Datu ievade'!$B$88="Jā",'Datu ievade'!V101,0)</f>
        <v>0</v>
      </c>
      <c r="W250" s="635">
        <f>IF('Datu ievade'!$B$88="Jā",'Datu ievade'!W101,0)</f>
        <v>0</v>
      </c>
      <c r="X250" s="635">
        <f>IF('Datu ievade'!$B$88="Jā",'Datu ievade'!X101,0)</f>
        <v>0</v>
      </c>
      <c r="Y250" s="635">
        <f>IF('Datu ievade'!$B$88="Jā",'Datu ievade'!Y101,0)</f>
        <v>0</v>
      </c>
      <c r="Z250" s="635">
        <f>IF('Datu ievade'!$B$88="Jā",'Datu ievade'!Z101,0)</f>
        <v>0</v>
      </c>
      <c r="AA250" s="635">
        <f>IF('Datu ievade'!$B$88="Jā",'Datu ievade'!AA101,0)</f>
        <v>0</v>
      </c>
      <c r="AB250" s="635">
        <f>IF('Datu ievade'!$B$88="Jā",'Datu ievade'!AB101,0)</f>
        <v>0</v>
      </c>
      <c r="AC250" s="635">
        <f>IF('Datu ievade'!$B$88="Jā",'Datu ievade'!AC101,0)</f>
        <v>0</v>
      </c>
      <c r="AD250" s="635">
        <f>IF('Datu ievade'!$B$88="Jā",'Datu ievade'!AD101,0)</f>
        <v>0</v>
      </c>
      <c r="AE250" s="635">
        <f>IF('Datu ievade'!$B$88="Jā",'Datu ievade'!AE101,0)</f>
        <v>0</v>
      </c>
      <c r="AF250" s="635">
        <f>IF('Datu ievade'!$B$88="Jā",'Datu ievade'!AF101,0)</f>
        <v>0</v>
      </c>
      <c r="AG250" s="635">
        <f>IF('Datu ievade'!$B$88="Jā",'Datu ievade'!AG101,0)</f>
        <v>0</v>
      </c>
      <c r="AH250" s="653"/>
      <c r="AI250" s="653"/>
      <c r="AJ250" s="653"/>
      <c r="AK250" s="653"/>
      <c r="AL250" s="653"/>
      <c r="AM250" s="653"/>
      <c r="AN250" s="653"/>
      <c r="AO250" s="653"/>
      <c r="AP250" s="653"/>
      <c r="AQ250" s="653"/>
      <c r="AR250" s="653"/>
      <c r="AS250" s="653"/>
      <c r="AT250" s="653"/>
      <c r="AU250" s="653"/>
      <c r="AV250" s="653"/>
      <c r="AW250" s="653"/>
      <c r="AX250" s="653"/>
      <c r="AY250" s="653"/>
      <c r="AZ250" s="653"/>
      <c r="BA250" s="653"/>
      <c r="BB250" s="653"/>
      <c r="BC250" s="653"/>
      <c r="BD250" s="653"/>
      <c r="BE250" s="653"/>
      <c r="BF250" s="653"/>
      <c r="BG250" s="653"/>
      <c r="BH250" s="653"/>
      <c r="BI250" s="653"/>
      <c r="BJ250" s="653"/>
      <c r="BK250" s="653"/>
      <c r="BL250" s="653"/>
      <c r="BM250" s="653"/>
      <c r="BN250" s="653"/>
      <c r="BO250" s="653"/>
      <c r="BP250" s="653"/>
      <c r="BQ250" s="653"/>
      <c r="BR250" s="653"/>
      <c r="BS250" s="653"/>
      <c r="BT250" s="653"/>
      <c r="BU250" s="653"/>
      <c r="BV250" s="653"/>
      <c r="BW250" s="653"/>
      <c r="BX250" s="653"/>
      <c r="BY250" s="653"/>
      <c r="BZ250" s="653"/>
      <c r="CA250" s="653"/>
      <c r="CB250" s="653"/>
      <c r="CC250" s="653"/>
      <c r="CD250" s="653"/>
      <c r="CE250" s="653"/>
      <c r="CF250" s="653"/>
      <c r="CG250" s="653"/>
      <c r="CH250" s="653"/>
      <c r="CI250" s="653"/>
      <c r="CJ250" s="653"/>
      <c r="CK250" s="653"/>
      <c r="CL250" s="653"/>
      <c r="CM250" s="653"/>
      <c r="CN250" s="653"/>
      <c r="CO250" s="653"/>
      <c r="CP250" s="653"/>
      <c r="CQ250" s="653"/>
      <c r="CR250" s="653"/>
      <c r="CS250" s="653"/>
      <c r="CT250" s="653"/>
      <c r="CU250" s="653"/>
      <c r="CV250" s="653"/>
      <c r="CW250" s="653"/>
      <c r="CX250" s="653"/>
      <c r="CY250" s="653"/>
      <c r="CZ250" s="653"/>
      <c r="DA250" s="653"/>
      <c r="DB250" s="653"/>
      <c r="DC250" s="653"/>
      <c r="DD250" s="653"/>
      <c r="DE250" s="653"/>
      <c r="DF250" s="653"/>
      <c r="DG250" s="653"/>
      <c r="DH250" s="653"/>
      <c r="DI250" s="653"/>
      <c r="DJ250" s="653"/>
      <c r="DK250" s="653"/>
      <c r="DL250" s="653"/>
      <c r="DM250" s="653"/>
      <c r="DN250" s="653"/>
      <c r="DO250" s="653"/>
      <c r="DP250" s="653"/>
      <c r="DQ250" s="653"/>
      <c r="DR250" s="653"/>
      <c r="DS250" s="653"/>
      <c r="DT250" s="653"/>
      <c r="DU250" s="653"/>
      <c r="DV250" s="653"/>
      <c r="DW250" s="653"/>
      <c r="DX250" s="653"/>
      <c r="DY250" s="653"/>
      <c r="DZ250" s="653"/>
      <c r="EA250" s="653"/>
      <c r="EB250" s="653"/>
      <c r="EC250" s="653"/>
      <c r="ED250" s="653"/>
      <c r="EE250" s="653"/>
      <c r="EF250" s="653"/>
      <c r="EG250" s="653"/>
      <c r="EH250" s="653"/>
      <c r="EI250" s="653"/>
      <c r="EJ250" s="653"/>
      <c r="EK250" s="653"/>
      <c r="EL250" s="653"/>
      <c r="EM250" s="653"/>
      <c r="EN250" s="653"/>
      <c r="EO250" s="653"/>
      <c r="EP250" s="653"/>
      <c r="EQ250" s="653"/>
      <c r="ER250" s="653"/>
      <c r="ES250" s="653"/>
      <c r="ET250" s="653"/>
      <c r="EU250" s="653"/>
      <c r="EV250" s="653"/>
      <c r="EW250" s="653"/>
      <c r="EX250" s="653"/>
      <c r="EY250" s="653"/>
      <c r="EZ250" s="653"/>
      <c r="FA250" s="653"/>
      <c r="FB250" s="653"/>
      <c r="FC250" s="653"/>
      <c r="FD250" s="653"/>
      <c r="FE250" s="653"/>
      <c r="FF250" s="653"/>
      <c r="FG250" s="653"/>
      <c r="FH250" s="653"/>
      <c r="FI250" s="653"/>
      <c r="FJ250" s="653"/>
      <c r="FK250" s="653"/>
      <c r="FL250" s="653"/>
      <c r="FM250" s="653"/>
      <c r="FN250" s="653"/>
      <c r="FO250" s="653"/>
      <c r="FP250" s="653"/>
      <c r="FQ250" s="653"/>
      <c r="FR250" s="653"/>
      <c r="FS250" s="653"/>
      <c r="FT250" s="653"/>
      <c r="FU250" s="653"/>
      <c r="FV250" s="653"/>
      <c r="FW250" s="653"/>
      <c r="FX250" s="653"/>
      <c r="FY250" s="653"/>
      <c r="FZ250" s="653"/>
      <c r="GA250" s="653"/>
      <c r="GB250" s="653"/>
      <c r="GC250" s="653"/>
      <c r="GD250" s="653"/>
      <c r="GE250" s="653"/>
      <c r="GF250" s="653"/>
      <c r="GG250" s="653"/>
      <c r="GH250" s="653"/>
      <c r="GI250" s="653"/>
      <c r="GJ250" s="653"/>
      <c r="GK250" s="653"/>
      <c r="GL250" s="653"/>
      <c r="GM250" s="653"/>
      <c r="GN250" s="653"/>
      <c r="GO250" s="653"/>
      <c r="GP250" s="653"/>
      <c r="GQ250" s="653"/>
      <c r="GR250" s="653"/>
      <c r="GS250" s="653"/>
      <c r="GT250" s="653"/>
      <c r="GU250" s="653"/>
      <c r="GV250" s="653"/>
      <c r="GW250" s="653"/>
      <c r="GX250" s="653"/>
      <c r="GY250" s="653"/>
      <c r="GZ250" s="653"/>
      <c r="HA250" s="653"/>
      <c r="HB250" s="653"/>
      <c r="HC250" s="653"/>
      <c r="HD250" s="653"/>
      <c r="HE250" s="653"/>
      <c r="HF250" s="653"/>
      <c r="HG250" s="653"/>
      <c r="HH250" s="653"/>
      <c r="HI250" s="653"/>
      <c r="HJ250" s="653"/>
      <c r="HK250" s="653"/>
      <c r="HL250" s="653"/>
      <c r="HM250" s="653"/>
      <c r="HN250" s="653"/>
      <c r="HO250" s="653"/>
      <c r="HP250" s="653"/>
      <c r="HQ250" s="653"/>
      <c r="HR250" s="653"/>
      <c r="HS250" s="653"/>
      <c r="HT250" s="653"/>
      <c r="HU250" s="653"/>
      <c r="HV250" s="653"/>
      <c r="HW250" s="653"/>
      <c r="HX250" s="653"/>
      <c r="HY250" s="653"/>
      <c r="HZ250" s="653"/>
      <c r="IA250" s="653"/>
      <c r="IB250" s="653"/>
      <c r="IC250" s="653"/>
      <c r="ID250" s="653"/>
      <c r="IE250" s="653"/>
      <c r="IF250" s="653"/>
      <c r="IG250" s="653"/>
      <c r="IH250" s="653"/>
      <c r="II250" s="653"/>
      <c r="IJ250" s="653"/>
      <c r="IK250" s="653"/>
      <c r="IL250" s="653"/>
      <c r="IM250" s="653"/>
      <c r="IN250" s="653"/>
      <c r="IO250" s="653"/>
      <c r="IP250" s="653"/>
      <c r="IQ250" s="653"/>
      <c r="IR250" s="653"/>
      <c r="IS250" s="653"/>
      <c r="IT250" s="653"/>
    </row>
    <row r="251" spans="1:254" s="209" customFormat="1" ht="12.75">
      <c r="A251" s="324" t="s">
        <v>288</v>
      </c>
      <c r="B251" s="325">
        <f aca="true" t="shared" si="86" ref="B251:AG251">SUM(B252:B253)</f>
        <v>0</v>
      </c>
      <c r="C251" s="325">
        <f t="shared" si="86"/>
        <v>0</v>
      </c>
      <c r="D251" s="325">
        <f t="shared" si="86"/>
        <v>3622.8561682988006</v>
      </c>
      <c r="E251" s="325">
        <f t="shared" si="86"/>
        <v>19471.347126</v>
      </c>
      <c r="F251" s="636">
        <f t="shared" si="86"/>
        <v>36249.759126000004</v>
      </c>
      <c r="G251" s="325">
        <f t="shared" si="86"/>
        <v>35470.90524096</v>
      </c>
      <c r="H251" s="325">
        <f t="shared" si="86"/>
        <v>34692.051355920004</v>
      </c>
      <c r="I251" s="325">
        <f t="shared" si="86"/>
        <v>33913.19747088</v>
      </c>
      <c r="J251" s="325">
        <f t="shared" si="86"/>
        <v>33134.34358584</v>
      </c>
      <c r="K251" s="325">
        <f t="shared" si="86"/>
        <v>32355.489700799997</v>
      </c>
      <c r="L251" s="325">
        <f t="shared" si="86"/>
        <v>31576.635815759997</v>
      </c>
      <c r="M251" s="325">
        <f t="shared" si="86"/>
        <v>30797.781930719997</v>
      </c>
      <c r="N251" s="325">
        <f t="shared" si="86"/>
        <v>30018.928045679997</v>
      </c>
      <c r="O251" s="325">
        <f t="shared" si="86"/>
        <v>29240.074160639997</v>
      </c>
      <c r="P251" s="325">
        <f t="shared" si="86"/>
        <v>28461.220275599997</v>
      </c>
      <c r="Q251" s="325">
        <f t="shared" si="86"/>
        <v>27682.366390559997</v>
      </c>
      <c r="R251" s="325">
        <f t="shared" si="86"/>
        <v>26903.512505519993</v>
      </c>
      <c r="S251" s="325">
        <f t="shared" si="86"/>
        <v>26124.658620479993</v>
      </c>
      <c r="T251" s="325">
        <f t="shared" si="86"/>
        <v>25345.804735439993</v>
      </c>
      <c r="U251" s="325">
        <f t="shared" si="86"/>
        <v>24566.950850399993</v>
      </c>
      <c r="V251" s="325">
        <f t="shared" si="86"/>
        <v>23788.096965359993</v>
      </c>
      <c r="W251" s="325">
        <f t="shared" si="86"/>
        <v>23009.24308031999</v>
      </c>
      <c r="X251" s="325">
        <f t="shared" si="86"/>
        <v>22230.38919527999</v>
      </c>
      <c r="Y251" s="325">
        <f t="shared" si="86"/>
        <v>21451.53531023999</v>
      </c>
      <c r="Z251" s="325">
        <f t="shared" si="86"/>
        <v>20672.681425199993</v>
      </c>
      <c r="AA251" s="325">
        <f t="shared" si="86"/>
        <v>19893.827540159993</v>
      </c>
      <c r="AB251" s="325">
        <f t="shared" si="86"/>
        <v>19114.973655119993</v>
      </c>
      <c r="AC251" s="325">
        <f t="shared" si="86"/>
        <v>18336.119770079993</v>
      </c>
      <c r="AD251" s="325">
        <f t="shared" si="86"/>
        <v>17557.265885039993</v>
      </c>
      <c r="AE251" s="325">
        <f t="shared" si="86"/>
        <v>-8.443748811259866E-12</v>
      </c>
      <c r="AF251" s="325">
        <f t="shared" si="86"/>
        <v>-8.443748811259866E-12</v>
      </c>
      <c r="AG251" s="325">
        <f t="shared" si="86"/>
        <v>-8.443748811259866E-12</v>
      </c>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208"/>
      <c r="BD251" s="208"/>
      <c r="BE251" s="208"/>
      <c r="BF251" s="208"/>
      <c r="BG251" s="208"/>
      <c r="BH251" s="208"/>
      <c r="BI251" s="208"/>
      <c r="BJ251" s="208"/>
      <c r="BK251" s="208"/>
      <c r="BL251" s="208"/>
      <c r="BM251" s="208"/>
      <c r="BN251" s="208"/>
      <c r="BO251" s="208"/>
      <c r="BP251" s="208"/>
      <c r="BQ251" s="208"/>
      <c r="BR251" s="208"/>
      <c r="BS251" s="208"/>
      <c r="BT251" s="208"/>
      <c r="BU251" s="208"/>
      <c r="BV251" s="208"/>
      <c r="BW251" s="208"/>
      <c r="BX251" s="208"/>
      <c r="BY251" s="208"/>
      <c r="BZ251" s="208"/>
      <c r="CA251" s="208"/>
      <c r="CB251" s="208"/>
      <c r="CC251" s="208"/>
      <c r="CD251" s="208"/>
      <c r="CE251" s="208"/>
      <c r="CF251" s="208"/>
      <c r="CG251" s="208"/>
      <c r="CH251" s="208"/>
      <c r="CI251" s="208"/>
      <c r="CJ251" s="208"/>
      <c r="CK251" s="208"/>
      <c r="CL251" s="208"/>
      <c r="CM251" s="208"/>
      <c r="CN251" s="208"/>
      <c r="CO251" s="208"/>
      <c r="CP251" s="208"/>
      <c r="CQ251" s="208"/>
      <c r="CR251" s="208"/>
      <c r="CS251" s="208"/>
      <c r="CT251" s="208"/>
      <c r="CU251" s="208"/>
      <c r="CV251" s="208"/>
      <c r="CW251" s="208"/>
      <c r="CX251" s="208"/>
      <c r="CY251" s="208"/>
      <c r="CZ251" s="208"/>
      <c r="DA251" s="208"/>
      <c r="DB251" s="208"/>
      <c r="DC251" s="208"/>
      <c r="DD251" s="208"/>
      <c r="DE251" s="208"/>
      <c r="DF251" s="208"/>
      <c r="DG251" s="208"/>
      <c r="DH251" s="208"/>
      <c r="DI251" s="208"/>
      <c r="DJ251" s="208"/>
      <c r="DK251" s="208"/>
      <c r="DL251" s="208"/>
      <c r="DM251" s="208"/>
      <c r="DN251" s="208"/>
      <c r="DO251" s="208"/>
      <c r="DP251" s="208"/>
      <c r="DQ251" s="208"/>
      <c r="DR251" s="208"/>
      <c r="DS251" s="208"/>
      <c r="DT251" s="208"/>
      <c r="DU251" s="208"/>
      <c r="DV251" s="208"/>
      <c r="DW251" s="208"/>
      <c r="DX251" s="208"/>
      <c r="DY251" s="208"/>
      <c r="DZ251" s="208"/>
      <c r="EA251" s="208"/>
      <c r="EB251" s="208"/>
      <c r="EC251" s="208"/>
      <c r="ED251" s="208"/>
      <c r="EE251" s="208"/>
      <c r="EF251" s="208"/>
      <c r="EG251" s="208"/>
      <c r="EH251" s="208"/>
      <c r="EI251" s="208"/>
      <c r="EJ251" s="208"/>
      <c r="EK251" s="208"/>
      <c r="EL251" s="208"/>
      <c r="EM251" s="208"/>
      <c r="EN251" s="208"/>
      <c r="EO251" s="208"/>
      <c r="EP251" s="208"/>
      <c r="EQ251" s="208"/>
      <c r="ER251" s="208"/>
      <c r="ES251" s="208"/>
      <c r="ET251" s="208"/>
      <c r="EU251" s="208"/>
      <c r="EV251" s="208"/>
      <c r="EW251" s="208"/>
      <c r="EX251" s="208"/>
      <c r="EY251" s="208"/>
      <c r="EZ251" s="208"/>
      <c r="FA251" s="208"/>
      <c r="FB251" s="208"/>
      <c r="FC251" s="208"/>
      <c r="FD251" s="208"/>
      <c r="FE251" s="208"/>
      <c r="FF251" s="208"/>
      <c r="FG251" s="208"/>
      <c r="FH251" s="208"/>
      <c r="FI251" s="208"/>
      <c r="FJ251" s="208"/>
      <c r="FK251" s="208"/>
      <c r="FL251" s="208"/>
      <c r="FM251" s="208"/>
      <c r="FN251" s="208"/>
      <c r="FO251" s="208"/>
      <c r="FP251" s="208"/>
      <c r="FQ251" s="208"/>
      <c r="FR251" s="208"/>
      <c r="FS251" s="208"/>
      <c r="FT251" s="208"/>
      <c r="FU251" s="208"/>
      <c r="FV251" s="208"/>
      <c r="FW251" s="208"/>
      <c r="FX251" s="208"/>
      <c r="FY251" s="208"/>
      <c r="FZ251" s="208"/>
      <c r="GA251" s="208"/>
      <c r="GB251" s="208"/>
      <c r="GC251" s="208"/>
      <c r="GD251" s="208"/>
      <c r="GE251" s="208"/>
      <c r="GF251" s="208"/>
      <c r="GG251" s="208"/>
      <c r="GH251" s="208"/>
      <c r="GI251" s="208"/>
      <c r="GJ251" s="208"/>
      <c r="GK251" s="208"/>
      <c r="GL251" s="208"/>
      <c r="GM251" s="208"/>
      <c r="GN251" s="208"/>
      <c r="GO251" s="208"/>
      <c r="GP251" s="208"/>
      <c r="GQ251" s="208"/>
      <c r="GR251" s="208"/>
      <c r="GS251" s="208"/>
      <c r="GT251" s="208"/>
      <c r="GU251" s="208"/>
      <c r="GV251" s="208"/>
      <c r="GW251" s="208"/>
      <c r="GX251" s="208"/>
      <c r="GY251" s="208"/>
      <c r="GZ251" s="208"/>
      <c r="HA251" s="208"/>
      <c r="HB251" s="208"/>
      <c r="HC251" s="208"/>
      <c r="HD251" s="208"/>
      <c r="HE251" s="208"/>
      <c r="HF251" s="208"/>
      <c r="HG251" s="208"/>
      <c r="HH251" s="208"/>
      <c r="HI251" s="208"/>
      <c r="HJ251" s="208"/>
      <c r="HK251" s="208"/>
      <c r="HL251" s="208"/>
      <c r="HM251" s="208"/>
      <c r="HN251" s="208"/>
      <c r="HO251" s="208"/>
      <c r="HP251" s="208"/>
      <c r="HQ251" s="208"/>
      <c r="HR251" s="208"/>
      <c r="HS251" s="208"/>
      <c r="HT251" s="208"/>
      <c r="HU251" s="208"/>
      <c r="HV251" s="208"/>
      <c r="HW251" s="208"/>
      <c r="HX251" s="208"/>
      <c r="HY251" s="208"/>
      <c r="HZ251" s="208"/>
      <c r="IA251" s="208"/>
      <c r="IB251" s="208"/>
      <c r="IC251" s="208"/>
      <c r="ID251" s="208"/>
      <c r="IE251" s="208"/>
      <c r="IF251" s="208"/>
      <c r="IG251" s="208"/>
      <c r="IH251" s="208"/>
      <c r="II251" s="208"/>
      <c r="IJ251" s="208"/>
      <c r="IK251" s="208"/>
      <c r="IL251" s="208"/>
      <c r="IM251" s="208"/>
      <c r="IN251" s="208"/>
      <c r="IO251" s="208"/>
      <c r="IP251" s="208"/>
      <c r="IQ251" s="208"/>
      <c r="IR251" s="208"/>
      <c r="IS251" s="208"/>
      <c r="IT251" s="208"/>
    </row>
    <row r="252" spans="1:254" s="209" customFormat="1" ht="12.75">
      <c r="A252" s="206" t="s">
        <v>289</v>
      </c>
      <c r="B252" s="207">
        <f>B254*$B$249</f>
        <v>0</v>
      </c>
      <c r="C252" s="207">
        <f>B254*$B$249</f>
        <v>0</v>
      </c>
      <c r="D252" s="207">
        <f aca="true" t="shared" si="87" ref="D252:AG252">C254*$B$249</f>
        <v>3622.8561682988006</v>
      </c>
      <c r="E252" s="207">
        <f t="shared" si="87"/>
        <v>19471.347126</v>
      </c>
      <c r="F252" s="635">
        <f t="shared" si="87"/>
        <v>19471.347126</v>
      </c>
      <c r="G252" s="207">
        <f t="shared" si="87"/>
        <v>18692.49324096</v>
      </c>
      <c r="H252" s="207">
        <f t="shared" si="87"/>
        <v>17913.63935592</v>
      </c>
      <c r="I252" s="207">
        <f t="shared" si="87"/>
        <v>17134.78547088</v>
      </c>
      <c r="J252" s="207">
        <f t="shared" si="87"/>
        <v>16355.931585839999</v>
      </c>
      <c r="K252" s="207">
        <f t="shared" si="87"/>
        <v>15577.077700799999</v>
      </c>
      <c r="L252" s="207">
        <f t="shared" si="87"/>
        <v>14798.223815759997</v>
      </c>
      <c r="M252" s="207">
        <f t="shared" si="87"/>
        <v>14019.369930719997</v>
      </c>
      <c r="N252" s="207">
        <f t="shared" si="87"/>
        <v>13240.516045679997</v>
      </c>
      <c r="O252" s="207">
        <f t="shared" si="87"/>
        <v>12461.662160639995</v>
      </c>
      <c r="P252" s="207">
        <f t="shared" si="87"/>
        <v>11682.808275599995</v>
      </c>
      <c r="Q252" s="207">
        <f t="shared" si="87"/>
        <v>10903.954390559995</v>
      </c>
      <c r="R252" s="207">
        <f t="shared" si="87"/>
        <v>10125.100505519993</v>
      </c>
      <c r="S252" s="207">
        <f t="shared" si="87"/>
        <v>9346.246620479993</v>
      </c>
      <c r="T252" s="207">
        <f t="shared" si="87"/>
        <v>8567.392735439993</v>
      </c>
      <c r="U252" s="207">
        <f t="shared" si="87"/>
        <v>7788.538850399992</v>
      </c>
      <c r="V252" s="207">
        <f t="shared" si="87"/>
        <v>7009.684965359992</v>
      </c>
      <c r="W252" s="207">
        <f t="shared" si="87"/>
        <v>6230.831080319991</v>
      </c>
      <c r="X252" s="207">
        <f t="shared" si="87"/>
        <v>5451.977195279991</v>
      </c>
      <c r="Y252" s="207">
        <f t="shared" si="87"/>
        <v>4673.123310239991</v>
      </c>
      <c r="Z252" s="207">
        <f t="shared" si="87"/>
        <v>3894.2694251999915</v>
      </c>
      <c r="AA252" s="207">
        <f t="shared" si="87"/>
        <v>3115.4155401599915</v>
      </c>
      <c r="AB252" s="207">
        <f t="shared" si="87"/>
        <v>2336.5616551199914</v>
      </c>
      <c r="AC252" s="207">
        <f t="shared" si="87"/>
        <v>1557.7077700799916</v>
      </c>
      <c r="AD252" s="207">
        <f t="shared" si="87"/>
        <v>778.8538850399916</v>
      </c>
      <c r="AE252" s="207">
        <f t="shared" si="87"/>
        <v>-8.443748811259866E-12</v>
      </c>
      <c r="AF252" s="207">
        <f t="shared" si="87"/>
        <v>-8.443748811259866E-12</v>
      </c>
      <c r="AG252" s="207">
        <f t="shared" si="87"/>
        <v>-8.443748811259866E-12</v>
      </c>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208"/>
      <c r="BD252" s="208"/>
      <c r="BE252" s="208"/>
      <c r="BF252" s="208"/>
      <c r="BG252" s="208"/>
      <c r="BH252" s="208"/>
      <c r="BI252" s="208"/>
      <c r="BJ252" s="208"/>
      <c r="BK252" s="208"/>
      <c r="BL252" s="208"/>
      <c r="BM252" s="208"/>
      <c r="BN252" s="208"/>
      <c r="BO252" s="208"/>
      <c r="BP252" s="208"/>
      <c r="BQ252" s="208"/>
      <c r="BR252" s="208"/>
      <c r="BS252" s="208"/>
      <c r="BT252" s="208"/>
      <c r="BU252" s="208"/>
      <c r="BV252" s="208"/>
      <c r="BW252" s="208"/>
      <c r="BX252" s="208"/>
      <c r="BY252" s="208"/>
      <c r="BZ252" s="208"/>
      <c r="CA252" s="208"/>
      <c r="CB252" s="208"/>
      <c r="CC252" s="208"/>
      <c r="CD252" s="208"/>
      <c r="CE252" s="208"/>
      <c r="CF252" s="208"/>
      <c r="CG252" s="208"/>
      <c r="CH252" s="208"/>
      <c r="CI252" s="208"/>
      <c r="CJ252" s="208"/>
      <c r="CK252" s="208"/>
      <c r="CL252" s="208"/>
      <c r="CM252" s="208"/>
      <c r="CN252" s="208"/>
      <c r="CO252" s="208"/>
      <c r="CP252" s="208"/>
      <c r="CQ252" s="208"/>
      <c r="CR252" s="208"/>
      <c r="CS252" s="208"/>
      <c r="CT252" s="208"/>
      <c r="CU252" s="208"/>
      <c r="CV252" s="208"/>
      <c r="CW252" s="208"/>
      <c r="CX252" s="208"/>
      <c r="CY252" s="208"/>
      <c r="CZ252" s="208"/>
      <c r="DA252" s="208"/>
      <c r="DB252" s="208"/>
      <c r="DC252" s="208"/>
      <c r="DD252" s="208"/>
      <c r="DE252" s="208"/>
      <c r="DF252" s="208"/>
      <c r="DG252" s="208"/>
      <c r="DH252" s="208"/>
      <c r="DI252" s="208"/>
      <c r="DJ252" s="208"/>
      <c r="DK252" s="208"/>
      <c r="DL252" s="208"/>
      <c r="DM252" s="208"/>
      <c r="DN252" s="208"/>
      <c r="DO252" s="208"/>
      <c r="DP252" s="208"/>
      <c r="DQ252" s="208"/>
      <c r="DR252" s="208"/>
      <c r="DS252" s="208"/>
      <c r="DT252" s="208"/>
      <c r="DU252" s="208"/>
      <c r="DV252" s="208"/>
      <c r="DW252" s="208"/>
      <c r="DX252" s="208"/>
      <c r="DY252" s="208"/>
      <c r="DZ252" s="208"/>
      <c r="EA252" s="208"/>
      <c r="EB252" s="208"/>
      <c r="EC252" s="208"/>
      <c r="ED252" s="208"/>
      <c r="EE252" s="208"/>
      <c r="EF252" s="208"/>
      <c r="EG252" s="208"/>
      <c r="EH252" s="208"/>
      <c r="EI252" s="208"/>
      <c r="EJ252" s="208"/>
      <c r="EK252" s="208"/>
      <c r="EL252" s="208"/>
      <c r="EM252" s="208"/>
      <c r="EN252" s="208"/>
      <c r="EO252" s="208"/>
      <c r="EP252" s="208"/>
      <c r="EQ252" s="208"/>
      <c r="ER252" s="208"/>
      <c r="ES252" s="208"/>
      <c r="ET252" s="208"/>
      <c r="EU252" s="208"/>
      <c r="EV252" s="208"/>
      <c r="EW252" s="208"/>
      <c r="EX252" s="208"/>
      <c r="EY252" s="208"/>
      <c r="EZ252" s="208"/>
      <c r="FA252" s="208"/>
      <c r="FB252" s="208"/>
      <c r="FC252" s="208"/>
      <c r="FD252" s="208"/>
      <c r="FE252" s="208"/>
      <c r="FF252" s="208"/>
      <c r="FG252" s="208"/>
      <c r="FH252" s="208"/>
      <c r="FI252" s="208"/>
      <c r="FJ252" s="208"/>
      <c r="FK252" s="208"/>
      <c r="FL252" s="208"/>
      <c r="FM252" s="208"/>
      <c r="FN252" s="208"/>
      <c r="FO252" s="208"/>
      <c r="FP252" s="208"/>
      <c r="FQ252" s="208"/>
      <c r="FR252" s="208"/>
      <c r="FS252" s="208"/>
      <c r="FT252" s="208"/>
      <c r="FU252" s="208"/>
      <c r="FV252" s="208"/>
      <c r="FW252" s="208"/>
      <c r="FX252" s="208"/>
      <c r="FY252" s="208"/>
      <c r="FZ252" s="208"/>
      <c r="GA252" s="208"/>
      <c r="GB252" s="208"/>
      <c r="GC252" s="208"/>
      <c r="GD252" s="208"/>
      <c r="GE252" s="208"/>
      <c r="GF252" s="208"/>
      <c r="GG252" s="208"/>
      <c r="GH252" s="208"/>
      <c r="GI252" s="208"/>
      <c r="GJ252" s="208"/>
      <c r="GK252" s="208"/>
      <c r="GL252" s="208"/>
      <c r="GM252" s="208"/>
      <c r="GN252" s="208"/>
      <c r="GO252" s="208"/>
      <c r="GP252" s="208"/>
      <c r="GQ252" s="208"/>
      <c r="GR252" s="208"/>
      <c r="GS252" s="208"/>
      <c r="GT252" s="208"/>
      <c r="GU252" s="208"/>
      <c r="GV252" s="208"/>
      <c r="GW252" s="208"/>
      <c r="GX252" s="208"/>
      <c r="GY252" s="208"/>
      <c r="GZ252" s="208"/>
      <c r="HA252" s="208"/>
      <c r="HB252" s="208"/>
      <c r="HC252" s="208"/>
      <c r="HD252" s="208"/>
      <c r="HE252" s="208"/>
      <c r="HF252" s="208"/>
      <c r="HG252" s="208"/>
      <c r="HH252" s="208"/>
      <c r="HI252" s="208"/>
      <c r="HJ252" s="208"/>
      <c r="HK252" s="208"/>
      <c r="HL252" s="208"/>
      <c r="HM252" s="208"/>
      <c r="HN252" s="208"/>
      <c r="HO252" s="208"/>
      <c r="HP252" s="208"/>
      <c r="HQ252" s="208"/>
      <c r="HR252" s="208"/>
      <c r="HS252" s="208"/>
      <c r="HT252" s="208"/>
      <c r="HU252" s="208"/>
      <c r="HV252" s="208"/>
      <c r="HW252" s="208"/>
      <c r="HX252" s="208"/>
      <c r="HY252" s="208"/>
      <c r="HZ252" s="208"/>
      <c r="IA252" s="208"/>
      <c r="IB252" s="208"/>
      <c r="IC252" s="208"/>
      <c r="ID252" s="208"/>
      <c r="IE252" s="208"/>
      <c r="IF252" s="208"/>
      <c r="IG252" s="208"/>
      <c r="IH252" s="208"/>
      <c r="II252" s="208"/>
      <c r="IJ252" s="208"/>
      <c r="IK252" s="208"/>
      <c r="IL252" s="208"/>
      <c r="IM252" s="208"/>
      <c r="IN252" s="208"/>
      <c r="IO252" s="208"/>
      <c r="IP252" s="208"/>
      <c r="IQ252" s="208"/>
      <c r="IR252" s="208"/>
      <c r="IS252" s="208"/>
      <c r="IT252" s="208"/>
    </row>
    <row r="253" spans="1:254" s="209" customFormat="1" ht="12.75">
      <c r="A253" s="206" t="s">
        <v>290</v>
      </c>
      <c r="B253" s="207">
        <v>0</v>
      </c>
      <c r="C253" s="207">
        <v>0</v>
      </c>
      <c r="D253" s="207">
        <v>0</v>
      </c>
      <c r="E253" s="207">
        <v>0</v>
      </c>
      <c r="F253" s="635">
        <f>IF(COUNT($E$253:E253)&gt;'Datu ievade'!$B$85,0,$E$254/'Datu ievade'!$B$85)</f>
        <v>16778.412</v>
      </c>
      <c r="G253" s="207">
        <f>IF(COUNT($E$253:F253)&gt;'Datu ievade'!$B$85,0,$E$254/'Datu ievade'!$B$85)</f>
        <v>16778.412</v>
      </c>
      <c r="H253" s="207">
        <f>IF(COUNT($E$253:G253)&gt;'Datu ievade'!$B$85,0,$E$254/'Datu ievade'!$B$85)</f>
        <v>16778.412</v>
      </c>
      <c r="I253" s="207">
        <f>IF(COUNT($E$253:H253)&gt;'Datu ievade'!$B$85,0,$E$254/'Datu ievade'!$B$85)</f>
        <v>16778.412</v>
      </c>
      <c r="J253" s="207">
        <f>IF(COUNT($E$253:I253)&gt;'Datu ievade'!$B$85,0,$E$254/'Datu ievade'!$B$85)</f>
        <v>16778.412</v>
      </c>
      <c r="K253" s="207">
        <f>IF(COUNT($E$253:J253)&gt;'Datu ievade'!$B$85,0,$E$254/'Datu ievade'!$B$85)</f>
        <v>16778.412</v>
      </c>
      <c r="L253" s="207">
        <f>IF(COUNT($E$253:K253)&gt;'Datu ievade'!$B$85,0,$E$254/'Datu ievade'!$B$85)</f>
        <v>16778.412</v>
      </c>
      <c r="M253" s="207">
        <f>IF(COUNT($E$253:L253)&gt;'Datu ievade'!$B$85,0,$E$254/'Datu ievade'!$B$85)</f>
        <v>16778.412</v>
      </c>
      <c r="N253" s="207">
        <f>IF(COUNT($E$253:M253)&gt;'Datu ievade'!$B$85,0,$E$254/'Datu ievade'!$B$85)</f>
        <v>16778.412</v>
      </c>
      <c r="O253" s="207">
        <f>IF(COUNT($E$253:N253)&gt;'Datu ievade'!$B$85,0,$E$254/'Datu ievade'!$B$85)</f>
        <v>16778.412</v>
      </c>
      <c r="P253" s="207">
        <f>IF(COUNT($E$253:O253)&gt;'Datu ievade'!$B$85,0,$E$254/'Datu ievade'!$B$85)</f>
        <v>16778.412</v>
      </c>
      <c r="Q253" s="207">
        <f>IF(COUNT($E$253:P253)&gt;'Datu ievade'!$B$85,0,$E$254/'Datu ievade'!$B$85)</f>
        <v>16778.412</v>
      </c>
      <c r="R253" s="207">
        <f>IF(COUNT($E$253:Q253)&gt;'Datu ievade'!$B$85,0,$E$254/'Datu ievade'!$B$85)</f>
        <v>16778.412</v>
      </c>
      <c r="S253" s="207">
        <f>IF(COUNT($E$253:R253)&gt;'Datu ievade'!$B$85,0,$E$254/'Datu ievade'!$B$85)</f>
        <v>16778.412</v>
      </c>
      <c r="T253" s="207">
        <f>IF(COUNT($E$253:S253)&gt;'Datu ievade'!$B$85,0,$E$254/'Datu ievade'!$B$85)</f>
        <v>16778.412</v>
      </c>
      <c r="U253" s="207">
        <f>IF(COUNT($E$253:T253)&gt;'Datu ievade'!$B$85,0,$E$254/'Datu ievade'!$B$85)</f>
        <v>16778.412</v>
      </c>
      <c r="V253" s="207">
        <f>IF(COUNT($E$253:U253)&gt;'Datu ievade'!$B$85,0,$E$254/'Datu ievade'!$B$85)</f>
        <v>16778.412</v>
      </c>
      <c r="W253" s="207">
        <f>IF(COUNT($E$253:V253)&gt;'Datu ievade'!$B$85,0,$E$254/'Datu ievade'!$B$85)</f>
        <v>16778.412</v>
      </c>
      <c r="X253" s="207">
        <f>IF(COUNT($E$253:W253)&gt;'Datu ievade'!$B$85,0,$E$254/'Datu ievade'!$B$85)</f>
        <v>16778.412</v>
      </c>
      <c r="Y253" s="207">
        <f>IF(COUNT($E$253:X253)&gt;'Datu ievade'!$B$85,0,$E$254/'Datu ievade'!$B$85)</f>
        <v>16778.412</v>
      </c>
      <c r="Z253" s="207">
        <f>IF(COUNT($E$253:Y253)&gt;'Datu ievade'!$B$85,0,$E$254/'Datu ievade'!$B$85)</f>
        <v>16778.412</v>
      </c>
      <c r="AA253" s="207">
        <f>IF(COUNT($E$253:Z253)&gt;'Datu ievade'!$B$85,0,$E$254/'Datu ievade'!$B$85)</f>
        <v>16778.412</v>
      </c>
      <c r="AB253" s="207">
        <f>IF(COUNT($E$253:AA253)&gt;'Datu ievade'!$B$85,0,$E$254/'Datu ievade'!$B$85)</f>
        <v>16778.412</v>
      </c>
      <c r="AC253" s="207">
        <f>IF(COUNT($E$253:AB253)&gt;'Datu ievade'!$B$85,0,$E$254/'Datu ievade'!$B$85)</f>
        <v>16778.412</v>
      </c>
      <c r="AD253" s="207">
        <f>IF(COUNT($E$253:AC253)&gt;'Datu ievade'!$B$85,0,$E$254/'Datu ievade'!$B$85)</f>
        <v>16778.412</v>
      </c>
      <c r="AE253" s="207">
        <f>IF(COUNT($E$253:AD253)&gt;'Datu ievade'!$B$85,0,$E$254/'Datu ievade'!$B$85)</f>
        <v>0</v>
      </c>
      <c r="AF253" s="207">
        <f>IF(COUNT($E$253:AE253)&gt;'Datu ievade'!$B$85,0,$E$254/'Datu ievade'!$B$85)</f>
        <v>0</v>
      </c>
      <c r="AG253" s="207">
        <f>IF(COUNT($E$253:AF253)&gt;'Datu ievade'!$B$85,0,$E$254/'Datu ievade'!$B$85)</f>
        <v>0</v>
      </c>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208"/>
      <c r="BD253" s="208"/>
      <c r="BE253" s="208"/>
      <c r="BF253" s="208"/>
      <c r="BG253" s="208"/>
      <c r="BH253" s="208"/>
      <c r="BI253" s="208"/>
      <c r="BJ253" s="208"/>
      <c r="BK253" s="208"/>
      <c r="BL253" s="208"/>
      <c r="BM253" s="208"/>
      <c r="BN253" s="208"/>
      <c r="BO253" s="208"/>
      <c r="BP253" s="208"/>
      <c r="BQ253" s="208"/>
      <c r="BR253" s="208"/>
      <c r="BS253" s="208"/>
      <c r="BT253" s="208"/>
      <c r="BU253" s="208"/>
      <c r="BV253" s="208"/>
      <c r="BW253" s="208"/>
      <c r="BX253" s="208"/>
      <c r="BY253" s="208"/>
      <c r="BZ253" s="208"/>
      <c r="CA253" s="208"/>
      <c r="CB253" s="208"/>
      <c r="CC253" s="208"/>
      <c r="CD253" s="208"/>
      <c r="CE253" s="208"/>
      <c r="CF253" s="208"/>
      <c r="CG253" s="208"/>
      <c r="CH253" s="208"/>
      <c r="CI253" s="208"/>
      <c r="CJ253" s="208"/>
      <c r="CK253" s="208"/>
      <c r="CL253" s="208"/>
      <c r="CM253" s="208"/>
      <c r="CN253" s="208"/>
      <c r="CO253" s="208"/>
      <c r="CP253" s="208"/>
      <c r="CQ253" s="208"/>
      <c r="CR253" s="208"/>
      <c r="CS253" s="208"/>
      <c r="CT253" s="208"/>
      <c r="CU253" s="208"/>
      <c r="CV253" s="208"/>
      <c r="CW253" s="208"/>
      <c r="CX253" s="208"/>
      <c r="CY253" s="208"/>
      <c r="CZ253" s="208"/>
      <c r="DA253" s="208"/>
      <c r="DB253" s="208"/>
      <c r="DC253" s="208"/>
      <c r="DD253" s="208"/>
      <c r="DE253" s="208"/>
      <c r="DF253" s="208"/>
      <c r="DG253" s="208"/>
      <c r="DH253" s="208"/>
      <c r="DI253" s="208"/>
      <c r="DJ253" s="208"/>
      <c r="DK253" s="208"/>
      <c r="DL253" s="208"/>
      <c r="DM253" s="208"/>
      <c r="DN253" s="208"/>
      <c r="DO253" s="208"/>
      <c r="DP253" s="208"/>
      <c r="DQ253" s="208"/>
      <c r="DR253" s="208"/>
      <c r="DS253" s="208"/>
      <c r="DT253" s="208"/>
      <c r="DU253" s="208"/>
      <c r="DV253" s="208"/>
      <c r="DW253" s="208"/>
      <c r="DX253" s="208"/>
      <c r="DY253" s="208"/>
      <c r="DZ253" s="208"/>
      <c r="EA253" s="208"/>
      <c r="EB253" s="208"/>
      <c r="EC253" s="208"/>
      <c r="ED253" s="208"/>
      <c r="EE253" s="208"/>
      <c r="EF253" s="208"/>
      <c r="EG253" s="208"/>
      <c r="EH253" s="208"/>
      <c r="EI253" s="208"/>
      <c r="EJ253" s="208"/>
      <c r="EK253" s="208"/>
      <c r="EL253" s="208"/>
      <c r="EM253" s="208"/>
      <c r="EN253" s="208"/>
      <c r="EO253" s="208"/>
      <c r="EP253" s="208"/>
      <c r="EQ253" s="208"/>
      <c r="ER253" s="208"/>
      <c r="ES253" s="208"/>
      <c r="ET253" s="208"/>
      <c r="EU253" s="208"/>
      <c r="EV253" s="208"/>
      <c r="EW253" s="208"/>
      <c r="EX253" s="208"/>
      <c r="EY253" s="208"/>
      <c r="EZ253" s="208"/>
      <c r="FA253" s="208"/>
      <c r="FB253" s="208"/>
      <c r="FC253" s="208"/>
      <c r="FD253" s="208"/>
      <c r="FE253" s="208"/>
      <c r="FF253" s="208"/>
      <c r="FG253" s="208"/>
      <c r="FH253" s="208"/>
      <c r="FI253" s="208"/>
      <c r="FJ253" s="208"/>
      <c r="FK253" s="208"/>
      <c r="FL253" s="208"/>
      <c r="FM253" s="208"/>
      <c r="FN253" s="208"/>
      <c r="FO253" s="208"/>
      <c r="FP253" s="208"/>
      <c r="FQ253" s="208"/>
      <c r="FR253" s="208"/>
      <c r="FS253" s="208"/>
      <c r="FT253" s="208"/>
      <c r="FU253" s="208"/>
      <c r="FV253" s="208"/>
      <c r="FW253" s="208"/>
      <c r="FX253" s="208"/>
      <c r="FY253" s="208"/>
      <c r="FZ253" s="208"/>
      <c r="GA253" s="208"/>
      <c r="GB253" s="208"/>
      <c r="GC253" s="208"/>
      <c r="GD253" s="208"/>
      <c r="GE253" s="208"/>
      <c r="GF253" s="208"/>
      <c r="GG253" s="208"/>
      <c r="GH253" s="208"/>
      <c r="GI253" s="208"/>
      <c r="GJ253" s="208"/>
      <c r="GK253" s="208"/>
      <c r="GL253" s="208"/>
      <c r="GM253" s="208"/>
      <c r="GN253" s="208"/>
      <c r="GO253" s="208"/>
      <c r="GP253" s="208"/>
      <c r="GQ253" s="208"/>
      <c r="GR253" s="208"/>
      <c r="GS253" s="208"/>
      <c r="GT253" s="208"/>
      <c r="GU253" s="208"/>
      <c r="GV253" s="208"/>
      <c r="GW253" s="208"/>
      <c r="GX253" s="208"/>
      <c r="GY253" s="208"/>
      <c r="GZ253" s="208"/>
      <c r="HA253" s="208"/>
      <c r="HB253" s="208"/>
      <c r="HC253" s="208"/>
      <c r="HD253" s="208"/>
      <c r="HE253" s="208"/>
      <c r="HF253" s="208"/>
      <c r="HG253" s="208"/>
      <c r="HH253" s="208"/>
      <c r="HI253" s="208"/>
      <c r="HJ253" s="208"/>
      <c r="HK253" s="208"/>
      <c r="HL253" s="208"/>
      <c r="HM253" s="208"/>
      <c r="HN253" s="208"/>
      <c r="HO253" s="208"/>
      <c r="HP253" s="208"/>
      <c r="HQ253" s="208"/>
      <c r="HR253" s="208"/>
      <c r="HS253" s="208"/>
      <c r="HT253" s="208"/>
      <c r="HU253" s="208"/>
      <c r="HV253" s="208"/>
      <c r="HW253" s="208"/>
      <c r="HX253" s="208"/>
      <c r="HY253" s="208"/>
      <c r="HZ253" s="208"/>
      <c r="IA253" s="208"/>
      <c r="IB253" s="208"/>
      <c r="IC253" s="208"/>
      <c r="ID253" s="208"/>
      <c r="IE253" s="208"/>
      <c r="IF253" s="208"/>
      <c r="IG253" s="208"/>
      <c r="IH253" s="208"/>
      <c r="II253" s="208"/>
      <c r="IJ253" s="208"/>
      <c r="IK253" s="208"/>
      <c r="IL253" s="208"/>
      <c r="IM253" s="208"/>
      <c r="IN253" s="208"/>
      <c r="IO253" s="208"/>
      <c r="IP253" s="208"/>
      <c r="IQ253" s="208"/>
      <c r="IR253" s="208"/>
      <c r="IS253" s="208"/>
      <c r="IT253" s="208"/>
    </row>
    <row r="254" spans="1:254" s="209" customFormat="1" ht="12.75">
      <c r="A254" s="324" t="s">
        <v>291</v>
      </c>
      <c r="B254" s="352">
        <f>B250</f>
        <v>0</v>
      </c>
      <c r="C254" s="325">
        <f aca="true" t="shared" si="88" ref="C254:AG254">(B254+C250)-C253</f>
        <v>78045.15657688066</v>
      </c>
      <c r="D254" s="325">
        <f t="shared" si="88"/>
        <v>419460.3</v>
      </c>
      <c r="E254" s="325">
        <f t="shared" si="88"/>
        <v>419460.3</v>
      </c>
      <c r="F254" s="636">
        <f t="shared" si="88"/>
        <v>402681.888</v>
      </c>
      <c r="G254" s="325">
        <f t="shared" si="88"/>
        <v>385903.47599999997</v>
      </c>
      <c r="H254" s="325">
        <f t="shared" si="88"/>
        <v>369125.06399999995</v>
      </c>
      <c r="I254" s="325">
        <f t="shared" si="88"/>
        <v>352346.65199999994</v>
      </c>
      <c r="J254" s="325">
        <f t="shared" si="88"/>
        <v>335568.23999999993</v>
      </c>
      <c r="K254" s="325">
        <f t="shared" si="88"/>
        <v>318789.8279999999</v>
      </c>
      <c r="L254" s="325">
        <f t="shared" si="88"/>
        <v>302011.4159999999</v>
      </c>
      <c r="M254" s="325">
        <f t="shared" si="88"/>
        <v>285233.0039999999</v>
      </c>
      <c r="N254" s="325">
        <f t="shared" si="88"/>
        <v>268454.5919999999</v>
      </c>
      <c r="O254" s="325">
        <f t="shared" si="88"/>
        <v>251676.17999999988</v>
      </c>
      <c r="P254" s="325">
        <f t="shared" si="88"/>
        <v>234897.76799999987</v>
      </c>
      <c r="Q254" s="325">
        <f t="shared" si="88"/>
        <v>218119.35599999985</v>
      </c>
      <c r="R254" s="325">
        <f t="shared" si="88"/>
        <v>201340.94399999984</v>
      </c>
      <c r="S254" s="325">
        <f t="shared" si="88"/>
        <v>184562.53199999983</v>
      </c>
      <c r="T254" s="325">
        <f t="shared" si="88"/>
        <v>167784.11999999982</v>
      </c>
      <c r="U254" s="325">
        <f t="shared" si="88"/>
        <v>151005.7079999998</v>
      </c>
      <c r="V254" s="325">
        <f t="shared" si="88"/>
        <v>134227.2959999998</v>
      </c>
      <c r="W254" s="325">
        <f t="shared" si="88"/>
        <v>117448.8839999998</v>
      </c>
      <c r="X254" s="325">
        <f t="shared" si="88"/>
        <v>100670.4719999998</v>
      </c>
      <c r="Y254" s="325">
        <f t="shared" si="88"/>
        <v>83892.05999999981</v>
      </c>
      <c r="Z254" s="325">
        <f t="shared" si="88"/>
        <v>67113.64799999981</v>
      </c>
      <c r="AA254" s="325">
        <f t="shared" si="88"/>
        <v>50335.235999999815</v>
      </c>
      <c r="AB254" s="325">
        <f t="shared" si="88"/>
        <v>33556.82399999982</v>
      </c>
      <c r="AC254" s="325">
        <f t="shared" si="88"/>
        <v>16778.41199999982</v>
      </c>
      <c r="AD254" s="325">
        <f t="shared" si="88"/>
        <v>-1.8189894035458565E-10</v>
      </c>
      <c r="AE254" s="325">
        <f t="shared" si="88"/>
        <v>-1.8189894035458565E-10</v>
      </c>
      <c r="AF254" s="325">
        <f t="shared" si="88"/>
        <v>-1.8189894035458565E-10</v>
      </c>
      <c r="AG254" s="325">
        <f t="shared" si="88"/>
        <v>-1.8189894035458565E-10</v>
      </c>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208"/>
      <c r="BD254" s="208"/>
      <c r="BE254" s="208"/>
      <c r="BF254" s="208"/>
      <c r="BG254" s="208"/>
      <c r="BH254" s="208"/>
      <c r="BI254" s="208"/>
      <c r="BJ254" s="208"/>
      <c r="BK254" s="208"/>
      <c r="BL254" s="208"/>
      <c r="BM254" s="208"/>
      <c r="BN254" s="208"/>
      <c r="BO254" s="208"/>
      <c r="BP254" s="208"/>
      <c r="BQ254" s="208"/>
      <c r="BR254" s="208"/>
      <c r="BS254" s="208"/>
      <c r="BT254" s="208"/>
      <c r="BU254" s="208"/>
      <c r="BV254" s="208"/>
      <c r="BW254" s="208"/>
      <c r="BX254" s="208"/>
      <c r="BY254" s="208"/>
      <c r="BZ254" s="208"/>
      <c r="CA254" s="208"/>
      <c r="CB254" s="208"/>
      <c r="CC254" s="208"/>
      <c r="CD254" s="208"/>
      <c r="CE254" s="208"/>
      <c r="CF254" s="208"/>
      <c r="CG254" s="208"/>
      <c r="CH254" s="208"/>
      <c r="CI254" s="208"/>
      <c r="CJ254" s="208"/>
      <c r="CK254" s="208"/>
      <c r="CL254" s="208"/>
      <c r="CM254" s="208"/>
      <c r="CN254" s="208"/>
      <c r="CO254" s="208"/>
      <c r="CP254" s="208"/>
      <c r="CQ254" s="208"/>
      <c r="CR254" s="208"/>
      <c r="CS254" s="208"/>
      <c r="CT254" s="208"/>
      <c r="CU254" s="208"/>
      <c r="CV254" s="208"/>
      <c r="CW254" s="208"/>
      <c r="CX254" s="208"/>
      <c r="CY254" s="208"/>
      <c r="CZ254" s="208"/>
      <c r="DA254" s="208"/>
      <c r="DB254" s="208"/>
      <c r="DC254" s="208"/>
      <c r="DD254" s="208"/>
      <c r="DE254" s="208"/>
      <c r="DF254" s="208"/>
      <c r="DG254" s="208"/>
      <c r="DH254" s="208"/>
      <c r="DI254" s="208"/>
      <c r="DJ254" s="208"/>
      <c r="DK254" s="208"/>
      <c r="DL254" s="208"/>
      <c r="DM254" s="208"/>
      <c r="DN254" s="208"/>
      <c r="DO254" s="208"/>
      <c r="DP254" s="208"/>
      <c r="DQ254" s="208"/>
      <c r="DR254" s="208"/>
      <c r="DS254" s="208"/>
      <c r="DT254" s="208"/>
      <c r="DU254" s="208"/>
      <c r="DV254" s="208"/>
      <c r="DW254" s="208"/>
      <c r="DX254" s="208"/>
      <c r="DY254" s="208"/>
      <c r="DZ254" s="208"/>
      <c r="EA254" s="208"/>
      <c r="EB254" s="208"/>
      <c r="EC254" s="208"/>
      <c r="ED254" s="208"/>
      <c r="EE254" s="208"/>
      <c r="EF254" s="208"/>
      <c r="EG254" s="208"/>
      <c r="EH254" s="208"/>
      <c r="EI254" s="208"/>
      <c r="EJ254" s="208"/>
      <c r="EK254" s="208"/>
      <c r="EL254" s="208"/>
      <c r="EM254" s="208"/>
      <c r="EN254" s="208"/>
      <c r="EO254" s="208"/>
      <c r="EP254" s="208"/>
      <c r="EQ254" s="208"/>
      <c r="ER254" s="208"/>
      <c r="ES254" s="208"/>
      <c r="ET254" s="208"/>
      <c r="EU254" s="208"/>
      <c r="EV254" s="208"/>
      <c r="EW254" s="208"/>
      <c r="EX254" s="208"/>
      <c r="EY254" s="208"/>
      <c r="EZ254" s="208"/>
      <c r="FA254" s="208"/>
      <c r="FB254" s="208"/>
      <c r="FC254" s="208"/>
      <c r="FD254" s="208"/>
      <c r="FE254" s="208"/>
      <c r="FF254" s="208"/>
      <c r="FG254" s="208"/>
      <c r="FH254" s="208"/>
      <c r="FI254" s="208"/>
      <c r="FJ254" s="208"/>
      <c r="FK254" s="208"/>
      <c r="FL254" s="208"/>
      <c r="FM254" s="208"/>
      <c r="FN254" s="208"/>
      <c r="FO254" s="208"/>
      <c r="FP254" s="208"/>
      <c r="FQ254" s="208"/>
      <c r="FR254" s="208"/>
      <c r="FS254" s="208"/>
      <c r="FT254" s="208"/>
      <c r="FU254" s="208"/>
      <c r="FV254" s="208"/>
      <c r="FW254" s="208"/>
      <c r="FX254" s="208"/>
      <c r="FY254" s="208"/>
      <c r="FZ254" s="208"/>
      <c r="GA254" s="208"/>
      <c r="GB254" s="208"/>
      <c r="GC254" s="208"/>
      <c r="GD254" s="208"/>
      <c r="GE254" s="208"/>
      <c r="GF254" s="208"/>
      <c r="GG254" s="208"/>
      <c r="GH254" s="208"/>
      <c r="GI254" s="208"/>
      <c r="GJ254" s="208"/>
      <c r="GK254" s="208"/>
      <c r="GL254" s="208"/>
      <c r="GM254" s="208"/>
      <c r="GN254" s="208"/>
      <c r="GO254" s="208"/>
      <c r="GP254" s="208"/>
      <c r="GQ254" s="208"/>
      <c r="GR254" s="208"/>
      <c r="GS254" s="208"/>
      <c r="GT254" s="208"/>
      <c r="GU254" s="208"/>
      <c r="GV254" s="208"/>
      <c r="GW254" s="208"/>
      <c r="GX254" s="208"/>
      <c r="GY254" s="208"/>
      <c r="GZ254" s="208"/>
      <c r="HA254" s="208"/>
      <c r="HB254" s="208"/>
      <c r="HC254" s="208"/>
      <c r="HD254" s="208"/>
      <c r="HE254" s="208"/>
      <c r="HF254" s="208"/>
      <c r="HG254" s="208"/>
      <c r="HH254" s="208"/>
      <c r="HI254" s="208"/>
      <c r="HJ254" s="208"/>
      <c r="HK254" s="208"/>
      <c r="HL254" s="208"/>
      <c r="HM254" s="208"/>
      <c r="HN254" s="208"/>
      <c r="HO254" s="208"/>
      <c r="HP254" s="208"/>
      <c r="HQ254" s="208"/>
      <c r="HR254" s="208"/>
      <c r="HS254" s="208"/>
      <c r="HT254" s="208"/>
      <c r="HU254" s="208"/>
      <c r="HV254" s="208"/>
      <c r="HW254" s="208"/>
      <c r="HX254" s="208"/>
      <c r="HY254" s="208"/>
      <c r="HZ254" s="208"/>
      <c r="IA254" s="208"/>
      <c r="IB254" s="208"/>
      <c r="IC254" s="208"/>
      <c r="ID254" s="208"/>
      <c r="IE254" s="208"/>
      <c r="IF254" s="208"/>
      <c r="IG254" s="208"/>
      <c r="IH254" s="208"/>
      <c r="II254" s="208"/>
      <c r="IJ254" s="208"/>
      <c r="IK254" s="208"/>
      <c r="IL254" s="208"/>
      <c r="IM254" s="208"/>
      <c r="IN254" s="208"/>
      <c r="IO254" s="208"/>
      <c r="IP254" s="208"/>
      <c r="IQ254" s="208"/>
      <c r="IR254" s="208"/>
      <c r="IS254" s="208"/>
      <c r="IT254" s="208"/>
    </row>
    <row r="255" spans="1:254" s="209" customFormat="1" ht="12.75">
      <c r="A255" s="286"/>
      <c r="B255" s="353"/>
      <c r="C255" s="353"/>
      <c r="D255" s="353"/>
      <c r="E255" s="353"/>
      <c r="F255" s="642"/>
      <c r="G255" s="353"/>
      <c r="H255" s="353"/>
      <c r="I255" s="353"/>
      <c r="J255" s="353"/>
      <c r="K255" s="353"/>
      <c r="L255" s="353"/>
      <c r="M255" s="376"/>
      <c r="N255" s="376"/>
      <c r="O255" s="376"/>
      <c r="P255" s="376"/>
      <c r="Q255" s="376"/>
      <c r="R255" s="376"/>
      <c r="S255" s="376"/>
      <c r="T255" s="376"/>
      <c r="U255" s="376"/>
      <c r="V255" s="376"/>
      <c r="W255" s="376"/>
      <c r="X255" s="376"/>
      <c r="Y255" s="376"/>
      <c r="Z255" s="377"/>
      <c r="AA255" s="377"/>
      <c r="AB255" s="377"/>
      <c r="AC255" s="377"/>
      <c r="AD255" s="377"/>
      <c r="AE255" s="377"/>
      <c r="AF255" s="377"/>
      <c r="AG255" s="377"/>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208"/>
      <c r="BD255" s="208"/>
      <c r="BE255" s="208"/>
      <c r="BF255" s="208"/>
      <c r="BG255" s="208"/>
      <c r="BH255" s="208"/>
      <c r="BI255" s="208"/>
      <c r="BJ255" s="208"/>
      <c r="BK255" s="208"/>
      <c r="BL255" s="208"/>
      <c r="BM255" s="208"/>
      <c r="BN255" s="208"/>
      <c r="BO255" s="208"/>
      <c r="BP255" s="208"/>
      <c r="BQ255" s="208"/>
      <c r="BR255" s="208"/>
      <c r="BS255" s="208"/>
      <c r="BT255" s="208"/>
      <c r="BU255" s="208"/>
      <c r="BV255" s="208"/>
      <c r="BW255" s="208"/>
      <c r="BX255" s="208"/>
      <c r="BY255" s="208"/>
      <c r="BZ255" s="208"/>
      <c r="CA255" s="208"/>
      <c r="CB255" s="208"/>
      <c r="CC255" s="208"/>
      <c r="CD255" s="208"/>
      <c r="CE255" s="208"/>
      <c r="CF255" s="208"/>
      <c r="CG255" s="208"/>
      <c r="CH255" s="208"/>
      <c r="CI255" s="208"/>
      <c r="CJ255" s="208"/>
      <c r="CK255" s="208"/>
      <c r="CL255" s="208"/>
      <c r="CM255" s="208"/>
      <c r="CN255" s="208"/>
      <c r="CO255" s="208"/>
      <c r="CP255" s="208"/>
      <c r="CQ255" s="208"/>
      <c r="CR255" s="208"/>
      <c r="CS255" s="208"/>
      <c r="CT255" s="208"/>
      <c r="CU255" s="208"/>
      <c r="CV255" s="208"/>
      <c r="CW255" s="208"/>
      <c r="CX255" s="208"/>
      <c r="CY255" s="208"/>
      <c r="CZ255" s="208"/>
      <c r="DA255" s="208"/>
      <c r="DB255" s="208"/>
      <c r="DC255" s="208"/>
      <c r="DD255" s="208"/>
      <c r="DE255" s="208"/>
      <c r="DF255" s="208"/>
      <c r="DG255" s="208"/>
      <c r="DH255" s="208"/>
      <c r="DI255" s="208"/>
      <c r="DJ255" s="208"/>
      <c r="DK255" s="208"/>
      <c r="DL255" s="208"/>
      <c r="DM255" s="208"/>
      <c r="DN255" s="208"/>
      <c r="DO255" s="208"/>
      <c r="DP255" s="208"/>
      <c r="DQ255" s="208"/>
      <c r="DR255" s="208"/>
      <c r="DS255" s="208"/>
      <c r="DT255" s="208"/>
      <c r="DU255" s="208"/>
      <c r="DV255" s="208"/>
      <c r="DW255" s="208"/>
      <c r="DX255" s="208"/>
      <c r="DY255" s="208"/>
      <c r="DZ255" s="208"/>
      <c r="EA255" s="208"/>
      <c r="EB255" s="208"/>
      <c r="EC255" s="208"/>
      <c r="ED255" s="208"/>
      <c r="EE255" s="208"/>
      <c r="EF255" s="208"/>
      <c r="EG255" s="208"/>
      <c r="EH255" s="208"/>
      <c r="EI255" s="208"/>
      <c r="EJ255" s="208"/>
      <c r="EK255" s="208"/>
      <c r="EL255" s="208"/>
      <c r="EM255" s="208"/>
      <c r="EN255" s="208"/>
      <c r="EO255" s="208"/>
      <c r="EP255" s="208"/>
      <c r="EQ255" s="208"/>
      <c r="ER255" s="208"/>
      <c r="ES255" s="208"/>
      <c r="ET255" s="208"/>
      <c r="EU255" s="208"/>
      <c r="EV255" s="208"/>
      <c r="EW255" s="208"/>
      <c r="EX255" s="208"/>
      <c r="EY255" s="208"/>
      <c r="EZ255" s="208"/>
      <c r="FA255" s="208"/>
      <c r="FB255" s="208"/>
      <c r="FC255" s="208"/>
      <c r="FD255" s="208"/>
      <c r="FE255" s="208"/>
      <c r="FF255" s="208"/>
      <c r="FG255" s="208"/>
      <c r="FH255" s="208"/>
      <c r="FI255" s="208"/>
      <c r="FJ255" s="208"/>
      <c r="FK255" s="208"/>
      <c r="FL255" s="208"/>
      <c r="FM255" s="208"/>
      <c r="FN255" s="208"/>
      <c r="FO255" s="208"/>
      <c r="FP255" s="208"/>
      <c r="FQ255" s="208"/>
      <c r="FR255" s="208"/>
      <c r="FS255" s="208"/>
      <c r="FT255" s="208"/>
      <c r="FU255" s="208"/>
      <c r="FV255" s="208"/>
      <c r="FW255" s="208"/>
      <c r="FX255" s="208"/>
      <c r="FY255" s="208"/>
      <c r="FZ255" s="208"/>
      <c r="GA255" s="208"/>
      <c r="GB255" s="208"/>
      <c r="GC255" s="208"/>
      <c r="GD255" s="208"/>
      <c r="GE255" s="208"/>
      <c r="GF255" s="208"/>
      <c r="GG255" s="208"/>
      <c r="GH255" s="208"/>
      <c r="GI255" s="208"/>
      <c r="GJ255" s="208"/>
      <c r="GK255" s="208"/>
      <c r="GL255" s="208"/>
      <c r="GM255" s="208"/>
      <c r="GN255" s="208"/>
      <c r="GO255" s="208"/>
      <c r="GP255" s="208"/>
      <c r="GQ255" s="208"/>
      <c r="GR255" s="208"/>
      <c r="GS255" s="208"/>
      <c r="GT255" s="208"/>
      <c r="GU255" s="208"/>
      <c r="GV255" s="208"/>
      <c r="GW255" s="208"/>
      <c r="GX255" s="208"/>
      <c r="GY255" s="208"/>
      <c r="GZ255" s="208"/>
      <c r="HA255" s="208"/>
      <c r="HB255" s="208"/>
      <c r="HC255" s="208"/>
      <c r="HD255" s="208"/>
      <c r="HE255" s="208"/>
      <c r="HF255" s="208"/>
      <c r="HG255" s="208"/>
      <c r="HH255" s="208"/>
      <c r="HI255" s="208"/>
      <c r="HJ255" s="208"/>
      <c r="HK255" s="208"/>
      <c r="HL255" s="208"/>
      <c r="HM255" s="208"/>
      <c r="HN255" s="208"/>
      <c r="HO255" s="208"/>
      <c r="HP255" s="208"/>
      <c r="HQ255" s="208"/>
      <c r="HR255" s="208"/>
      <c r="HS255" s="208"/>
      <c r="HT255" s="208"/>
      <c r="HU255" s="208"/>
      <c r="HV255" s="208"/>
      <c r="HW255" s="208"/>
      <c r="HX255" s="208"/>
      <c r="HY255" s="208"/>
      <c r="HZ255" s="208"/>
      <c r="IA255" s="208"/>
      <c r="IB255" s="208"/>
      <c r="IC255" s="208"/>
      <c r="ID255" s="208"/>
      <c r="IE255" s="208"/>
      <c r="IF255" s="208"/>
      <c r="IG255" s="208"/>
      <c r="IH255" s="208"/>
      <c r="II255" s="208"/>
      <c r="IJ255" s="208"/>
      <c r="IK255" s="208"/>
      <c r="IL255" s="208"/>
      <c r="IM255" s="208"/>
      <c r="IN255" s="208"/>
      <c r="IO255" s="208"/>
      <c r="IP255" s="208"/>
      <c r="IQ255" s="208"/>
      <c r="IR255" s="208"/>
      <c r="IS255" s="208"/>
      <c r="IT255" s="208"/>
    </row>
    <row r="256" spans="1:254" s="209" customFormat="1" ht="25.5">
      <c r="A256" s="286" t="s">
        <v>292</v>
      </c>
      <c r="B256" s="376"/>
      <c r="C256" s="376"/>
      <c r="D256" s="376"/>
      <c r="E256" s="376"/>
      <c r="F256" s="651"/>
      <c r="G256" s="376"/>
      <c r="H256" s="376"/>
      <c r="I256" s="376"/>
      <c r="J256" s="376"/>
      <c r="K256" s="376"/>
      <c r="L256" s="376"/>
      <c r="M256" s="376"/>
      <c r="N256" s="376"/>
      <c r="O256" s="376"/>
      <c r="P256" s="376"/>
      <c r="Q256" s="376"/>
      <c r="R256" s="376"/>
      <c r="S256" s="376"/>
      <c r="T256" s="376"/>
      <c r="U256" s="376"/>
      <c r="V256" s="376"/>
      <c r="W256" s="376"/>
      <c r="X256" s="376"/>
      <c r="Y256" s="376"/>
      <c r="Z256" s="377"/>
      <c r="AA256" s="377"/>
      <c r="AB256" s="377"/>
      <c r="AC256" s="377"/>
      <c r="AD256" s="377"/>
      <c r="AE256" s="377"/>
      <c r="AF256" s="377"/>
      <c r="AG256" s="377"/>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208"/>
      <c r="BD256" s="208"/>
      <c r="BE256" s="208"/>
      <c r="BF256" s="208"/>
      <c r="BG256" s="208"/>
      <c r="BH256" s="208"/>
      <c r="BI256" s="208"/>
      <c r="BJ256" s="208"/>
      <c r="BK256" s="208"/>
      <c r="BL256" s="208"/>
      <c r="BM256" s="208"/>
      <c r="BN256" s="208"/>
      <c r="BO256" s="208"/>
      <c r="BP256" s="208"/>
      <c r="BQ256" s="208"/>
      <c r="BR256" s="208"/>
      <c r="BS256" s="208"/>
      <c r="BT256" s="208"/>
      <c r="BU256" s="208"/>
      <c r="BV256" s="208"/>
      <c r="BW256" s="208"/>
      <c r="BX256" s="208"/>
      <c r="BY256" s="208"/>
      <c r="BZ256" s="208"/>
      <c r="CA256" s="208"/>
      <c r="CB256" s="208"/>
      <c r="CC256" s="208"/>
      <c r="CD256" s="208"/>
      <c r="CE256" s="208"/>
      <c r="CF256" s="208"/>
      <c r="CG256" s="208"/>
      <c r="CH256" s="208"/>
      <c r="CI256" s="208"/>
      <c r="CJ256" s="208"/>
      <c r="CK256" s="208"/>
      <c r="CL256" s="208"/>
      <c r="CM256" s="208"/>
      <c r="CN256" s="208"/>
      <c r="CO256" s="208"/>
      <c r="CP256" s="208"/>
      <c r="CQ256" s="208"/>
      <c r="CR256" s="208"/>
      <c r="CS256" s="208"/>
      <c r="CT256" s="208"/>
      <c r="CU256" s="208"/>
      <c r="CV256" s="208"/>
      <c r="CW256" s="208"/>
      <c r="CX256" s="208"/>
      <c r="CY256" s="208"/>
      <c r="CZ256" s="208"/>
      <c r="DA256" s="208"/>
      <c r="DB256" s="208"/>
      <c r="DC256" s="208"/>
      <c r="DD256" s="208"/>
      <c r="DE256" s="208"/>
      <c r="DF256" s="208"/>
      <c r="DG256" s="208"/>
      <c r="DH256" s="208"/>
      <c r="DI256" s="208"/>
      <c r="DJ256" s="208"/>
      <c r="DK256" s="208"/>
      <c r="DL256" s="208"/>
      <c r="DM256" s="208"/>
      <c r="DN256" s="208"/>
      <c r="DO256" s="208"/>
      <c r="DP256" s="208"/>
      <c r="DQ256" s="208"/>
      <c r="DR256" s="208"/>
      <c r="DS256" s="208"/>
      <c r="DT256" s="208"/>
      <c r="DU256" s="208"/>
      <c r="DV256" s="208"/>
      <c r="DW256" s="208"/>
      <c r="DX256" s="208"/>
      <c r="DY256" s="208"/>
      <c r="DZ256" s="208"/>
      <c r="EA256" s="208"/>
      <c r="EB256" s="208"/>
      <c r="EC256" s="208"/>
      <c r="ED256" s="208"/>
      <c r="EE256" s="208"/>
      <c r="EF256" s="208"/>
      <c r="EG256" s="208"/>
      <c r="EH256" s="208"/>
      <c r="EI256" s="208"/>
      <c r="EJ256" s="208"/>
      <c r="EK256" s="208"/>
      <c r="EL256" s="208"/>
      <c r="EM256" s="208"/>
      <c r="EN256" s="208"/>
      <c r="EO256" s="208"/>
      <c r="EP256" s="208"/>
      <c r="EQ256" s="208"/>
      <c r="ER256" s="208"/>
      <c r="ES256" s="208"/>
      <c r="ET256" s="208"/>
      <c r="EU256" s="208"/>
      <c r="EV256" s="208"/>
      <c r="EW256" s="208"/>
      <c r="EX256" s="208"/>
      <c r="EY256" s="208"/>
      <c r="EZ256" s="208"/>
      <c r="FA256" s="208"/>
      <c r="FB256" s="208"/>
      <c r="FC256" s="208"/>
      <c r="FD256" s="208"/>
      <c r="FE256" s="208"/>
      <c r="FF256" s="208"/>
      <c r="FG256" s="208"/>
      <c r="FH256" s="208"/>
      <c r="FI256" s="208"/>
      <c r="FJ256" s="208"/>
      <c r="FK256" s="208"/>
      <c r="FL256" s="208"/>
      <c r="FM256" s="208"/>
      <c r="FN256" s="208"/>
      <c r="FO256" s="208"/>
      <c r="FP256" s="208"/>
      <c r="FQ256" s="208"/>
      <c r="FR256" s="208"/>
      <c r="FS256" s="208"/>
      <c r="FT256" s="208"/>
      <c r="FU256" s="208"/>
      <c r="FV256" s="208"/>
      <c r="FW256" s="208"/>
      <c r="FX256" s="208"/>
      <c r="FY256" s="208"/>
      <c r="FZ256" s="208"/>
      <c r="GA256" s="208"/>
      <c r="GB256" s="208"/>
      <c r="GC256" s="208"/>
      <c r="GD256" s="208"/>
      <c r="GE256" s="208"/>
      <c r="GF256" s="208"/>
      <c r="GG256" s="208"/>
      <c r="GH256" s="208"/>
      <c r="GI256" s="208"/>
      <c r="GJ256" s="208"/>
      <c r="GK256" s="208"/>
      <c r="GL256" s="208"/>
      <c r="GM256" s="208"/>
      <c r="GN256" s="208"/>
      <c r="GO256" s="208"/>
      <c r="GP256" s="208"/>
      <c r="GQ256" s="208"/>
      <c r="GR256" s="208"/>
      <c r="GS256" s="208"/>
      <c r="GT256" s="208"/>
      <c r="GU256" s="208"/>
      <c r="GV256" s="208"/>
      <c r="GW256" s="208"/>
      <c r="GX256" s="208"/>
      <c r="GY256" s="208"/>
      <c r="GZ256" s="208"/>
      <c r="HA256" s="208"/>
      <c r="HB256" s="208"/>
      <c r="HC256" s="208"/>
      <c r="HD256" s="208"/>
      <c r="HE256" s="208"/>
      <c r="HF256" s="208"/>
      <c r="HG256" s="208"/>
      <c r="HH256" s="208"/>
      <c r="HI256" s="208"/>
      <c r="HJ256" s="208"/>
      <c r="HK256" s="208"/>
      <c r="HL256" s="208"/>
      <c r="HM256" s="208"/>
      <c r="HN256" s="208"/>
      <c r="HO256" s="208"/>
      <c r="HP256" s="208"/>
      <c r="HQ256" s="208"/>
      <c r="HR256" s="208"/>
      <c r="HS256" s="208"/>
      <c r="HT256" s="208"/>
      <c r="HU256" s="208"/>
      <c r="HV256" s="208"/>
      <c r="HW256" s="208"/>
      <c r="HX256" s="208"/>
      <c r="HY256" s="208"/>
      <c r="HZ256" s="208"/>
      <c r="IA256" s="208"/>
      <c r="IB256" s="208"/>
      <c r="IC256" s="208"/>
      <c r="ID256" s="208"/>
      <c r="IE256" s="208"/>
      <c r="IF256" s="208"/>
      <c r="IG256" s="208"/>
      <c r="IH256" s="208"/>
      <c r="II256" s="208"/>
      <c r="IJ256" s="208"/>
      <c r="IK256" s="208"/>
      <c r="IL256" s="208"/>
      <c r="IM256" s="208"/>
      <c r="IN256" s="208"/>
      <c r="IO256" s="208"/>
      <c r="IP256" s="208"/>
      <c r="IQ256" s="208"/>
      <c r="IR256" s="208"/>
      <c r="IS256" s="208"/>
      <c r="IT256" s="208"/>
    </row>
    <row r="257" spans="1:254" s="209" customFormat="1" ht="12.75">
      <c r="A257" s="346" t="s">
        <v>293</v>
      </c>
      <c r="B257" s="378">
        <f>'Datu ievade'!$B$84</f>
        <v>0.1</v>
      </c>
      <c r="C257" s="378"/>
      <c r="D257" s="378"/>
      <c r="E257" s="378"/>
      <c r="F257" s="652"/>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208"/>
      <c r="BD257" s="208"/>
      <c r="BE257" s="208"/>
      <c r="BF257" s="208"/>
      <c r="BG257" s="208"/>
      <c r="BH257" s="208"/>
      <c r="BI257" s="208"/>
      <c r="BJ257" s="208"/>
      <c r="BK257" s="208"/>
      <c r="BL257" s="208"/>
      <c r="BM257" s="208"/>
      <c r="BN257" s="208"/>
      <c r="BO257" s="208"/>
      <c r="BP257" s="208"/>
      <c r="BQ257" s="208"/>
      <c r="BR257" s="208"/>
      <c r="BS257" s="208"/>
      <c r="BT257" s="208"/>
      <c r="BU257" s="208"/>
      <c r="BV257" s="208"/>
      <c r="BW257" s="208"/>
      <c r="BX257" s="208"/>
      <c r="BY257" s="208"/>
      <c r="BZ257" s="208"/>
      <c r="CA257" s="208"/>
      <c r="CB257" s="208"/>
      <c r="CC257" s="208"/>
      <c r="CD257" s="208"/>
      <c r="CE257" s="208"/>
      <c r="CF257" s="208"/>
      <c r="CG257" s="208"/>
      <c r="CH257" s="208"/>
      <c r="CI257" s="208"/>
      <c r="CJ257" s="208"/>
      <c r="CK257" s="208"/>
      <c r="CL257" s="208"/>
      <c r="CM257" s="208"/>
      <c r="CN257" s="208"/>
      <c r="CO257" s="208"/>
      <c r="CP257" s="208"/>
      <c r="CQ257" s="208"/>
      <c r="CR257" s="208"/>
      <c r="CS257" s="208"/>
      <c r="CT257" s="208"/>
      <c r="CU257" s="208"/>
      <c r="CV257" s="208"/>
      <c r="CW257" s="208"/>
      <c r="CX257" s="208"/>
      <c r="CY257" s="208"/>
      <c r="CZ257" s="208"/>
      <c r="DA257" s="208"/>
      <c r="DB257" s="208"/>
      <c r="DC257" s="208"/>
      <c r="DD257" s="208"/>
      <c r="DE257" s="208"/>
      <c r="DF257" s="208"/>
      <c r="DG257" s="208"/>
      <c r="DH257" s="208"/>
      <c r="DI257" s="208"/>
      <c r="DJ257" s="208"/>
      <c r="DK257" s="208"/>
      <c r="DL257" s="208"/>
      <c r="DM257" s="208"/>
      <c r="DN257" s="208"/>
      <c r="DO257" s="208"/>
      <c r="DP257" s="208"/>
      <c r="DQ257" s="208"/>
      <c r="DR257" s="208"/>
      <c r="DS257" s="208"/>
      <c r="DT257" s="208"/>
      <c r="DU257" s="208"/>
      <c r="DV257" s="208"/>
      <c r="DW257" s="208"/>
      <c r="DX257" s="208"/>
      <c r="DY257" s="208"/>
      <c r="DZ257" s="208"/>
      <c r="EA257" s="208"/>
      <c r="EB257" s="208"/>
      <c r="EC257" s="208"/>
      <c r="ED257" s="208"/>
      <c r="EE257" s="208"/>
      <c r="EF257" s="208"/>
      <c r="EG257" s="208"/>
      <c r="EH257" s="208"/>
      <c r="EI257" s="208"/>
      <c r="EJ257" s="208"/>
      <c r="EK257" s="208"/>
      <c r="EL257" s="208"/>
      <c r="EM257" s="208"/>
      <c r="EN257" s="208"/>
      <c r="EO257" s="208"/>
      <c r="EP257" s="208"/>
      <c r="EQ257" s="208"/>
      <c r="ER257" s="208"/>
      <c r="ES257" s="208"/>
      <c r="ET257" s="208"/>
      <c r="EU257" s="208"/>
      <c r="EV257" s="208"/>
      <c r="EW257" s="208"/>
      <c r="EX257" s="208"/>
      <c r="EY257" s="208"/>
      <c r="EZ257" s="208"/>
      <c r="FA257" s="208"/>
      <c r="FB257" s="208"/>
      <c r="FC257" s="208"/>
      <c r="FD257" s="208"/>
      <c r="FE257" s="208"/>
      <c r="FF257" s="208"/>
      <c r="FG257" s="208"/>
      <c r="FH257" s="208"/>
      <c r="FI257" s="208"/>
      <c r="FJ257" s="208"/>
      <c r="FK257" s="208"/>
      <c r="FL257" s="208"/>
      <c r="FM257" s="208"/>
      <c r="FN257" s="208"/>
      <c r="FO257" s="208"/>
      <c r="FP257" s="208"/>
      <c r="FQ257" s="208"/>
      <c r="FR257" s="208"/>
      <c r="FS257" s="208"/>
      <c r="FT257" s="208"/>
      <c r="FU257" s="208"/>
      <c r="FV257" s="208"/>
      <c r="FW257" s="208"/>
      <c r="FX257" s="208"/>
      <c r="FY257" s="208"/>
      <c r="FZ257" s="208"/>
      <c r="GA257" s="208"/>
      <c r="GB257" s="208"/>
      <c r="GC257" s="208"/>
      <c r="GD257" s="208"/>
      <c r="GE257" s="208"/>
      <c r="GF257" s="208"/>
      <c r="GG257" s="208"/>
      <c r="GH257" s="208"/>
      <c r="GI257" s="208"/>
      <c r="GJ257" s="208"/>
      <c r="GK257" s="208"/>
      <c r="GL257" s="208"/>
      <c r="GM257" s="208"/>
      <c r="GN257" s="208"/>
      <c r="GO257" s="208"/>
      <c r="GP257" s="208"/>
      <c r="GQ257" s="208"/>
      <c r="GR257" s="208"/>
      <c r="GS257" s="208"/>
      <c r="GT257" s="208"/>
      <c r="GU257" s="208"/>
      <c r="GV257" s="208"/>
      <c r="GW257" s="208"/>
      <c r="GX257" s="208"/>
      <c r="GY257" s="208"/>
      <c r="GZ257" s="208"/>
      <c r="HA257" s="208"/>
      <c r="HB257" s="208"/>
      <c r="HC257" s="208"/>
      <c r="HD257" s="208"/>
      <c r="HE257" s="208"/>
      <c r="HF257" s="208"/>
      <c r="HG257" s="208"/>
      <c r="HH257" s="208"/>
      <c r="HI257" s="208"/>
      <c r="HJ257" s="208"/>
      <c r="HK257" s="208"/>
      <c r="HL257" s="208"/>
      <c r="HM257" s="208"/>
      <c r="HN257" s="208"/>
      <c r="HO257" s="208"/>
      <c r="HP257" s="208"/>
      <c r="HQ257" s="208"/>
      <c r="HR257" s="208"/>
      <c r="HS257" s="208"/>
      <c r="HT257" s="208"/>
      <c r="HU257" s="208"/>
      <c r="HV257" s="208"/>
      <c r="HW257" s="208"/>
      <c r="HX257" s="208"/>
      <c r="HY257" s="208"/>
      <c r="HZ257" s="208"/>
      <c r="IA257" s="208"/>
      <c r="IB257" s="208"/>
      <c r="IC257" s="208"/>
      <c r="ID257" s="208"/>
      <c r="IE257" s="208"/>
      <c r="IF257" s="208"/>
      <c r="IG257" s="208"/>
      <c r="IH257" s="208"/>
      <c r="II257" s="208"/>
      <c r="IJ257" s="208"/>
      <c r="IK257" s="208"/>
      <c r="IL257" s="208"/>
      <c r="IM257" s="208"/>
      <c r="IN257" s="208"/>
      <c r="IO257" s="208"/>
      <c r="IP257" s="208"/>
      <c r="IQ257" s="208"/>
      <c r="IR257" s="208"/>
      <c r="IS257" s="208"/>
      <c r="IT257" s="208"/>
    </row>
    <row r="258" spans="1:254" s="157" customFormat="1" ht="12.75">
      <c r="A258" s="556" t="s">
        <v>294</v>
      </c>
      <c r="B258" s="154">
        <f>'Datu ievade'!B105</f>
        <v>0</v>
      </c>
      <c r="C258" s="154">
        <f>'Datu ievade'!C105</f>
        <v>0</v>
      </c>
      <c r="D258" s="154">
        <f>'Datu ievade'!D105</f>
        <v>0</v>
      </c>
      <c r="E258" s="154">
        <f>'Datu ievade'!E105</f>
        <v>0</v>
      </c>
      <c r="F258" s="154">
        <f>'Datu ievade'!F105</f>
        <v>0</v>
      </c>
      <c r="G258" s="154">
        <f>'Datu ievade'!G105</f>
        <v>0</v>
      </c>
      <c r="H258" s="154">
        <f>'Datu ievade'!H105</f>
        <v>0</v>
      </c>
      <c r="I258" s="154">
        <f>'Datu ievade'!I105</f>
        <v>0</v>
      </c>
      <c r="J258" s="154">
        <f>'Datu ievade'!J105</f>
        <v>0</v>
      </c>
      <c r="K258" s="154">
        <f>'Datu ievade'!K105</f>
        <v>0</v>
      </c>
      <c r="L258" s="154">
        <f>'Datu ievade'!L105</f>
        <v>0</v>
      </c>
      <c r="M258" s="154">
        <f>'Datu ievade'!M105</f>
        <v>0</v>
      </c>
      <c r="N258" s="154">
        <f>'Datu ievade'!N105</f>
        <v>0</v>
      </c>
      <c r="O258" s="154">
        <f>'Datu ievade'!O105</f>
        <v>0</v>
      </c>
      <c r="P258" s="154">
        <f>'Datu ievade'!P105</f>
        <v>0</v>
      </c>
      <c r="Q258" s="154">
        <f>'Datu ievade'!Q105</f>
        <v>0</v>
      </c>
      <c r="R258" s="154">
        <f>'Datu ievade'!R105</f>
        <v>0</v>
      </c>
      <c r="S258" s="154">
        <f>'Datu ievade'!S105</f>
        <v>0</v>
      </c>
      <c r="T258" s="154">
        <f>'Datu ievade'!T105</f>
        <v>0</v>
      </c>
      <c r="U258" s="154">
        <f>'Datu ievade'!U105</f>
        <v>0</v>
      </c>
      <c r="V258" s="154">
        <f>'Datu ievade'!V105</f>
        <v>0</v>
      </c>
      <c r="W258" s="154">
        <f>'Datu ievade'!W105</f>
        <v>0</v>
      </c>
      <c r="X258" s="154">
        <f>'Datu ievade'!X105</f>
        <v>0</v>
      </c>
      <c r="Y258" s="154">
        <f>'Datu ievade'!Y105</f>
        <v>0</v>
      </c>
      <c r="Z258" s="154">
        <f>'Datu ievade'!Z105</f>
        <v>0</v>
      </c>
      <c r="AA258" s="154">
        <f>'Datu ievade'!AA105</f>
        <v>0</v>
      </c>
      <c r="AB258" s="154">
        <f>'Datu ievade'!AB105</f>
        <v>0</v>
      </c>
      <c r="AC258" s="154">
        <f>'Datu ievade'!AC105</f>
        <v>0</v>
      </c>
      <c r="AD258" s="154">
        <f>'Datu ievade'!AD105</f>
        <v>0</v>
      </c>
      <c r="AE258" s="154">
        <f>'Datu ievade'!AE105</f>
        <v>0</v>
      </c>
      <c r="AF258" s="154">
        <f>'Datu ievade'!AF105</f>
        <v>0</v>
      </c>
      <c r="AG258" s="154">
        <f>'Datu ievade'!AG105</f>
        <v>0</v>
      </c>
      <c r="AH258" s="155"/>
      <c r="AI258" s="155"/>
      <c r="AJ258" s="155"/>
      <c r="AK258" s="155"/>
      <c r="AL258" s="155"/>
      <c r="AM258" s="155"/>
      <c r="AN258" s="155"/>
      <c r="AO258" s="155"/>
      <c r="AP258" s="155"/>
      <c r="AQ258" s="155"/>
      <c r="AR258" s="155"/>
      <c r="AS258" s="155"/>
      <c r="AT258" s="155"/>
      <c r="AU258" s="155"/>
      <c r="AV258" s="155"/>
      <c r="AW258" s="155"/>
      <c r="AX258" s="155"/>
      <c r="AY258" s="155"/>
      <c r="AZ258" s="155"/>
      <c r="BA258" s="155"/>
      <c r="BB258" s="155"/>
      <c r="BC258" s="155"/>
      <c r="BD258" s="155"/>
      <c r="BE258" s="155"/>
      <c r="BF258" s="155"/>
      <c r="BG258" s="155"/>
      <c r="BH258" s="155"/>
      <c r="BI258" s="155"/>
      <c r="BJ258" s="155"/>
      <c r="BK258" s="155"/>
      <c r="BL258" s="155"/>
      <c r="BM258" s="155"/>
      <c r="BN258" s="155"/>
      <c r="BO258" s="155"/>
      <c r="BP258" s="155"/>
      <c r="BQ258" s="155"/>
      <c r="BR258" s="155"/>
      <c r="BS258" s="155"/>
      <c r="BT258" s="155"/>
      <c r="BU258" s="155"/>
      <c r="BV258" s="155"/>
      <c r="BW258" s="155"/>
      <c r="BX258" s="155"/>
      <c r="BY258" s="155"/>
      <c r="BZ258" s="155"/>
      <c r="CA258" s="155"/>
      <c r="CB258" s="155"/>
      <c r="CC258" s="155"/>
      <c r="CD258" s="155"/>
      <c r="CE258" s="155"/>
      <c r="CF258" s="155"/>
      <c r="CG258" s="155"/>
      <c r="CH258" s="155"/>
      <c r="CI258" s="155"/>
      <c r="CJ258" s="155"/>
      <c r="CK258" s="155"/>
      <c r="CL258" s="155"/>
      <c r="CM258" s="155"/>
      <c r="CN258" s="155"/>
      <c r="CO258" s="155"/>
      <c r="CP258" s="155"/>
      <c r="CQ258" s="155"/>
      <c r="CR258" s="155"/>
      <c r="CS258" s="155"/>
      <c r="CT258" s="155"/>
      <c r="CU258" s="155"/>
      <c r="CV258" s="155"/>
      <c r="CW258" s="155"/>
      <c r="CX258" s="155"/>
      <c r="CY258" s="155"/>
      <c r="CZ258" s="155"/>
      <c r="DA258" s="155"/>
      <c r="DB258" s="155"/>
      <c r="DC258" s="155"/>
      <c r="DD258" s="155"/>
      <c r="DE258" s="155"/>
      <c r="DF258" s="155"/>
      <c r="DG258" s="155"/>
      <c r="DH258" s="155"/>
      <c r="DI258" s="155"/>
      <c r="DJ258" s="155"/>
      <c r="DK258" s="155"/>
      <c r="DL258" s="155"/>
      <c r="DM258" s="155"/>
      <c r="DN258" s="155"/>
      <c r="DO258" s="155"/>
      <c r="DP258" s="155"/>
      <c r="DQ258" s="155"/>
      <c r="DR258" s="155"/>
      <c r="DS258" s="155"/>
      <c r="DT258" s="155"/>
      <c r="DU258" s="155"/>
      <c r="DV258" s="155"/>
      <c r="DW258" s="155"/>
      <c r="DX258" s="155"/>
      <c r="DY258" s="155"/>
      <c r="DZ258" s="155"/>
      <c r="EA258" s="155"/>
      <c r="EB258" s="155"/>
      <c r="EC258" s="155"/>
      <c r="ED258" s="155"/>
      <c r="EE258" s="155"/>
      <c r="EF258" s="155"/>
      <c r="EG258" s="155"/>
      <c r="EH258" s="155"/>
      <c r="EI258" s="155"/>
      <c r="EJ258" s="155"/>
      <c r="EK258" s="155"/>
      <c r="EL258" s="155"/>
      <c r="EM258" s="155"/>
      <c r="EN258" s="155"/>
      <c r="EO258" s="155"/>
      <c r="EP258" s="155"/>
      <c r="EQ258" s="155"/>
      <c r="ER258" s="155"/>
      <c r="ES258" s="155"/>
      <c r="ET258" s="155"/>
      <c r="EU258" s="155"/>
      <c r="EV258" s="155"/>
      <c r="EW258" s="155"/>
      <c r="EX258" s="155"/>
      <c r="EY258" s="155"/>
      <c r="EZ258" s="155"/>
      <c r="FA258" s="155"/>
      <c r="FB258" s="155"/>
      <c r="FC258" s="155"/>
      <c r="FD258" s="155"/>
      <c r="FE258" s="155"/>
      <c r="FF258" s="155"/>
      <c r="FG258" s="155"/>
      <c r="FH258" s="155"/>
      <c r="FI258" s="155"/>
      <c r="FJ258" s="155"/>
      <c r="FK258" s="155"/>
      <c r="FL258" s="155"/>
      <c r="FM258" s="155"/>
      <c r="FN258" s="155"/>
      <c r="FO258" s="155"/>
      <c r="FP258" s="155"/>
      <c r="FQ258" s="155"/>
      <c r="FR258" s="155"/>
      <c r="FS258" s="155"/>
      <c r="FT258" s="155"/>
      <c r="FU258" s="155"/>
      <c r="FV258" s="155"/>
      <c r="FW258" s="155"/>
      <c r="FX258" s="155"/>
      <c r="FY258" s="155"/>
      <c r="FZ258" s="155"/>
      <c r="GA258" s="155"/>
      <c r="GB258" s="155"/>
      <c r="GC258" s="155"/>
      <c r="GD258" s="155"/>
      <c r="GE258" s="155"/>
      <c r="GF258" s="155"/>
      <c r="GG258" s="155"/>
      <c r="GH258" s="155"/>
      <c r="GI258" s="155"/>
      <c r="GJ258" s="155"/>
      <c r="GK258" s="155"/>
      <c r="GL258" s="155"/>
      <c r="GM258" s="155"/>
      <c r="GN258" s="155"/>
      <c r="GO258" s="155"/>
      <c r="GP258" s="155"/>
      <c r="GQ258" s="155"/>
      <c r="GR258" s="155"/>
      <c r="GS258" s="155"/>
      <c r="GT258" s="155"/>
      <c r="GU258" s="155"/>
      <c r="GV258" s="155"/>
      <c r="GW258" s="155"/>
      <c r="GX258" s="155"/>
      <c r="GY258" s="155"/>
      <c r="GZ258" s="155"/>
      <c r="HA258" s="155"/>
      <c r="HB258" s="155"/>
      <c r="HC258" s="155"/>
      <c r="HD258" s="155"/>
      <c r="HE258" s="155"/>
      <c r="HF258" s="155"/>
      <c r="HG258" s="155"/>
      <c r="HH258" s="155"/>
      <c r="HI258" s="155"/>
      <c r="HJ258" s="155"/>
      <c r="HK258" s="155"/>
      <c r="HL258" s="155"/>
      <c r="HM258" s="155"/>
      <c r="HN258" s="155"/>
      <c r="HO258" s="155"/>
      <c r="HP258" s="155"/>
      <c r="HQ258" s="155"/>
      <c r="HR258" s="155"/>
      <c r="HS258" s="155"/>
      <c r="HT258" s="155"/>
      <c r="HU258" s="155"/>
      <c r="HV258" s="155"/>
      <c r="HW258" s="155"/>
      <c r="HX258" s="155"/>
      <c r="HY258" s="155"/>
      <c r="HZ258" s="155"/>
      <c r="IA258" s="155"/>
      <c r="IB258" s="155"/>
      <c r="IC258" s="155"/>
      <c r="ID258" s="155"/>
      <c r="IE258" s="155"/>
      <c r="IF258" s="155"/>
      <c r="IG258" s="155"/>
      <c r="IH258" s="155"/>
      <c r="II258" s="155"/>
      <c r="IJ258" s="155"/>
      <c r="IK258" s="155"/>
      <c r="IL258" s="155"/>
      <c r="IM258" s="155"/>
      <c r="IN258" s="155"/>
      <c r="IO258" s="155"/>
      <c r="IP258" s="155"/>
      <c r="IQ258" s="155"/>
      <c r="IR258" s="155"/>
      <c r="IS258" s="155"/>
      <c r="IT258" s="155"/>
    </row>
    <row r="259" spans="1:254" s="157" customFormat="1" ht="12.75">
      <c r="A259" s="567" t="s">
        <v>295</v>
      </c>
      <c r="B259" s="118">
        <f aca="true" t="shared" si="89" ref="B259:AG259">SUM(B260:B261)</f>
        <v>0</v>
      </c>
      <c r="C259" s="118">
        <f t="shared" si="89"/>
        <v>0</v>
      </c>
      <c r="D259" s="118">
        <f t="shared" si="89"/>
        <v>0</v>
      </c>
      <c r="E259" s="118">
        <f t="shared" si="89"/>
        <v>0</v>
      </c>
      <c r="F259" s="636">
        <f t="shared" si="89"/>
        <v>0</v>
      </c>
      <c r="G259" s="118">
        <f t="shared" si="89"/>
        <v>0</v>
      </c>
      <c r="H259" s="118">
        <f t="shared" si="89"/>
        <v>0</v>
      </c>
      <c r="I259" s="118">
        <f t="shared" si="89"/>
        <v>0</v>
      </c>
      <c r="J259" s="118">
        <f t="shared" si="89"/>
        <v>0</v>
      </c>
      <c r="K259" s="118">
        <f t="shared" si="89"/>
        <v>0</v>
      </c>
      <c r="L259" s="118">
        <f t="shared" si="89"/>
        <v>0</v>
      </c>
      <c r="M259" s="118">
        <f t="shared" si="89"/>
        <v>0</v>
      </c>
      <c r="N259" s="118">
        <f t="shared" si="89"/>
        <v>0</v>
      </c>
      <c r="O259" s="118">
        <f t="shared" si="89"/>
        <v>0</v>
      </c>
      <c r="P259" s="118">
        <f t="shared" si="89"/>
        <v>0</v>
      </c>
      <c r="Q259" s="118">
        <f t="shared" si="89"/>
        <v>0</v>
      </c>
      <c r="R259" s="118">
        <f t="shared" si="89"/>
        <v>0</v>
      </c>
      <c r="S259" s="118">
        <f t="shared" si="89"/>
        <v>0</v>
      </c>
      <c r="T259" s="118">
        <f t="shared" si="89"/>
        <v>0</v>
      </c>
      <c r="U259" s="118">
        <f t="shared" si="89"/>
        <v>0</v>
      </c>
      <c r="V259" s="118">
        <f t="shared" si="89"/>
        <v>0</v>
      </c>
      <c r="W259" s="118">
        <f t="shared" si="89"/>
        <v>0</v>
      </c>
      <c r="X259" s="118">
        <f t="shared" si="89"/>
        <v>0</v>
      </c>
      <c r="Y259" s="118">
        <f t="shared" si="89"/>
        <v>0</v>
      </c>
      <c r="Z259" s="118">
        <f t="shared" si="89"/>
        <v>0</v>
      </c>
      <c r="AA259" s="118">
        <f t="shared" si="89"/>
        <v>0</v>
      </c>
      <c r="AB259" s="118">
        <f t="shared" si="89"/>
        <v>0</v>
      </c>
      <c r="AC259" s="118">
        <f t="shared" si="89"/>
        <v>0</v>
      </c>
      <c r="AD259" s="118">
        <f t="shared" si="89"/>
        <v>0</v>
      </c>
      <c r="AE259" s="118">
        <f t="shared" si="89"/>
        <v>0</v>
      </c>
      <c r="AF259" s="118">
        <f t="shared" si="89"/>
        <v>0</v>
      </c>
      <c r="AG259" s="118">
        <f t="shared" si="89"/>
        <v>0</v>
      </c>
      <c r="AH259" s="155"/>
      <c r="AI259" s="155"/>
      <c r="AJ259" s="155"/>
      <c r="AK259" s="155"/>
      <c r="AL259" s="155"/>
      <c r="AM259" s="155"/>
      <c r="AN259" s="155"/>
      <c r="AO259" s="155"/>
      <c r="AP259" s="155"/>
      <c r="AQ259" s="155"/>
      <c r="AR259" s="155"/>
      <c r="AS259" s="155"/>
      <c r="AT259" s="155"/>
      <c r="AU259" s="155"/>
      <c r="AV259" s="155"/>
      <c r="AW259" s="155"/>
      <c r="AX259" s="155"/>
      <c r="AY259" s="155"/>
      <c r="AZ259" s="155"/>
      <c r="BA259" s="155"/>
      <c r="BB259" s="155"/>
      <c r="BC259" s="155"/>
      <c r="BD259" s="155"/>
      <c r="BE259" s="155"/>
      <c r="BF259" s="155"/>
      <c r="BG259" s="155"/>
      <c r="BH259" s="155"/>
      <c r="BI259" s="155"/>
      <c r="BJ259" s="155"/>
      <c r="BK259" s="15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c r="CP259" s="155"/>
      <c r="CQ259" s="155"/>
      <c r="CR259" s="155"/>
      <c r="CS259" s="155"/>
      <c r="CT259" s="155"/>
      <c r="CU259" s="155"/>
      <c r="CV259" s="155"/>
      <c r="CW259" s="155"/>
      <c r="CX259" s="155"/>
      <c r="CY259" s="155"/>
      <c r="CZ259" s="155"/>
      <c r="DA259" s="155"/>
      <c r="DB259" s="155"/>
      <c r="DC259" s="155"/>
      <c r="DD259" s="155"/>
      <c r="DE259" s="155"/>
      <c r="DF259" s="155"/>
      <c r="DG259" s="155"/>
      <c r="DH259" s="155"/>
      <c r="DI259" s="155"/>
      <c r="DJ259" s="155"/>
      <c r="DK259" s="155"/>
      <c r="DL259" s="155"/>
      <c r="DM259" s="155"/>
      <c r="DN259" s="155"/>
      <c r="DO259" s="155"/>
      <c r="DP259" s="155"/>
      <c r="DQ259" s="155"/>
      <c r="DR259" s="155"/>
      <c r="DS259" s="155"/>
      <c r="DT259" s="155"/>
      <c r="DU259" s="155"/>
      <c r="DV259" s="155"/>
      <c r="DW259" s="155"/>
      <c r="DX259" s="155"/>
      <c r="DY259" s="155"/>
      <c r="DZ259" s="155"/>
      <c r="EA259" s="155"/>
      <c r="EB259" s="155"/>
      <c r="EC259" s="155"/>
      <c r="ED259" s="155"/>
      <c r="EE259" s="155"/>
      <c r="EF259" s="155"/>
      <c r="EG259" s="155"/>
      <c r="EH259" s="155"/>
      <c r="EI259" s="155"/>
      <c r="EJ259" s="155"/>
      <c r="EK259" s="155"/>
      <c r="EL259" s="155"/>
      <c r="EM259" s="155"/>
      <c r="EN259" s="155"/>
      <c r="EO259" s="155"/>
      <c r="EP259" s="155"/>
      <c r="EQ259" s="155"/>
      <c r="ER259" s="155"/>
      <c r="ES259" s="155"/>
      <c r="ET259" s="155"/>
      <c r="EU259" s="155"/>
      <c r="EV259" s="155"/>
      <c r="EW259" s="155"/>
      <c r="EX259" s="155"/>
      <c r="EY259" s="155"/>
      <c r="EZ259" s="155"/>
      <c r="FA259" s="155"/>
      <c r="FB259" s="155"/>
      <c r="FC259" s="155"/>
      <c r="FD259" s="155"/>
      <c r="FE259" s="155"/>
      <c r="FF259" s="155"/>
      <c r="FG259" s="155"/>
      <c r="FH259" s="155"/>
      <c r="FI259" s="155"/>
      <c r="FJ259" s="155"/>
      <c r="FK259" s="155"/>
      <c r="FL259" s="155"/>
      <c r="FM259" s="155"/>
      <c r="FN259" s="155"/>
      <c r="FO259" s="155"/>
      <c r="FP259" s="155"/>
      <c r="FQ259" s="155"/>
      <c r="FR259" s="155"/>
      <c r="FS259" s="155"/>
      <c r="FT259" s="155"/>
      <c r="FU259" s="155"/>
      <c r="FV259" s="155"/>
      <c r="FW259" s="155"/>
      <c r="FX259" s="155"/>
      <c r="FY259" s="155"/>
      <c r="FZ259" s="155"/>
      <c r="GA259" s="155"/>
      <c r="GB259" s="155"/>
      <c r="GC259" s="155"/>
      <c r="GD259" s="155"/>
      <c r="GE259" s="155"/>
      <c r="GF259" s="155"/>
      <c r="GG259" s="155"/>
      <c r="GH259" s="155"/>
      <c r="GI259" s="155"/>
      <c r="GJ259" s="155"/>
      <c r="GK259" s="155"/>
      <c r="GL259" s="155"/>
      <c r="GM259" s="155"/>
      <c r="GN259" s="155"/>
      <c r="GO259" s="155"/>
      <c r="GP259" s="155"/>
      <c r="GQ259" s="155"/>
      <c r="GR259" s="155"/>
      <c r="GS259" s="155"/>
      <c r="GT259" s="155"/>
      <c r="GU259" s="155"/>
      <c r="GV259" s="155"/>
      <c r="GW259" s="155"/>
      <c r="GX259" s="155"/>
      <c r="GY259" s="155"/>
      <c r="GZ259" s="155"/>
      <c r="HA259" s="155"/>
      <c r="HB259" s="155"/>
      <c r="HC259" s="155"/>
      <c r="HD259" s="155"/>
      <c r="HE259" s="155"/>
      <c r="HF259" s="155"/>
      <c r="HG259" s="155"/>
      <c r="HH259" s="155"/>
      <c r="HI259" s="155"/>
      <c r="HJ259" s="155"/>
      <c r="HK259" s="155"/>
      <c r="HL259" s="155"/>
      <c r="HM259" s="155"/>
      <c r="HN259" s="155"/>
      <c r="HO259" s="155"/>
      <c r="HP259" s="155"/>
      <c r="HQ259" s="155"/>
      <c r="HR259" s="155"/>
      <c r="HS259" s="155"/>
      <c r="HT259" s="155"/>
      <c r="HU259" s="155"/>
      <c r="HV259" s="155"/>
      <c r="HW259" s="155"/>
      <c r="HX259" s="155"/>
      <c r="HY259" s="155"/>
      <c r="HZ259" s="155"/>
      <c r="IA259" s="155"/>
      <c r="IB259" s="155"/>
      <c r="IC259" s="155"/>
      <c r="ID259" s="155"/>
      <c r="IE259" s="155"/>
      <c r="IF259" s="155"/>
      <c r="IG259" s="155"/>
      <c r="IH259" s="155"/>
      <c r="II259" s="155"/>
      <c r="IJ259" s="155"/>
      <c r="IK259" s="155"/>
      <c r="IL259" s="155"/>
      <c r="IM259" s="155"/>
      <c r="IN259" s="155"/>
      <c r="IO259" s="155"/>
      <c r="IP259" s="155"/>
      <c r="IQ259" s="155"/>
      <c r="IR259" s="155"/>
      <c r="IS259" s="155"/>
      <c r="IT259" s="155"/>
    </row>
    <row r="260" spans="1:254" s="157" customFormat="1" ht="12.75">
      <c r="A260" s="556" t="s">
        <v>279</v>
      </c>
      <c r="B260" s="154">
        <f>0</f>
        <v>0</v>
      </c>
      <c r="C260" s="154">
        <f>B258*$B$257</f>
        <v>0</v>
      </c>
      <c r="D260" s="154">
        <f aca="true" t="shared" si="90" ref="D260:AG260">C258*$B$257</f>
        <v>0</v>
      </c>
      <c r="E260" s="154">
        <f t="shared" si="90"/>
        <v>0</v>
      </c>
      <c r="F260" s="635">
        <f t="shared" si="90"/>
        <v>0</v>
      </c>
      <c r="G260" s="154">
        <f t="shared" si="90"/>
        <v>0</v>
      </c>
      <c r="H260" s="154">
        <f t="shared" si="90"/>
        <v>0</v>
      </c>
      <c r="I260" s="154">
        <f t="shared" si="90"/>
        <v>0</v>
      </c>
      <c r="J260" s="154">
        <f t="shared" si="90"/>
        <v>0</v>
      </c>
      <c r="K260" s="154">
        <f t="shared" si="90"/>
        <v>0</v>
      </c>
      <c r="L260" s="154">
        <f t="shared" si="90"/>
        <v>0</v>
      </c>
      <c r="M260" s="154">
        <f t="shared" si="90"/>
        <v>0</v>
      </c>
      <c r="N260" s="154">
        <f t="shared" si="90"/>
        <v>0</v>
      </c>
      <c r="O260" s="154">
        <f t="shared" si="90"/>
        <v>0</v>
      </c>
      <c r="P260" s="154">
        <f t="shared" si="90"/>
        <v>0</v>
      </c>
      <c r="Q260" s="154">
        <f t="shared" si="90"/>
        <v>0</v>
      </c>
      <c r="R260" s="154">
        <f t="shared" si="90"/>
        <v>0</v>
      </c>
      <c r="S260" s="154">
        <f t="shared" si="90"/>
        <v>0</v>
      </c>
      <c r="T260" s="154">
        <f t="shared" si="90"/>
        <v>0</v>
      </c>
      <c r="U260" s="154">
        <f t="shared" si="90"/>
        <v>0</v>
      </c>
      <c r="V260" s="154">
        <f t="shared" si="90"/>
        <v>0</v>
      </c>
      <c r="W260" s="154">
        <f t="shared" si="90"/>
        <v>0</v>
      </c>
      <c r="X260" s="154">
        <f t="shared" si="90"/>
        <v>0</v>
      </c>
      <c r="Y260" s="154">
        <f t="shared" si="90"/>
        <v>0</v>
      </c>
      <c r="Z260" s="154">
        <f t="shared" si="90"/>
        <v>0</v>
      </c>
      <c r="AA260" s="154">
        <f t="shared" si="90"/>
        <v>0</v>
      </c>
      <c r="AB260" s="154">
        <f t="shared" si="90"/>
        <v>0</v>
      </c>
      <c r="AC260" s="154">
        <f t="shared" si="90"/>
        <v>0</v>
      </c>
      <c r="AD260" s="154">
        <f t="shared" si="90"/>
        <v>0</v>
      </c>
      <c r="AE260" s="154">
        <f t="shared" si="90"/>
        <v>0</v>
      </c>
      <c r="AF260" s="154">
        <f t="shared" si="90"/>
        <v>0</v>
      </c>
      <c r="AG260" s="154">
        <f t="shared" si="90"/>
        <v>0</v>
      </c>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c r="BB260" s="155"/>
      <c r="BC260" s="155"/>
      <c r="BD260" s="155"/>
      <c r="BE260" s="155"/>
      <c r="BF260" s="155"/>
      <c r="BG260" s="155"/>
      <c r="BH260" s="155"/>
      <c r="BI260" s="155"/>
      <c r="BJ260" s="155"/>
      <c r="BK260" s="15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c r="CP260" s="155"/>
      <c r="CQ260" s="155"/>
      <c r="CR260" s="155"/>
      <c r="CS260" s="155"/>
      <c r="CT260" s="155"/>
      <c r="CU260" s="155"/>
      <c r="CV260" s="155"/>
      <c r="CW260" s="155"/>
      <c r="CX260" s="155"/>
      <c r="CY260" s="155"/>
      <c r="CZ260" s="155"/>
      <c r="DA260" s="155"/>
      <c r="DB260" s="155"/>
      <c r="DC260" s="155"/>
      <c r="DD260" s="155"/>
      <c r="DE260" s="155"/>
      <c r="DF260" s="155"/>
      <c r="DG260" s="155"/>
      <c r="DH260" s="155"/>
      <c r="DI260" s="155"/>
      <c r="DJ260" s="155"/>
      <c r="DK260" s="155"/>
      <c r="DL260" s="155"/>
      <c r="DM260" s="155"/>
      <c r="DN260" s="155"/>
      <c r="DO260" s="155"/>
      <c r="DP260" s="155"/>
      <c r="DQ260" s="155"/>
      <c r="DR260" s="155"/>
      <c r="DS260" s="155"/>
      <c r="DT260" s="155"/>
      <c r="DU260" s="155"/>
      <c r="DV260" s="155"/>
      <c r="DW260" s="155"/>
      <c r="DX260" s="155"/>
      <c r="DY260" s="155"/>
      <c r="DZ260" s="155"/>
      <c r="EA260" s="155"/>
      <c r="EB260" s="155"/>
      <c r="EC260" s="155"/>
      <c r="ED260" s="155"/>
      <c r="EE260" s="155"/>
      <c r="EF260" s="155"/>
      <c r="EG260" s="155"/>
      <c r="EH260" s="155"/>
      <c r="EI260" s="155"/>
      <c r="EJ260" s="155"/>
      <c r="EK260" s="155"/>
      <c r="EL260" s="155"/>
      <c r="EM260" s="155"/>
      <c r="EN260" s="155"/>
      <c r="EO260" s="155"/>
      <c r="EP260" s="155"/>
      <c r="EQ260" s="155"/>
      <c r="ER260" s="155"/>
      <c r="ES260" s="155"/>
      <c r="ET260" s="155"/>
      <c r="EU260" s="155"/>
      <c r="EV260" s="155"/>
      <c r="EW260" s="155"/>
      <c r="EX260" s="155"/>
      <c r="EY260" s="155"/>
      <c r="EZ260" s="155"/>
      <c r="FA260" s="155"/>
      <c r="FB260" s="155"/>
      <c r="FC260" s="155"/>
      <c r="FD260" s="155"/>
      <c r="FE260" s="155"/>
      <c r="FF260" s="155"/>
      <c r="FG260" s="155"/>
      <c r="FH260" s="155"/>
      <c r="FI260" s="155"/>
      <c r="FJ260" s="155"/>
      <c r="FK260" s="155"/>
      <c r="FL260" s="155"/>
      <c r="FM260" s="155"/>
      <c r="FN260" s="155"/>
      <c r="FO260" s="155"/>
      <c r="FP260" s="155"/>
      <c r="FQ260" s="155"/>
      <c r="FR260" s="155"/>
      <c r="FS260" s="155"/>
      <c r="FT260" s="155"/>
      <c r="FU260" s="155"/>
      <c r="FV260" s="155"/>
      <c r="FW260" s="155"/>
      <c r="FX260" s="155"/>
      <c r="FY260" s="155"/>
      <c r="FZ260" s="155"/>
      <c r="GA260" s="155"/>
      <c r="GB260" s="155"/>
      <c r="GC260" s="155"/>
      <c r="GD260" s="155"/>
      <c r="GE260" s="155"/>
      <c r="GF260" s="155"/>
      <c r="GG260" s="155"/>
      <c r="GH260" s="155"/>
      <c r="GI260" s="155"/>
      <c r="GJ260" s="155"/>
      <c r="GK260" s="155"/>
      <c r="GL260" s="155"/>
      <c r="GM260" s="155"/>
      <c r="GN260" s="155"/>
      <c r="GO260" s="155"/>
      <c r="GP260" s="155"/>
      <c r="GQ260" s="155"/>
      <c r="GR260" s="155"/>
      <c r="GS260" s="155"/>
      <c r="GT260" s="155"/>
      <c r="GU260" s="155"/>
      <c r="GV260" s="155"/>
      <c r="GW260" s="155"/>
      <c r="GX260" s="155"/>
      <c r="GY260" s="155"/>
      <c r="GZ260" s="155"/>
      <c r="HA260" s="155"/>
      <c r="HB260" s="155"/>
      <c r="HC260" s="155"/>
      <c r="HD260" s="155"/>
      <c r="HE260" s="155"/>
      <c r="HF260" s="155"/>
      <c r="HG260" s="155"/>
      <c r="HH260" s="155"/>
      <c r="HI260" s="155"/>
      <c r="HJ260" s="155"/>
      <c r="HK260" s="155"/>
      <c r="HL260" s="155"/>
      <c r="HM260" s="155"/>
      <c r="HN260" s="155"/>
      <c r="HO260" s="155"/>
      <c r="HP260" s="155"/>
      <c r="HQ260" s="155"/>
      <c r="HR260" s="155"/>
      <c r="HS260" s="155"/>
      <c r="HT260" s="155"/>
      <c r="HU260" s="155"/>
      <c r="HV260" s="155"/>
      <c r="HW260" s="155"/>
      <c r="HX260" s="155"/>
      <c r="HY260" s="155"/>
      <c r="HZ260" s="155"/>
      <c r="IA260" s="155"/>
      <c r="IB260" s="155"/>
      <c r="IC260" s="155"/>
      <c r="ID260" s="155"/>
      <c r="IE260" s="155"/>
      <c r="IF260" s="155"/>
      <c r="IG260" s="155"/>
      <c r="IH260" s="155"/>
      <c r="II260" s="155"/>
      <c r="IJ260" s="155"/>
      <c r="IK260" s="155"/>
      <c r="IL260" s="155"/>
      <c r="IM260" s="155"/>
      <c r="IN260" s="155"/>
      <c r="IO260" s="155"/>
      <c r="IP260" s="155"/>
      <c r="IQ260" s="155"/>
      <c r="IR260" s="155"/>
      <c r="IS260" s="155"/>
      <c r="IT260" s="155"/>
    </row>
    <row r="261" spans="1:254" s="157" customFormat="1" ht="12.75">
      <c r="A261" s="556" t="s">
        <v>280</v>
      </c>
      <c r="B261" s="154">
        <v>0</v>
      </c>
      <c r="C261" s="154">
        <v>0</v>
      </c>
      <c r="D261" s="154">
        <v>0</v>
      </c>
      <c r="E261" s="154">
        <v>0</v>
      </c>
      <c r="F261" s="635">
        <f>IF(COUNT($E$261:E261)&gt;'Datu ievade'!$B$86,0,$E$262/'Datu ievade'!$B$86)</f>
        <v>0</v>
      </c>
      <c r="G261" s="154">
        <f>IF(COUNT($E$261:F261)&gt;'Datu ievade'!$B$86,0,$E$262/'Datu ievade'!$B$86)</f>
        <v>0</v>
      </c>
      <c r="H261" s="154">
        <f>IF(COUNT($E$261:G261)&gt;'Datu ievade'!$B$86,0,$E$262/'Datu ievade'!$B$86)</f>
        <v>0</v>
      </c>
      <c r="I261" s="154">
        <f>IF(COUNT($E$261:H261)&gt;'Datu ievade'!$B$86,0,$E$262/'Datu ievade'!$B$86)</f>
        <v>0</v>
      </c>
      <c r="J261" s="154">
        <f>IF(COUNT($E$261:I261)&gt;'Datu ievade'!$B$86,0,$E$262/'Datu ievade'!$B$86)</f>
        <v>0</v>
      </c>
      <c r="K261" s="154">
        <f>IF(COUNT($E$261:J261)&gt;'Datu ievade'!$B$86,0,$E$262/'Datu ievade'!$B$86)</f>
        <v>0</v>
      </c>
      <c r="L261" s="154">
        <f>IF(COUNT($E$261:K261)&gt;'Datu ievade'!$B$86,0,$E$262/'Datu ievade'!$B$86)</f>
        <v>0</v>
      </c>
      <c r="M261" s="154">
        <f>IF(COUNT($E$261:L261)&gt;'Datu ievade'!$B$86,0,$E$262/'Datu ievade'!$B$86)</f>
        <v>0</v>
      </c>
      <c r="N261" s="154">
        <f>IF(COUNT($E$261:M261)&gt;'Datu ievade'!$B$86,0,$E$262/'Datu ievade'!$B$86)</f>
        <v>0</v>
      </c>
      <c r="O261" s="154">
        <f>IF(COUNT($E$261:N261)&gt;'Datu ievade'!$B$86,0,$E$262/'Datu ievade'!$B$86)</f>
        <v>0</v>
      </c>
      <c r="P261" s="154">
        <f>IF(COUNT($E$261:O261)&gt;'Datu ievade'!$B$86,0,$E$262/'Datu ievade'!$B$86)</f>
        <v>0</v>
      </c>
      <c r="Q261" s="154">
        <f>IF(COUNT($E$261:P261)&gt;'Datu ievade'!$B$86,0,$E$262/'Datu ievade'!$B$86)</f>
        <v>0</v>
      </c>
      <c r="R261" s="154">
        <f>IF(COUNT($E$261:Q261)&gt;'Datu ievade'!$B$86,0,$E$262/'Datu ievade'!$B$86)</f>
        <v>0</v>
      </c>
      <c r="S261" s="154">
        <f>IF(COUNT($E$261:R261)&gt;'Datu ievade'!$B$86,0,$E$262/'Datu ievade'!$B$86)</f>
        <v>0</v>
      </c>
      <c r="T261" s="154">
        <f>IF(COUNT($E$261:S261)&gt;'Datu ievade'!$B$86,0,$E$262/'Datu ievade'!$B$86)</f>
        <v>0</v>
      </c>
      <c r="U261" s="154">
        <f>IF(COUNT($E$261:T261)&gt;'Datu ievade'!$B$86,0,$E$262/'Datu ievade'!$B$86)</f>
        <v>0</v>
      </c>
      <c r="V261" s="154">
        <f>IF(COUNT($E$261:U261)&gt;'Datu ievade'!$B$86,0,$E$262/'Datu ievade'!$B$86)</f>
        <v>0</v>
      </c>
      <c r="W261" s="154">
        <f>IF(COUNT($E$261:V261)&gt;'Datu ievade'!$B$86,0,$E$262/'Datu ievade'!$B$86)</f>
        <v>0</v>
      </c>
      <c r="X261" s="154">
        <f>IF(COUNT($E$261:W261)&gt;'Datu ievade'!$B$86,0,$E$262/'Datu ievade'!$B$86)</f>
        <v>0</v>
      </c>
      <c r="Y261" s="154">
        <f>IF(COUNT($E$261:X261)&gt;'Datu ievade'!$B$86,0,$E$262/'Datu ievade'!$B$86)</f>
        <v>0</v>
      </c>
      <c r="Z261" s="154">
        <f>IF(COUNT($E$261:Y261)&gt;'Datu ievade'!$B$86,0,$E$262/'Datu ievade'!$B$86)</f>
        <v>0</v>
      </c>
      <c r="AA261" s="154">
        <f>IF(COUNT($E$261:Z261)&gt;'Datu ievade'!$B$86,0,$E$262/'Datu ievade'!$B$86)</f>
        <v>0</v>
      </c>
      <c r="AB261" s="154">
        <f>IF(COUNT($E$261:AA261)&gt;'Datu ievade'!$B$86,0,$E$262/'Datu ievade'!$B$86)</f>
        <v>0</v>
      </c>
      <c r="AC261" s="154">
        <f>IF(COUNT($E$261:AB261)&gt;'Datu ievade'!$B$86,0,$E$262/'Datu ievade'!$B$86)</f>
        <v>0</v>
      </c>
      <c r="AD261" s="154">
        <f>IF(COUNT($E$261:AC261)&gt;'Datu ievade'!$B$86,0,$E$262/'Datu ievade'!$B$86)</f>
        <v>0</v>
      </c>
      <c r="AE261" s="154">
        <f>IF(COUNT($E$261:AD261)&gt;'Datu ievade'!$B$86,0,$E$262/'Datu ievade'!$B$86)</f>
        <v>0</v>
      </c>
      <c r="AF261" s="154">
        <f>IF(COUNT($E$261:AE261)&gt;'Datu ievade'!$B$86,0,$E$262/'Datu ievade'!$B$86)</f>
        <v>0</v>
      </c>
      <c r="AG261" s="154">
        <f>IF(COUNT($E$261:AF261)&gt;'Datu ievade'!$B$86,0,$E$262/'Datu ievade'!$B$86)</f>
        <v>0</v>
      </c>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c r="BB261" s="155"/>
      <c r="BC261" s="155"/>
      <c r="BD261" s="155"/>
      <c r="BE261" s="155"/>
      <c r="BF261" s="155"/>
      <c r="BG261" s="155"/>
      <c r="BH261" s="155"/>
      <c r="BI261" s="155"/>
      <c r="BJ261" s="155"/>
      <c r="BK261" s="15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c r="CP261" s="155"/>
      <c r="CQ261" s="155"/>
      <c r="CR261" s="155"/>
      <c r="CS261" s="155"/>
      <c r="CT261" s="155"/>
      <c r="CU261" s="155"/>
      <c r="CV261" s="155"/>
      <c r="CW261" s="155"/>
      <c r="CX261" s="155"/>
      <c r="CY261" s="155"/>
      <c r="CZ261" s="155"/>
      <c r="DA261" s="155"/>
      <c r="DB261" s="155"/>
      <c r="DC261" s="155"/>
      <c r="DD261" s="155"/>
      <c r="DE261" s="155"/>
      <c r="DF261" s="155"/>
      <c r="DG261" s="155"/>
      <c r="DH261" s="155"/>
      <c r="DI261" s="155"/>
      <c r="DJ261" s="155"/>
      <c r="DK261" s="155"/>
      <c r="DL261" s="155"/>
      <c r="DM261" s="155"/>
      <c r="DN261" s="155"/>
      <c r="DO261" s="155"/>
      <c r="DP261" s="155"/>
      <c r="DQ261" s="155"/>
      <c r="DR261" s="155"/>
      <c r="DS261" s="155"/>
      <c r="DT261" s="155"/>
      <c r="DU261" s="155"/>
      <c r="DV261" s="155"/>
      <c r="DW261" s="155"/>
      <c r="DX261" s="155"/>
      <c r="DY261" s="155"/>
      <c r="DZ261" s="155"/>
      <c r="EA261" s="155"/>
      <c r="EB261" s="155"/>
      <c r="EC261" s="155"/>
      <c r="ED261" s="155"/>
      <c r="EE261" s="155"/>
      <c r="EF261" s="155"/>
      <c r="EG261" s="155"/>
      <c r="EH261" s="155"/>
      <c r="EI261" s="155"/>
      <c r="EJ261" s="155"/>
      <c r="EK261" s="155"/>
      <c r="EL261" s="155"/>
      <c r="EM261" s="155"/>
      <c r="EN261" s="155"/>
      <c r="EO261" s="155"/>
      <c r="EP261" s="155"/>
      <c r="EQ261" s="155"/>
      <c r="ER261" s="155"/>
      <c r="ES261" s="155"/>
      <c r="ET261" s="155"/>
      <c r="EU261" s="155"/>
      <c r="EV261" s="155"/>
      <c r="EW261" s="155"/>
      <c r="EX261" s="155"/>
      <c r="EY261" s="155"/>
      <c r="EZ261" s="155"/>
      <c r="FA261" s="155"/>
      <c r="FB261" s="155"/>
      <c r="FC261" s="155"/>
      <c r="FD261" s="155"/>
      <c r="FE261" s="155"/>
      <c r="FF261" s="155"/>
      <c r="FG261" s="155"/>
      <c r="FH261" s="155"/>
      <c r="FI261" s="155"/>
      <c r="FJ261" s="155"/>
      <c r="FK261" s="155"/>
      <c r="FL261" s="155"/>
      <c r="FM261" s="155"/>
      <c r="FN261" s="155"/>
      <c r="FO261" s="155"/>
      <c r="FP261" s="155"/>
      <c r="FQ261" s="155"/>
      <c r="FR261" s="155"/>
      <c r="FS261" s="155"/>
      <c r="FT261" s="155"/>
      <c r="FU261" s="155"/>
      <c r="FV261" s="155"/>
      <c r="FW261" s="155"/>
      <c r="FX261" s="155"/>
      <c r="FY261" s="155"/>
      <c r="FZ261" s="155"/>
      <c r="GA261" s="155"/>
      <c r="GB261" s="155"/>
      <c r="GC261" s="155"/>
      <c r="GD261" s="155"/>
      <c r="GE261" s="155"/>
      <c r="GF261" s="155"/>
      <c r="GG261" s="155"/>
      <c r="GH261" s="155"/>
      <c r="GI261" s="155"/>
      <c r="GJ261" s="155"/>
      <c r="GK261" s="155"/>
      <c r="GL261" s="155"/>
      <c r="GM261" s="155"/>
      <c r="GN261" s="155"/>
      <c r="GO261" s="155"/>
      <c r="GP261" s="155"/>
      <c r="GQ261" s="155"/>
      <c r="GR261" s="155"/>
      <c r="GS261" s="155"/>
      <c r="GT261" s="155"/>
      <c r="GU261" s="155"/>
      <c r="GV261" s="155"/>
      <c r="GW261" s="155"/>
      <c r="GX261" s="155"/>
      <c r="GY261" s="155"/>
      <c r="GZ261" s="155"/>
      <c r="HA261" s="155"/>
      <c r="HB261" s="155"/>
      <c r="HC261" s="155"/>
      <c r="HD261" s="155"/>
      <c r="HE261" s="155"/>
      <c r="HF261" s="155"/>
      <c r="HG261" s="155"/>
      <c r="HH261" s="155"/>
      <c r="HI261" s="155"/>
      <c r="HJ261" s="155"/>
      <c r="HK261" s="155"/>
      <c r="HL261" s="155"/>
      <c r="HM261" s="155"/>
      <c r="HN261" s="155"/>
      <c r="HO261" s="155"/>
      <c r="HP261" s="155"/>
      <c r="HQ261" s="155"/>
      <c r="HR261" s="155"/>
      <c r="HS261" s="155"/>
      <c r="HT261" s="155"/>
      <c r="HU261" s="155"/>
      <c r="HV261" s="155"/>
      <c r="HW261" s="155"/>
      <c r="HX261" s="155"/>
      <c r="HY261" s="155"/>
      <c r="HZ261" s="155"/>
      <c r="IA261" s="155"/>
      <c r="IB261" s="155"/>
      <c r="IC261" s="155"/>
      <c r="ID261" s="155"/>
      <c r="IE261" s="155"/>
      <c r="IF261" s="155"/>
      <c r="IG261" s="155"/>
      <c r="IH261" s="155"/>
      <c r="II261" s="155"/>
      <c r="IJ261" s="155"/>
      <c r="IK261" s="155"/>
      <c r="IL261" s="155"/>
      <c r="IM261" s="155"/>
      <c r="IN261" s="155"/>
      <c r="IO261" s="155"/>
      <c r="IP261" s="155"/>
      <c r="IQ261" s="155"/>
      <c r="IR261" s="155"/>
      <c r="IS261" s="155"/>
      <c r="IT261" s="155"/>
    </row>
    <row r="262" spans="1:254" s="157" customFormat="1" ht="12.75">
      <c r="A262" s="567" t="s">
        <v>296</v>
      </c>
      <c r="B262" s="118">
        <f>B258</f>
        <v>0</v>
      </c>
      <c r="C262" s="118">
        <f aca="true" t="shared" si="91" ref="C262:AG262">(B262+C258)-C261</f>
        <v>0</v>
      </c>
      <c r="D262" s="118">
        <f t="shared" si="91"/>
        <v>0</v>
      </c>
      <c r="E262" s="118">
        <f t="shared" si="91"/>
        <v>0</v>
      </c>
      <c r="F262" s="636">
        <f t="shared" si="91"/>
        <v>0</v>
      </c>
      <c r="G262" s="118">
        <f t="shared" si="91"/>
        <v>0</v>
      </c>
      <c r="H262" s="118">
        <f t="shared" si="91"/>
        <v>0</v>
      </c>
      <c r="I262" s="118">
        <f t="shared" si="91"/>
        <v>0</v>
      </c>
      <c r="J262" s="118">
        <f t="shared" si="91"/>
        <v>0</v>
      </c>
      <c r="K262" s="118">
        <f t="shared" si="91"/>
        <v>0</v>
      </c>
      <c r="L262" s="118">
        <f t="shared" si="91"/>
        <v>0</v>
      </c>
      <c r="M262" s="118">
        <f t="shared" si="91"/>
        <v>0</v>
      </c>
      <c r="N262" s="118">
        <f t="shared" si="91"/>
        <v>0</v>
      </c>
      <c r="O262" s="118">
        <f t="shared" si="91"/>
        <v>0</v>
      </c>
      <c r="P262" s="118">
        <f t="shared" si="91"/>
        <v>0</v>
      </c>
      <c r="Q262" s="118">
        <f t="shared" si="91"/>
        <v>0</v>
      </c>
      <c r="R262" s="118">
        <f t="shared" si="91"/>
        <v>0</v>
      </c>
      <c r="S262" s="118">
        <f t="shared" si="91"/>
        <v>0</v>
      </c>
      <c r="T262" s="118">
        <f t="shared" si="91"/>
        <v>0</v>
      </c>
      <c r="U262" s="118">
        <f t="shared" si="91"/>
        <v>0</v>
      </c>
      <c r="V262" s="118">
        <f t="shared" si="91"/>
        <v>0</v>
      </c>
      <c r="W262" s="118">
        <f t="shared" si="91"/>
        <v>0</v>
      </c>
      <c r="X262" s="118">
        <f t="shared" si="91"/>
        <v>0</v>
      </c>
      <c r="Y262" s="118">
        <f t="shared" si="91"/>
        <v>0</v>
      </c>
      <c r="Z262" s="118">
        <f t="shared" si="91"/>
        <v>0</v>
      </c>
      <c r="AA262" s="118">
        <f t="shared" si="91"/>
        <v>0</v>
      </c>
      <c r="AB262" s="118">
        <f t="shared" si="91"/>
        <v>0</v>
      </c>
      <c r="AC262" s="118">
        <f t="shared" si="91"/>
        <v>0</v>
      </c>
      <c r="AD262" s="118">
        <f t="shared" si="91"/>
        <v>0</v>
      </c>
      <c r="AE262" s="118">
        <f t="shared" si="91"/>
        <v>0</v>
      </c>
      <c r="AF262" s="118">
        <f t="shared" si="91"/>
        <v>0</v>
      </c>
      <c r="AG262" s="118">
        <f t="shared" si="91"/>
        <v>0</v>
      </c>
      <c r="AH262" s="155"/>
      <c r="AI262" s="155"/>
      <c r="AJ262" s="155"/>
      <c r="AK262" s="155"/>
      <c r="AL262" s="155"/>
      <c r="AM262" s="155"/>
      <c r="AN262" s="155"/>
      <c r="AO262" s="155"/>
      <c r="AP262" s="155"/>
      <c r="AQ262" s="155"/>
      <c r="AR262" s="155"/>
      <c r="AS262" s="155"/>
      <c r="AT262" s="155"/>
      <c r="AU262" s="155"/>
      <c r="AV262" s="155"/>
      <c r="AW262" s="155"/>
      <c r="AX262" s="155"/>
      <c r="AY262" s="155"/>
      <c r="AZ262" s="155"/>
      <c r="BA262" s="155"/>
      <c r="BB262" s="155"/>
      <c r="BC262" s="155"/>
      <c r="BD262" s="155"/>
      <c r="BE262" s="155"/>
      <c r="BF262" s="155"/>
      <c r="BG262" s="155"/>
      <c r="BH262" s="155"/>
      <c r="BI262" s="155"/>
      <c r="BJ262" s="155"/>
      <c r="BK262" s="155"/>
      <c r="BL262" s="155"/>
      <c r="BM262" s="155"/>
      <c r="BN262" s="155"/>
      <c r="BO262" s="155"/>
      <c r="BP262" s="155"/>
      <c r="BQ262" s="155"/>
      <c r="BR262" s="155"/>
      <c r="BS262" s="155"/>
      <c r="BT262" s="155"/>
      <c r="BU262" s="155"/>
      <c r="BV262" s="155"/>
      <c r="BW262" s="155"/>
      <c r="BX262" s="155"/>
      <c r="BY262" s="155"/>
      <c r="BZ262" s="155"/>
      <c r="CA262" s="155"/>
      <c r="CB262" s="155"/>
      <c r="CC262" s="155"/>
      <c r="CD262" s="155"/>
      <c r="CE262" s="155"/>
      <c r="CF262" s="155"/>
      <c r="CG262" s="155"/>
      <c r="CH262" s="155"/>
      <c r="CI262" s="155"/>
      <c r="CJ262" s="155"/>
      <c r="CK262" s="155"/>
      <c r="CL262" s="155"/>
      <c r="CM262" s="155"/>
      <c r="CN262" s="155"/>
      <c r="CO262" s="155"/>
      <c r="CP262" s="155"/>
      <c r="CQ262" s="155"/>
      <c r="CR262" s="155"/>
      <c r="CS262" s="155"/>
      <c r="CT262" s="155"/>
      <c r="CU262" s="155"/>
      <c r="CV262" s="155"/>
      <c r="CW262" s="155"/>
      <c r="CX262" s="155"/>
      <c r="CY262" s="155"/>
      <c r="CZ262" s="155"/>
      <c r="DA262" s="155"/>
      <c r="DB262" s="155"/>
      <c r="DC262" s="155"/>
      <c r="DD262" s="155"/>
      <c r="DE262" s="155"/>
      <c r="DF262" s="155"/>
      <c r="DG262" s="155"/>
      <c r="DH262" s="155"/>
      <c r="DI262" s="155"/>
      <c r="DJ262" s="155"/>
      <c r="DK262" s="155"/>
      <c r="DL262" s="155"/>
      <c r="DM262" s="155"/>
      <c r="DN262" s="155"/>
      <c r="DO262" s="155"/>
      <c r="DP262" s="155"/>
      <c r="DQ262" s="155"/>
      <c r="DR262" s="155"/>
      <c r="DS262" s="155"/>
      <c r="DT262" s="155"/>
      <c r="DU262" s="155"/>
      <c r="DV262" s="155"/>
      <c r="DW262" s="155"/>
      <c r="DX262" s="155"/>
      <c r="DY262" s="155"/>
      <c r="DZ262" s="155"/>
      <c r="EA262" s="155"/>
      <c r="EB262" s="155"/>
      <c r="EC262" s="155"/>
      <c r="ED262" s="155"/>
      <c r="EE262" s="155"/>
      <c r="EF262" s="155"/>
      <c r="EG262" s="155"/>
      <c r="EH262" s="155"/>
      <c r="EI262" s="155"/>
      <c r="EJ262" s="155"/>
      <c r="EK262" s="155"/>
      <c r="EL262" s="155"/>
      <c r="EM262" s="155"/>
      <c r="EN262" s="155"/>
      <c r="EO262" s="155"/>
      <c r="EP262" s="155"/>
      <c r="EQ262" s="155"/>
      <c r="ER262" s="155"/>
      <c r="ES262" s="155"/>
      <c r="ET262" s="155"/>
      <c r="EU262" s="155"/>
      <c r="EV262" s="155"/>
      <c r="EW262" s="155"/>
      <c r="EX262" s="155"/>
      <c r="EY262" s="155"/>
      <c r="EZ262" s="155"/>
      <c r="FA262" s="155"/>
      <c r="FB262" s="155"/>
      <c r="FC262" s="155"/>
      <c r="FD262" s="155"/>
      <c r="FE262" s="155"/>
      <c r="FF262" s="155"/>
      <c r="FG262" s="155"/>
      <c r="FH262" s="155"/>
      <c r="FI262" s="155"/>
      <c r="FJ262" s="155"/>
      <c r="FK262" s="155"/>
      <c r="FL262" s="155"/>
      <c r="FM262" s="155"/>
      <c r="FN262" s="155"/>
      <c r="FO262" s="155"/>
      <c r="FP262" s="155"/>
      <c r="FQ262" s="155"/>
      <c r="FR262" s="155"/>
      <c r="FS262" s="155"/>
      <c r="FT262" s="155"/>
      <c r="FU262" s="155"/>
      <c r="FV262" s="155"/>
      <c r="FW262" s="155"/>
      <c r="FX262" s="155"/>
      <c r="FY262" s="155"/>
      <c r="FZ262" s="155"/>
      <c r="GA262" s="155"/>
      <c r="GB262" s="155"/>
      <c r="GC262" s="155"/>
      <c r="GD262" s="155"/>
      <c r="GE262" s="155"/>
      <c r="GF262" s="155"/>
      <c r="GG262" s="155"/>
      <c r="GH262" s="155"/>
      <c r="GI262" s="155"/>
      <c r="GJ262" s="155"/>
      <c r="GK262" s="155"/>
      <c r="GL262" s="155"/>
      <c r="GM262" s="155"/>
      <c r="GN262" s="155"/>
      <c r="GO262" s="155"/>
      <c r="GP262" s="155"/>
      <c r="GQ262" s="155"/>
      <c r="GR262" s="155"/>
      <c r="GS262" s="155"/>
      <c r="GT262" s="155"/>
      <c r="GU262" s="155"/>
      <c r="GV262" s="155"/>
      <c r="GW262" s="155"/>
      <c r="GX262" s="155"/>
      <c r="GY262" s="155"/>
      <c r="GZ262" s="155"/>
      <c r="HA262" s="155"/>
      <c r="HB262" s="155"/>
      <c r="HC262" s="155"/>
      <c r="HD262" s="155"/>
      <c r="HE262" s="155"/>
      <c r="HF262" s="155"/>
      <c r="HG262" s="155"/>
      <c r="HH262" s="155"/>
      <c r="HI262" s="155"/>
      <c r="HJ262" s="155"/>
      <c r="HK262" s="155"/>
      <c r="HL262" s="155"/>
      <c r="HM262" s="155"/>
      <c r="HN262" s="155"/>
      <c r="HO262" s="155"/>
      <c r="HP262" s="155"/>
      <c r="HQ262" s="155"/>
      <c r="HR262" s="155"/>
      <c r="HS262" s="155"/>
      <c r="HT262" s="155"/>
      <c r="HU262" s="155"/>
      <c r="HV262" s="155"/>
      <c r="HW262" s="155"/>
      <c r="HX262" s="155"/>
      <c r="HY262" s="155"/>
      <c r="HZ262" s="155"/>
      <c r="IA262" s="155"/>
      <c r="IB262" s="155"/>
      <c r="IC262" s="155"/>
      <c r="ID262" s="155"/>
      <c r="IE262" s="155"/>
      <c r="IF262" s="155"/>
      <c r="IG262" s="155"/>
      <c r="IH262" s="155"/>
      <c r="II262" s="155"/>
      <c r="IJ262" s="155"/>
      <c r="IK262" s="155"/>
      <c r="IL262" s="155"/>
      <c r="IM262" s="155"/>
      <c r="IN262" s="155"/>
      <c r="IO262" s="155"/>
      <c r="IP262" s="155"/>
      <c r="IQ262" s="155"/>
      <c r="IR262" s="155"/>
      <c r="IS262" s="155"/>
      <c r="IT262" s="155"/>
    </row>
    <row r="263" spans="1:254" s="209" customFormat="1" ht="12.75">
      <c r="A263" s="311"/>
      <c r="B263" s="208"/>
      <c r="C263" s="208"/>
      <c r="D263" s="208"/>
      <c r="E263" s="208"/>
      <c r="F263" s="653"/>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c r="BE263" s="208"/>
      <c r="BF263" s="208"/>
      <c r="BG263" s="208"/>
      <c r="BH263" s="208"/>
      <c r="BI263" s="208"/>
      <c r="BJ263" s="208"/>
      <c r="BK263" s="208"/>
      <c r="BL263" s="208"/>
      <c r="BM263" s="208"/>
      <c r="BN263" s="208"/>
      <c r="BO263" s="208"/>
      <c r="BP263" s="208"/>
      <c r="BQ263" s="208"/>
      <c r="BR263" s="208"/>
      <c r="BS263" s="208"/>
      <c r="BT263" s="208"/>
      <c r="BU263" s="208"/>
      <c r="BV263" s="208"/>
      <c r="BW263" s="208"/>
      <c r="BX263" s="208"/>
      <c r="BY263" s="208"/>
      <c r="BZ263" s="208"/>
      <c r="CA263" s="208"/>
      <c r="CB263" s="208"/>
      <c r="CC263" s="208"/>
      <c r="CD263" s="208"/>
      <c r="CE263" s="208"/>
      <c r="CF263" s="208"/>
      <c r="CG263" s="208"/>
      <c r="CH263" s="208"/>
      <c r="CI263" s="208"/>
      <c r="CJ263" s="208"/>
      <c r="CK263" s="208"/>
      <c r="CL263" s="208"/>
      <c r="CM263" s="208"/>
      <c r="CN263" s="208"/>
      <c r="CO263" s="208"/>
      <c r="CP263" s="208"/>
      <c r="CQ263" s="208"/>
      <c r="CR263" s="208"/>
      <c r="CS263" s="208"/>
      <c r="CT263" s="208"/>
      <c r="CU263" s="208"/>
      <c r="CV263" s="208"/>
      <c r="CW263" s="208"/>
      <c r="CX263" s="208"/>
      <c r="CY263" s="208"/>
      <c r="CZ263" s="208"/>
      <c r="DA263" s="208"/>
      <c r="DB263" s="208"/>
      <c r="DC263" s="208"/>
      <c r="DD263" s="208"/>
      <c r="DE263" s="208"/>
      <c r="DF263" s="208"/>
      <c r="DG263" s="208"/>
      <c r="DH263" s="208"/>
      <c r="DI263" s="208"/>
      <c r="DJ263" s="208"/>
      <c r="DK263" s="208"/>
      <c r="DL263" s="208"/>
      <c r="DM263" s="208"/>
      <c r="DN263" s="208"/>
      <c r="DO263" s="208"/>
      <c r="DP263" s="208"/>
      <c r="DQ263" s="208"/>
      <c r="DR263" s="208"/>
      <c r="DS263" s="208"/>
      <c r="DT263" s="208"/>
      <c r="DU263" s="208"/>
      <c r="DV263" s="208"/>
      <c r="DW263" s="208"/>
      <c r="DX263" s="208"/>
      <c r="DY263" s="208"/>
      <c r="DZ263" s="208"/>
      <c r="EA263" s="208"/>
      <c r="EB263" s="208"/>
      <c r="EC263" s="208"/>
      <c r="ED263" s="208"/>
      <c r="EE263" s="208"/>
      <c r="EF263" s="208"/>
      <c r="EG263" s="208"/>
      <c r="EH263" s="208"/>
      <c r="EI263" s="208"/>
      <c r="EJ263" s="208"/>
      <c r="EK263" s="208"/>
      <c r="EL263" s="208"/>
      <c r="EM263" s="208"/>
      <c r="EN263" s="208"/>
      <c r="EO263" s="208"/>
      <c r="EP263" s="208"/>
      <c r="EQ263" s="208"/>
      <c r="ER263" s="208"/>
      <c r="ES263" s="208"/>
      <c r="ET263" s="208"/>
      <c r="EU263" s="208"/>
      <c r="EV263" s="208"/>
      <c r="EW263" s="208"/>
      <c r="EX263" s="208"/>
      <c r="EY263" s="208"/>
      <c r="EZ263" s="208"/>
      <c r="FA263" s="208"/>
      <c r="FB263" s="208"/>
      <c r="FC263" s="208"/>
      <c r="FD263" s="208"/>
      <c r="FE263" s="208"/>
      <c r="FF263" s="208"/>
      <c r="FG263" s="208"/>
      <c r="FH263" s="208"/>
      <c r="FI263" s="208"/>
      <c r="FJ263" s="208"/>
      <c r="FK263" s="208"/>
      <c r="FL263" s="208"/>
      <c r="FM263" s="208"/>
      <c r="FN263" s="208"/>
      <c r="FO263" s="208"/>
      <c r="FP263" s="208"/>
      <c r="FQ263" s="208"/>
      <c r="FR263" s="208"/>
      <c r="FS263" s="208"/>
      <c r="FT263" s="208"/>
      <c r="FU263" s="208"/>
      <c r="FV263" s="208"/>
      <c r="FW263" s="208"/>
      <c r="FX263" s="208"/>
      <c r="FY263" s="208"/>
      <c r="FZ263" s="208"/>
      <c r="GA263" s="208"/>
      <c r="GB263" s="208"/>
      <c r="GC263" s="208"/>
      <c r="GD263" s="208"/>
      <c r="GE263" s="208"/>
      <c r="GF263" s="208"/>
      <c r="GG263" s="208"/>
      <c r="GH263" s="208"/>
      <c r="GI263" s="208"/>
      <c r="GJ263" s="208"/>
      <c r="GK263" s="208"/>
      <c r="GL263" s="208"/>
      <c r="GM263" s="208"/>
      <c r="GN263" s="208"/>
      <c r="GO263" s="208"/>
      <c r="GP263" s="208"/>
      <c r="GQ263" s="208"/>
      <c r="GR263" s="208"/>
      <c r="GS263" s="208"/>
      <c r="GT263" s="208"/>
      <c r="GU263" s="208"/>
      <c r="GV263" s="208"/>
      <c r="GW263" s="208"/>
      <c r="GX263" s="208"/>
      <c r="GY263" s="208"/>
      <c r="GZ263" s="208"/>
      <c r="HA263" s="208"/>
      <c r="HB263" s="208"/>
      <c r="HC263" s="208"/>
      <c r="HD263" s="208"/>
      <c r="HE263" s="208"/>
      <c r="HF263" s="208"/>
      <c r="HG263" s="208"/>
      <c r="HH263" s="208"/>
      <c r="HI263" s="208"/>
      <c r="HJ263" s="208"/>
      <c r="HK263" s="208"/>
      <c r="HL263" s="208"/>
      <c r="HM263" s="208"/>
      <c r="HN263" s="208"/>
      <c r="HO263" s="208"/>
      <c r="HP263" s="208"/>
      <c r="HQ263" s="208"/>
      <c r="HR263" s="208"/>
      <c r="HS263" s="208"/>
      <c r="HT263" s="208"/>
      <c r="HU263" s="208"/>
      <c r="HV263" s="208"/>
      <c r="HW263" s="208"/>
      <c r="HX263" s="208"/>
      <c r="HY263" s="208"/>
      <c r="HZ263" s="208"/>
      <c r="IA263" s="208"/>
      <c r="IB263" s="208"/>
      <c r="IC263" s="208"/>
      <c r="ID263" s="208"/>
      <c r="IE263" s="208"/>
      <c r="IF263" s="208"/>
      <c r="IG263" s="208"/>
      <c r="IH263" s="208"/>
      <c r="II263" s="208"/>
      <c r="IJ263" s="208"/>
      <c r="IK263" s="208"/>
      <c r="IL263" s="208"/>
      <c r="IM263" s="208"/>
      <c r="IN263" s="208"/>
      <c r="IO263" s="208"/>
      <c r="IP263" s="208"/>
      <c r="IQ263" s="208"/>
      <c r="IR263" s="208"/>
      <c r="IS263" s="208"/>
      <c r="IT263" s="208"/>
    </row>
    <row r="264" spans="1:254" s="209" customFormat="1" ht="31.5">
      <c r="A264" s="379" t="s">
        <v>540</v>
      </c>
      <c r="B264" s="208"/>
      <c r="C264" s="208"/>
      <c r="D264" s="208"/>
      <c r="E264" s="208"/>
      <c r="F264" s="653"/>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c r="BE264" s="208"/>
      <c r="BF264" s="208"/>
      <c r="BG264" s="208"/>
      <c r="BH264" s="208"/>
      <c r="BI264" s="208"/>
      <c r="BJ264" s="208"/>
      <c r="BK264" s="208"/>
      <c r="BL264" s="208"/>
      <c r="BM264" s="208"/>
      <c r="BN264" s="208"/>
      <c r="BO264" s="208"/>
      <c r="BP264" s="208"/>
      <c r="BQ264" s="208"/>
      <c r="BR264" s="208"/>
      <c r="BS264" s="208"/>
      <c r="BT264" s="208"/>
      <c r="BU264" s="208"/>
      <c r="BV264" s="208"/>
      <c r="BW264" s="208"/>
      <c r="BX264" s="208"/>
      <c r="BY264" s="208"/>
      <c r="BZ264" s="208"/>
      <c r="CA264" s="208"/>
      <c r="CB264" s="208"/>
      <c r="CC264" s="208"/>
      <c r="CD264" s="208"/>
      <c r="CE264" s="208"/>
      <c r="CF264" s="208"/>
      <c r="CG264" s="208"/>
      <c r="CH264" s="208"/>
      <c r="CI264" s="208"/>
      <c r="CJ264" s="208"/>
      <c r="CK264" s="208"/>
      <c r="CL264" s="208"/>
      <c r="CM264" s="208"/>
      <c r="CN264" s="208"/>
      <c r="CO264" s="208"/>
      <c r="CP264" s="208"/>
      <c r="CQ264" s="208"/>
      <c r="CR264" s="208"/>
      <c r="CS264" s="208"/>
      <c r="CT264" s="208"/>
      <c r="CU264" s="208"/>
      <c r="CV264" s="208"/>
      <c r="CW264" s="208"/>
      <c r="CX264" s="208"/>
      <c r="CY264" s="208"/>
      <c r="CZ264" s="208"/>
      <c r="DA264" s="208"/>
      <c r="DB264" s="208"/>
      <c r="DC264" s="208"/>
      <c r="DD264" s="208"/>
      <c r="DE264" s="208"/>
      <c r="DF264" s="208"/>
      <c r="DG264" s="208"/>
      <c r="DH264" s="208"/>
      <c r="DI264" s="208"/>
      <c r="DJ264" s="208"/>
      <c r="DK264" s="208"/>
      <c r="DL264" s="208"/>
      <c r="DM264" s="208"/>
      <c r="DN264" s="208"/>
      <c r="DO264" s="208"/>
      <c r="DP264" s="208"/>
      <c r="DQ264" s="208"/>
      <c r="DR264" s="208"/>
      <c r="DS264" s="208"/>
      <c r="DT264" s="208"/>
      <c r="DU264" s="208"/>
      <c r="DV264" s="208"/>
      <c r="DW264" s="208"/>
      <c r="DX264" s="208"/>
      <c r="DY264" s="208"/>
      <c r="DZ264" s="208"/>
      <c r="EA264" s="208"/>
      <c r="EB264" s="208"/>
      <c r="EC264" s="208"/>
      <c r="ED264" s="208"/>
      <c r="EE264" s="208"/>
      <c r="EF264" s="208"/>
      <c r="EG264" s="208"/>
      <c r="EH264" s="208"/>
      <c r="EI264" s="208"/>
      <c r="EJ264" s="208"/>
      <c r="EK264" s="208"/>
      <c r="EL264" s="208"/>
      <c r="EM264" s="208"/>
      <c r="EN264" s="208"/>
      <c r="EO264" s="208"/>
      <c r="EP264" s="208"/>
      <c r="EQ264" s="208"/>
      <c r="ER264" s="208"/>
      <c r="ES264" s="208"/>
      <c r="ET264" s="208"/>
      <c r="EU264" s="208"/>
      <c r="EV264" s="208"/>
      <c r="EW264" s="208"/>
      <c r="EX264" s="208"/>
      <c r="EY264" s="208"/>
      <c r="EZ264" s="208"/>
      <c r="FA264" s="208"/>
      <c r="FB264" s="208"/>
      <c r="FC264" s="208"/>
      <c r="FD264" s="208"/>
      <c r="FE264" s="208"/>
      <c r="FF264" s="208"/>
      <c r="FG264" s="208"/>
      <c r="FH264" s="208"/>
      <c r="FI264" s="208"/>
      <c r="FJ264" s="208"/>
      <c r="FK264" s="208"/>
      <c r="FL264" s="208"/>
      <c r="FM264" s="208"/>
      <c r="FN264" s="208"/>
      <c r="FO264" s="208"/>
      <c r="FP264" s="208"/>
      <c r="FQ264" s="208"/>
      <c r="FR264" s="208"/>
      <c r="FS264" s="208"/>
      <c r="FT264" s="208"/>
      <c r="FU264" s="208"/>
      <c r="FV264" s="208"/>
      <c r="FW264" s="208"/>
      <c r="FX264" s="208"/>
      <c r="FY264" s="208"/>
      <c r="FZ264" s="208"/>
      <c r="GA264" s="208"/>
      <c r="GB264" s="208"/>
      <c r="GC264" s="208"/>
      <c r="GD264" s="208"/>
      <c r="GE264" s="208"/>
      <c r="GF264" s="208"/>
      <c r="GG264" s="208"/>
      <c r="GH264" s="208"/>
      <c r="GI264" s="208"/>
      <c r="GJ264" s="208"/>
      <c r="GK264" s="208"/>
      <c r="GL264" s="208"/>
      <c r="GM264" s="208"/>
      <c r="GN264" s="208"/>
      <c r="GO264" s="208"/>
      <c r="GP264" s="208"/>
      <c r="GQ264" s="208"/>
      <c r="GR264" s="208"/>
      <c r="GS264" s="208"/>
      <c r="GT264" s="208"/>
      <c r="GU264" s="208"/>
      <c r="GV264" s="208"/>
      <c r="GW264" s="208"/>
      <c r="GX264" s="208"/>
      <c r="GY264" s="208"/>
      <c r="GZ264" s="208"/>
      <c r="HA264" s="208"/>
      <c r="HB264" s="208"/>
      <c r="HC264" s="208"/>
      <c r="HD264" s="208"/>
      <c r="HE264" s="208"/>
      <c r="HF264" s="208"/>
      <c r="HG264" s="208"/>
      <c r="HH264" s="208"/>
      <c r="HI264" s="208"/>
      <c r="HJ264" s="208"/>
      <c r="HK264" s="208"/>
      <c r="HL264" s="208"/>
      <c r="HM264" s="208"/>
      <c r="HN264" s="208"/>
      <c r="HO264" s="208"/>
      <c r="HP264" s="208"/>
      <c r="HQ264" s="208"/>
      <c r="HR264" s="208"/>
      <c r="HS264" s="208"/>
      <c r="HT264" s="208"/>
      <c r="HU264" s="208"/>
      <c r="HV264" s="208"/>
      <c r="HW264" s="208"/>
      <c r="HX264" s="208"/>
      <c r="HY264" s="208"/>
      <c r="HZ264" s="208"/>
      <c r="IA264" s="208"/>
      <c r="IB264" s="208"/>
      <c r="IC264" s="208"/>
      <c r="ID264" s="208"/>
      <c r="IE264" s="208"/>
      <c r="IF264" s="208"/>
      <c r="IG264" s="208"/>
      <c r="IH264" s="208"/>
      <c r="II264" s="208"/>
      <c r="IJ264" s="208"/>
      <c r="IK264" s="208"/>
      <c r="IL264" s="208"/>
      <c r="IM264" s="208"/>
      <c r="IN264" s="208"/>
      <c r="IO264" s="208"/>
      <c r="IP264" s="208"/>
      <c r="IQ264" s="208"/>
      <c r="IR264" s="208"/>
      <c r="IS264" s="208"/>
      <c r="IT264" s="208"/>
    </row>
    <row r="265" spans="1:254" s="209" customFormat="1" ht="31.5">
      <c r="A265" s="447" t="s">
        <v>396</v>
      </c>
      <c r="B265" s="316"/>
      <c r="C265" s="316"/>
      <c r="D265" s="316"/>
      <c r="E265" s="316"/>
      <c r="F265" s="612"/>
      <c r="G265" s="316"/>
      <c r="H265" s="316"/>
      <c r="I265" s="316"/>
      <c r="J265" s="316"/>
      <c r="K265" s="316"/>
      <c r="L265" s="316"/>
      <c r="M265" s="316"/>
      <c r="N265" s="316"/>
      <c r="O265" s="316"/>
      <c r="P265" s="317"/>
      <c r="Q265" s="317"/>
      <c r="R265" s="317"/>
      <c r="S265" s="317"/>
      <c r="T265" s="317"/>
      <c r="U265" s="317"/>
      <c r="V265" s="317"/>
      <c r="W265" s="317"/>
      <c r="X265" s="317"/>
      <c r="Y265" s="317"/>
      <c r="Z265" s="317"/>
      <c r="AA265" s="317"/>
      <c r="AB265" s="317"/>
      <c r="AC265" s="317"/>
      <c r="AD265" s="317"/>
      <c r="AE265" s="317"/>
      <c r="AF265" s="317"/>
      <c r="AG265" s="317"/>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8"/>
      <c r="BZ265" s="208"/>
      <c r="CA265" s="208"/>
      <c r="CB265" s="208"/>
      <c r="CC265" s="208"/>
      <c r="CD265" s="208"/>
      <c r="CE265" s="208"/>
      <c r="CF265" s="208"/>
      <c r="CG265" s="208"/>
      <c r="CH265" s="208"/>
      <c r="CI265" s="208"/>
      <c r="CJ265" s="208"/>
      <c r="CK265" s="208"/>
      <c r="CL265" s="208"/>
      <c r="CM265" s="208"/>
      <c r="CN265" s="208"/>
      <c r="CO265" s="208"/>
      <c r="CP265" s="208"/>
      <c r="CQ265" s="208"/>
      <c r="CR265" s="208"/>
      <c r="CS265" s="208"/>
      <c r="CT265" s="208"/>
      <c r="CU265" s="208"/>
      <c r="CV265" s="208"/>
      <c r="CW265" s="208"/>
      <c r="CX265" s="208"/>
      <c r="CY265" s="208"/>
      <c r="CZ265" s="208"/>
      <c r="DA265" s="208"/>
      <c r="DB265" s="208"/>
      <c r="DC265" s="208"/>
      <c r="DD265" s="208"/>
      <c r="DE265" s="208"/>
      <c r="DF265" s="208"/>
      <c r="DG265" s="208"/>
      <c r="DH265" s="208"/>
      <c r="DI265" s="208"/>
      <c r="DJ265" s="208"/>
      <c r="DK265" s="208"/>
      <c r="DL265" s="208"/>
      <c r="DM265" s="208"/>
      <c r="DN265" s="208"/>
      <c r="DO265" s="208"/>
      <c r="DP265" s="208"/>
      <c r="DQ265" s="208"/>
      <c r="DR265" s="208"/>
      <c r="DS265" s="208"/>
      <c r="DT265" s="208"/>
      <c r="DU265" s="208"/>
      <c r="DV265" s="208"/>
      <c r="DW265" s="208"/>
      <c r="DX265" s="208"/>
      <c r="DY265" s="208"/>
      <c r="DZ265" s="208"/>
      <c r="EA265" s="208"/>
      <c r="EB265" s="208"/>
      <c r="EC265" s="208"/>
      <c r="ED265" s="208"/>
      <c r="EE265" s="208"/>
      <c r="EF265" s="208"/>
      <c r="EG265" s="208"/>
      <c r="EH265" s="208"/>
      <c r="EI265" s="208"/>
      <c r="EJ265" s="208"/>
      <c r="EK265" s="208"/>
      <c r="EL265" s="208"/>
      <c r="EM265" s="208"/>
      <c r="EN265" s="208"/>
      <c r="EO265" s="208"/>
      <c r="EP265" s="208"/>
      <c r="EQ265" s="208"/>
      <c r="ER265" s="208"/>
      <c r="ES265" s="208"/>
      <c r="ET265" s="208"/>
      <c r="EU265" s="208"/>
      <c r="EV265" s="208"/>
      <c r="EW265" s="208"/>
      <c r="EX265" s="208"/>
      <c r="EY265" s="208"/>
      <c r="EZ265" s="208"/>
      <c r="FA265" s="208"/>
      <c r="FB265" s="208"/>
      <c r="FC265" s="208"/>
      <c r="FD265" s="208"/>
      <c r="FE265" s="208"/>
      <c r="FF265" s="208"/>
      <c r="FG265" s="208"/>
      <c r="FH265" s="208"/>
      <c r="FI265" s="208"/>
      <c r="FJ265" s="208"/>
      <c r="FK265" s="208"/>
      <c r="FL265" s="208"/>
      <c r="FM265" s="208"/>
      <c r="FN265" s="208"/>
      <c r="FO265" s="208"/>
      <c r="FP265" s="208"/>
      <c r="FQ265" s="208"/>
      <c r="FR265" s="208"/>
      <c r="FS265" s="208"/>
      <c r="FT265" s="208"/>
      <c r="FU265" s="208"/>
      <c r="FV265" s="208"/>
      <c r="FW265" s="208"/>
      <c r="FX265" s="208"/>
      <c r="FY265" s="208"/>
      <c r="FZ265" s="208"/>
      <c r="GA265" s="208"/>
      <c r="GB265" s="208"/>
      <c r="GC265" s="208"/>
      <c r="GD265" s="208"/>
      <c r="GE265" s="208"/>
      <c r="GF265" s="208"/>
      <c r="GG265" s="208"/>
      <c r="GH265" s="208"/>
      <c r="GI265" s="208"/>
      <c r="GJ265" s="208"/>
      <c r="GK265" s="208"/>
      <c r="GL265" s="208"/>
      <c r="GM265" s="208"/>
      <c r="GN265" s="208"/>
      <c r="GO265" s="208"/>
      <c r="GP265" s="208"/>
      <c r="GQ265" s="208"/>
      <c r="GR265" s="208"/>
      <c r="GS265" s="208"/>
      <c r="GT265" s="208"/>
      <c r="GU265" s="208"/>
      <c r="GV265" s="208"/>
      <c r="GW265" s="208"/>
      <c r="GX265" s="208"/>
      <c r="GY265" s="208"/>
      <c r="GZ265" s="208"/>
      <c r="HA265" s="208"/>
      <c r="HB265" s="208"/>
      <c r="HC265" s="208"/>
      <c r="HD265" s="208"/>
      <c r="HE265" s="208"/>
      <c r="HF265" s="208"/>
      <c r="HG265" s="208"/>
      <c r="HH265" s="208"/>
      <c r="HI265" s="208"/>
      <c r="HJ265" s="208"/>
      <c r="HK265" s="208"/>
      <c r="HL265" s="208"/>
      <c r="HM265" s="208"/>
      <c r="HN265" s="208"/>
      <c r="HO265" s="208"/>
      <c r="HP265" s="208"/>
      <c r="HQ265" s="208"/>
      <c r="HR265" s="208"/>
      <c r="HS265" s="208"/>
      <c r="HT265" s="208"/>
      <c r="HU265" s="208"/>
      <c r="HV265" s="208"/>
      <c r="HW265" s="208"/>
      <c r="HX265" s="208"/>
      <c r="HY265" s="208"/>
      <c r="HZ265" s="208"/>
      <c r="IA265" s="208"/>
      <c r="IB265" s="208"/>
      <c r="IC265" s="208"/>
      <c r="ID265" s="208"/>
      <c r="IE265" s="208"/>
      <c r="IF265" s="208"/>
      <c r="IG265" s="208"/>
      <c r="IH265" s="208"/>
      <c r="II265" s="208"/>
      <c r="IJ265" s="208"/>
      <c r="IK265" s="208"/>
      <c r="IL265" s="208"/>
      <c r="IM265" s="208"/>
      <c r="IN265" s="208"/>
      <c r="IO265" s="208"/>
      <c r="IP265" s="208"/>
      <c r="IQ265" s="208"/>
      <c r="IR265" s="208"/>
      <c r="IS265" s="208"/>
      <c r="IT265" s="208"/>
    </row>
    <row r="266" spans="1:254" s="209" customFormat="1" ht="12.75">
      <c r="A266" s="347"/>
      <c r="B266" s="308"/>
      <c r="C266" s="308"/>
      <c r="D266" s="308"/>
      <c r="E266" s="308"/>
      <c r="F266" s="631"/>
      <c r="G266" s="308"/>
      <c r="H266" s="308"/>
      <c r="I266" s="308"/>
      <c r="J266" s="308"/>
      <c r="K266" s="308"/>
      <c r="L266" s="308"/>
      <c r="M266" s="308"/>
      <c r="N266" s="308"/>
      <c r="O266" s="308"/>
      <c r="P266" s="349"/>
      <c r="Q266" s="308" t="s">
        <v>25</v>
      </c>
      <c r="R266" s="349"/>
      <c r="S266" s="349"/>
      <c r="T266" s="349"/>
      <c r="U266" s="349"/>
      <c r="V266" s="349"/>
      <c r="W266" s="349"/>
      <c r="X266" s="349"/>
      <c r="Y266" s="349"/>
      <c r="Z266" s="349"/>
      <c r="AA266" s="349"/>
      <c r="AB266" s="349"/>
      <c r="AC266" s="349"/>
      <c r="AD266" s="349"/>
      <c r="AE266" s="349"/>
      <c r="AF266" s="349"/>
      <c r="AG266" s="349"/>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8"/>
      <c r="BQ266" s="208"/>
      <c r="BR266" s="208"/>
      <c r="BS266" s="208"/>
      <c r="BT266" s="208"/>
      <c r="BU266" s="208"/>
      <c r="BV266" s="208"/>
      <c r="BW266" s="208"/>
      <c r="BX266" s="208"/>
      <c r="BY266" s="208"/>
      <c r="BZ266" s="208"/>
      <c r="CA266" s="208"/>
      <c r="CB266" s="208"/>
      <c r="CC266" s="208"/>
      <c r="CD266" s="208"/>
      <c r="CE266" s="208"/>
      <c r="CF266" s="208"/>
      <c r="CG266" s="208"/>
      <c r="CH266" s="208"/>
      <c r="CI266" s="208"/>
      <c r="CJ266" s="208"/>
      <c r="CK266" s="208"/>
      <c r="CL266" s="208"/>
      <c r="CM266" s="208"/>
      <c r="CN266" s="208"/>
      <c r="CO266" s="208"/>
      <c r="CP266" s="208"/>
      <c r="CQ266" s="208"/>
      <c r="CR266" s="208"/>
      <c r="CS266" s="208"/>
      <c r="CT266" s="208"/>
      <c r="CU266" s="208"/>
      <c r="CV266" s="208"/>
      <c r="CW266" s="208"/>
      <c r="CX266" s="208"/>
      <c r="CY266" s="208"/>
      <c r="CZ266" s="208"/>
      <c r="DA266" s="208"/>
      <c r="DB266" s="208"/>
      <c r="DC266" s="208"/>
      <c r="DD266" s="208"/>
      <c r="DE266" s="208"/>
      <c r="DF266" s="208"/>
      <c r="DG266" s="208"/>
      <c r="DH266" s="208"/>
      <c r="DI266" s="208"/>
      <c r="DJ266" s="208"/>
      <c r="DK266" s="208"/>
      <c r="DL266" s="208"/>
      <c r="DM266" s="208"/>
      <c r="DN266" s="208"/>
      <c r="DO266" s="208"/>
      <c r="DP266" s="208"/>
      <c r="DQ266" s="208"/>
      <c r="DR266" s="208"/>
      <c r="DS266" s="208"/>
      <c r="DT266" s="208"/>
      <c r="DU266" s="208"/>
      <c r="DV266" s="208"/>
      <c r="DW266" s="208"/>
      <c r="DX266" s="208"/>
      <c r="DY266" s="208"/>
      <c r="DZ266" s="208"/>
      <c r="EA266" s="208"/>
      <c r="EB266" s="208"/>
      <c r="EC266" s="208"/>
      <c r="ED266" s="208"/>
      <c r="EE266" s="208"/>
      <c r="EF266" s="208"/>
      <c r="EG266" s="208"/>
      <c r="EH266" s="208"/>
      <c r="EI266" s="208"/>
      <c r="EJ266" s="208"/>
      <c r="EK266" s="208"/>
      <c r="EL266" s="208"/>
      <c r="EM266" s="208"/>
      <c r="EN266" s="208"/>
      <c r="EO266" s="208"/>
      <c r="EP266" s="208"/>
      <c r="EQ266" s="208"/>
      <c r="ER266" s="208"/>
      <c r="ES266" s="208"/>
      <c r="ET266" s="208"/>
      <c r="EU266" s="208"/>
      <c r="EV266" s="208"/>
      <c r="EW266" s="208"/>
      <c r="EX266" s="208"/>
      <c r="EY266" s="208"/>
      <c r="EZ266" s="208"/>
      <c r="FA266" s="208"/>
      <c r="FB266" s="208"/>
      <c r="FC266" s="208"/>
      <c r="FD266" s="208"/>
      <c r="FE266" s="208"/>
      <c r="FF266" s="208"/>
      <c r="FG266" s="208"/>
      <c r="FH266" s="208"/>
      <c r="FI266" s="208"/>
      <c r="FJ266" s="208"/>
      <c r="FK266" s="208"/>
      <c r="FL266" s="208"/>
      <c r="FM266" s="208"/>
      <c r="FN266" s="208"/>
      <c r="FO266" s="208"/>
      <c r="FP266" s="208"/>
      <c r="FQ266" s="208"/>
      <c r="FR266" s="208"/>
      <c r="FS266" s="208"/>
      <c r="FT266" s="208"/>
      <c r="FU266" s="208"/>
      <c r="FV266" s="208"/>
      <c r="FW266" s="208"/>
      <c r="FX266" s="208"/>
      <c r="FY266" s="208"/>
      <c r="FZ266" s="208"/>
      <c r="GA266" s="208"/>
      <c r="GB266" s="208"/>
      <c r="GC266" s="208"/>
      <c r="GD266" s="208"/>
      <c r="GE266" s="208"/>
      <c r="GF266" s="208"/>
      <c r="GG266" s="208"/>
      <c r="GH266" s="208"/>
      <c r="GI266" s="208"/>
      <c r="GJ266" s="208"/>
      <c r="GK266" s="208"/>
      <c r="GL266" s="208"/>
      <c r="GM266" s="208"/>
      <c r="GN266" s="208"/>
      <c r="GO266" s="208"/>
      <c r="GP266" s="208"/>
      <c r="GQ266" s="208"/>
      <c r="GR266" s="208"/>
      <c r="GS266" s="208"/>
      <c r="GT266" s="208"/>
      <c r="GU266" s="208"/>
      <c r="GV266" s="208"/>
      <c r="GW266" s="208"/>
      <c r="GX266" s="208"/>
      <c r="GY266" s="208"/>
      <c r="GZ266" s="208"/>
      <c r="HA266" s="208"/>
      <c r="HB266" s="208"/>
      <c r="HC266" s="208"/>
      <c r="HD266" s="208"/>
      <c r="HE266" s="208"/>
      <c r="HF266" s="208"/>
      <c r="HG266" s="208"/>
      <c r="HH266" s="208"/>
      <c r="HI266" s="208"/>
      <c r="HJ266" s="208"/>
      <c r="HK266" s="208"/>
      <c r="HL266" s="208"/>
      <c r="HM266" s="208"/>
      <c r="HN266" s="208"/>
      <c r="HO266" s="208"/>
      <c r="HP266" s="208"/>
      <c r="HQ266" s="208"/>
      <c r="HR266" s="208"/>
      <c r="HS266" s="208"/>
      <c r="HT266" s="208"/>
      <c r="HU266" s="208"/>
      <c r="HV266" s="208"/>
      <c r="HW266" s="208"/>
      <c r="HX266" s="208"/>
      <c r="HY266" s="208"/>
      <c r="HZ266" s="208"/>
      <c r="IA266" s="208"/>
      <c r="IB266" s="208"/>
      <c r="IC266" s="208"/>
      <c r="ID266" s="208"/>
      <c r="IE266" s="208"/>
      <c r="IF266" s="208"/>
      <c r="IG266" s="208"/>
      <c r="IH266" s="208"/>
      <c r="II266" s="208"/>
      <c r="IJ266" s="208"/>
      <c r="IK266" s="208"/>
      <c r="IL266" s="208"/>
      <c r="IM266" s="208"/>
      <c r="IN266" s="208"/>
      <c r="IO266" s="208"/>
      <c r="IP266" s="208"/>
      <c r="IQ266" s="208"/>
      <c r="IR266" s="208"/>
      <c r="IS266" s="208"/>
      <c r="IT266" s="208"/>
    </row>
    <row r="267" spans="1:254" s="209" customFormat="1" ht="12.75">
      <c r="A267" s="332"/>
      <c r="B267" s="327">
        <f>Aprekini!B5</f>
        <v>2011</v>
      </c>
      <c r="C267" s="327">
        <f aca="true" t="shared" si="92" ref="C267:AG267">B267+1</f>
        <v>2012</v>
      </c>
      <c r="D267" s="327">
        <f t="shared" si="92"/>
        <v>2013</v>
      </c>
      <c r="E267" s="327">
        <f t="shared" si="92"/>
        <v>2014</v>
      </c>
      <c r="F267" s="637">
        <f t="shared" si="92"/>
        <v>2015</v>
      </c>
      <c r="G267" s="327">
        <f t="shared" si="92"/>
        <v>2016</v>
      </c>
      <c r="H267" s="327">
        <f t="shared" si="92"/>
        <v>2017</v>
      </c>
      <c r="I267" s="327">
        <f t="shared" si="92"/>
        <v>2018</v>
      </c>
      <c r="J267" s="327">
        <f t="shared" si="92"/>
        <v>2019</v>
      </c>
      <c r="K267" s="327">
        <f t="shared" si="92"/>
        <v>2020</v>
      </c>
      <c r="L267" s="327">
        <f t="shared" si="92"/>
        <v>2021</v>
      </c>
      <c r="M267" s="327">
        <f t="shared" si="92"/>
        <v>2022</v>
      </c>
      <c r="N267" s="327">
        <f t="shared" si="92"/>
        <v>2023</v>
      </c>
      <c r="O267" s="327">
        <f t="shared" si="92"/>
        <v>2024</v>
      </c>
      <c r="P267" s="327">
        <f t="shared" si="92"/>
        <v>2025</v>
      </c>
      <c r="Q267" s="327">
        <f t="shared" si="92"/>
        <v>2026</v>
      </c>
      <c r="R267" s="327">
        <f t="shared" si="92"/>
        <v>2027</v>
      </c>
      <c r="S267" s="327">
        <f t="shared" si="92"/>
        <v>2028</v>
      </c>
      <c r="T267" s="327">
        <f t="shared" si="92"/>
        <v>2029</v>
      </c>
      <c r="U267" s="322">
        <f t="shared" si="92"/>
        <v>2030</v>
      </c>
      <c r="V267" s="322">
        <f t="shared" si="92"/>
        <v>2031</v>
      </c>
      <c r="W267" s="322">
        <f t="shared" si="92"/>
        <v>2032</v>
      </c>
      <c r="X267" s="322">
        <f t="shared" si="92"/>
        <v>2033</v>
      </c>
      <c r="Y267" s="322">
        <f t="shared" si="92"/>
        <v>2034</v>
      </c>
      <c r="Z267" s="322">
        <f t="shared" si="92"/>
        <v>2035</v>
      </c>
      <c r="AA267" s="322">
        <f t="shared" si="92"/>
        <v>2036</v>
      </c>
      <c r="AB267" s="322">
        <f t="shared" si="92"/>
        <v>2037</v>
      </c>
      <c r="AC267" s="322">
        <f t="shared" si="92"/>
        <v>2038</v>
      </c>
      <c r="AD267" s="322">
        <f t="shared" si="92"/>
        <v>2039</v>
      </c>
      <c r="AE267" s="322">
        <f t="shared" si="92"/>
        <v>2040</v>
      </c>
      <c r="AF267" s="322">
        <f t="shared" si="92"/>
        <v>2041</v>
      </c>
      <c r="AG267" s="322">
        <f t="shared" si="92"/>
        <v>2042</v>
      </c>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8"/>
      <c r="BZ267" s="208"/>
      <c r="CA267" s="208"/>
      <c r="CB267" s="208"/>
      <c r="CC267" s="208"/>
      <c r="CD267" s="208"/>
      <c r="CE267" s="208"/>
      <c r="CF267" s="208"/>
      <c r="CG267" s="208"/>
      <c r="CH267" s="208"/>
      <c r="CI267" s="208"/>
      <c r="CJ267" s="208"/>
      <c r="CK267" s="208"/>
      <c r="CL267" s="208"/>
      <c r="CM267" s="208"/>
      <c r="CN267" s="208"/>
      <c r="CO267" s="208"/>
      <c r="CP267" s="208"/>
      <c r="CQ267" s="208"/>
      <c r="CR267" s="208"/>
      <c r="CS267" s="208"/>
      <c r="CT267" s="208"/>
      <c r="CU267" s="208"/>
      <c r="CV267" s="208"/>
      <c r="CW267" s="208"/>
      <c r="CX267" s="208"/>
      <c r="CY267" s="208"/>
      <c r="CZ267" s="208"/>
      <c r="DA267" s="208"/>
      <c r="DB267" s="208"/>
      <c r="DC267" s="208"/>
      <c r="DD267" s="208"/>
      <c r="DE267" s="208"/>
      <c r="DF267" s="208"/>
      <c r="DG267" s="208"/>
      <c r="DH267" s="208"/>
      <c r="DI267" s="208"/>
      <c r="DJ267" s="208"/>
      <c r="DK267" s="208"/>
      <c r="DL267" s="208"/>
      <c r="DM267" s="208"/>
      <c r="DN267" s="208"/>
      <c r="DO267" s="208"/>
      <c r="DP267" s="208"/>
      <c r="DQ267" s="208"/>
      <c r="DR267" s="208"/>
      <c r="DS267" s="208"/>
      <c r="DT267" s="208"/>
      <c r="DU267" s="208"/>
      <c r="DV267" s="208"/>
      <c r="DW267" s="208"/>
      <c r="DX267" s="208"/>
      <c r="DY267" s="208"/>
      <c r="DZ267" s="208"/>
      <c r="EA267" s="208"/>
      <c r="EB267" s="208"/>
      <c r="EC267" s="208"/>
      <c r="ED267" s="208"/>
      <c r="EE267" s="208"/>
      <c r="EF267" s="208"/>
      <c r="EG267" s="208"/>
      <c r="EH267" s="208"/>
      <c r="EI267" s="208"/>
      <c r="EJ267" s="208"/>
      <c r="EK267" s="208"/>
      <c r="EL267" s="208"/>
      <c r="EM267" s="208"/>
      <c r="EN267" s="208"/>
      <c r="EO267" s="208"/>
      <c r="EP267" s="208"/>
      <c r="EQ267" s="208"/>
      <c r="ER267" s="208"/>
      <c r="ES267" s="208"/>
      <c r="ET267" s="208"/>
      <c r="EU267" s="208"/>
      <c r="EV267" s="208"/>
      <c r="EW267" s="208"/>
      <c r="EX267" s="208"/>
      <c r="EY267" s="208"/>
      <c r="EZ267" s="208"/>
      <c r="FA267" s="208"/>
      <c r="FB267" s="208"/>
      <c r="FC267" s="208"/>
      <c r="FD267" s="208"/>
      <c r="FE267" s="208"/>
      <c r="FF267" s="208"/>
      <c r="FG267" s="208"/>
      <c r="FH267" s="208"/>
      <c r="FI267" s="208"/>
      <c r="FJ267" s="208"/>
      <c r="FK267" s="208"/>
      <c r="FL267" s="208"/>
      <c r="FM267" s="208"/>
      <c r="FN267" s="208"/>
      <c r="FO267" s="208"/>
      <c r="FP267" s="208"/>
      <c r="FQ267" s="208"/>
      <c r="FR267" s="208"/>
      <c r="FS267" s="208"/>
      <c r="FT267" s="208"/>
      <c r="FU267" s="208"/>
      <c r="FV267" s="208"/>
      <c r="FW267" s="208"/>
      <c r="FX267" s="208"/>
      <c r="FY267" s="208"/>
      <c r="FZ267" s="208"/>
      <c r="GA267" s="208"/>
      <c r="GB267" s="208"/>
      <c r="GC267" s="208"/>
      <c r="GD267" s="208"/>
      <c r="GE267" s="208"/>
      <c r="GF267" s="208"/>
      <c r="GG267" s="208"/>
      <c r="GH267" s="208"/>
      <c r="GI267" s="208"/>
      <c r="GJ267" s="208"/>
      <c r="GK267" s="208"/>
      <c r="GL267" s="208"/>
      <c r="GM267" s="208"/>
      <c r="GN267" s="208"/>
      <c r="GO267" s="208"/>
      <c r="GP267" s="208"/>
      <c r="GQ267" s="208"/>
      <c r="GR267" s="208"/>
      <c r="GS267" s="208"/>
      <c r="GT267" s="208"/>
      <c r="GU267" s="208"/>
      <c r="GV267" s="208"/>
      <c r="GW267" s="208"/>
      <c r="GX267" s="208"/>
      <c r="GY267" s="208"/>
      <c r="GZ267" s="208"/>
      <c r="HA267" s="208"/>
      <c r="HB267" s="208"/>
      <c r="HC267" s="208"/>
      <c r="HD267" s="208"/>
      <c r="HE267" s="208"/>
      <c r="HF267" s="208"/>
      <c r="HG267" s="208"/>
      <c r="HH267" s="208"/>
      <c r="HI267" s="208"/>
      <c r="HJ267" s="208"/>
      <c r="HK267" s="208"/>
      <c r="HL267" s="208"/>
      <c r="HM267" s="208"/>
      <c r="HN267" s="208"/>
      <c r="HO267" s="208"/>
      <c r="HP267" s="208"/>
      <c r="HQ267" s="208"/>
      <c r="HR267" s="208"/>
      <c r="HS267" s="208"/>
      <c r="HT267" s="208"/>
      <c r="HU267" s="208"/>
      <c r="HV267" s="208"/>
      <c r="HW267" s="208"/>
      <c r="HX267" s="208"/>
      <c r="HY267" s="208"/>
      <c r="HZ267" s="208"/>
      <c r="IA267" s="208"/>
      <c r="IB267" s="208"/>
      <c r="IC267" s="208"/>
      <c r="ID267" s="208"/>
      <c r="IE267" s="208"/>
      <c r="IF267" s="208"/>
      <c r="IG267" s="208"/>
      <c r="IH267" s="208"/>
      <c r="II267" s="208"/>
      <c r="IJ267" s="208"/>
      <c r="IK267" s="208"/>
      <c r="IL267" s="208"/>
      <c r="IM267" s="208"/>
      <c r="IN267" s="208"/>
      <c r="IO267" s="208"/>
      <c r="IP267" s="208"/>
      <c r="IQ267" s="208"/>
      <c r="IR267" s="208"/>
      <c r="IS267" s="208"/>
      <c r="IT267" s="208"/>
    </row>
    <row r="268" spans="1:254" s="209" customFormat="1" ht="12.75">
      <c r="A268" s="380" t="s">
        <v>297</v>
      </c>
      <c r="B268" s="340">
        <f aca="true" t="shared" si="93" ref="B268:AG268">SUM(B269,B274)</f>
        <v>29209.199999999997</v>
      </c>
      <c r="C268" s="340">
        <f t="shared" si="93"/>
        <v>29209.199999999997</v>
      </c>
      <c r="D268" s="340">
        <f t="shared" si="93"/>
        <v>33149.052500000005</v>
      </c>
      <c r="E268" s="340">
        <f t="shared" si="93"/>
        <v>56824.45819052233</v>
      </c>
      <c r="F268" s="654">
        <f t="shared" si="93"/>
        <v>57334.400690522336</v>
      </c>
      <c r="G268" s="340">
        <f t="shared" si="93"/>
        <v>57683.36319052233</v>
      </c>
      <c r="H268" s="340">
        <f t="shared" si="93"/>
        <v>58220.21819052234</v>
      </c>
      <c r="I268" s="340">
        <f t="shared" si="93"/>
        <v>58998.61069052234</v>
      </c>
      <c r="J268" s="340">
        <f t="shared" si="93"/>
        <v>59454.86319052233</v>
      </c>
      <c r="K268" s="340">
        <f t="shared" si="93"/>
        <v>59991.71819052233</v>
      </c>
      <c r="L268" s="340">
        <f t="shared" si="93"/>
        <v>60796.88819052233</v>
      </c>
      <c r="M268" s="340">
        <f t="shared" si="93"/>
        <v>61494.76819052234</v>
      </c>
      <c r="N268" s="340">
        <f t="shared" si="93"/>
        <v>62273.16069052233</v>
      </c>
      <c r="O268" s="340">
        <f t="shared" si="93"/>
        <v>61555.72227726163</v>
      </c>
      <c r="P268" s="340">
        <f t="shared" si="93"/>
        <v>62173.08977726163</v>
      </c>
      <c r="Q268" s="340">
        <f t="shared" si="93"/>
        <v>62951.48227726163</v>
      </c>
      <c r="R268" s="340">
        <f t="shared" si="93"/>
        <v>63783.56477726163</v>
      </c>
      <c r="S268" s="340">
        <f t="shared" si="93"/>
        <v>65045.032277261635</v>
      </c>
      <c r="T268" s="340">
        <f t="shared" si="93"/>
        <v>62559.45412024195</v>
      </c>
      <c r="U268" s="340">
        <f t="shared" si="93"/>
        <v>62881.54912024195</v>
      </c>
      <c r="V268" s="340">
        <f t="shared" si="93"/>
        <v>63606.29662024195</v>
      </c>
      <c r="W268" s="340">
        <f t="shared" si="93"/>
        <v>63982.08162024195</v>
      </c>
      <c r="X268" s="340">
        <f t="shared" si="93"/>
        <v>64357.866620241955</v>
      </c>
      <c r="Y268" s="340">
        <f t="shared" si="93"/>
        <v>64814.164120241956</v>
      </c>
      <c r="Z268" s="340">
        <f t="shared" si="93"/>
        <v>65189.94912024196</v>
      </c>
      <c r="AA268" s="340">
        <f t="shared" si="93"/>
        <v>65592.55662024196</v>
      </c>
      <c r="AB268" s="340">
        <f t="shared" si="93"/>
        <v>66290.39162024195</v>
      </c>
      <c r="AC268" s="340">
        <f t="shared" si="93"/>
        <v>66746.68912024196</v>
      </c>
      <c r="AD268" s="340">
        <f t="shared" si="93"/>
        <v>66800.42412024197</v>
      </c>
      <c r="AE268" s="340">
        <f t="shared" si="93"/>
        <v>67578.77162024195</v>
      </c>
      <c r="AF268" s="340">
        <f t="shared" si="93"/>
        <v>68518.18912024196</v>
      </c>
      <c r="AG268" s="340">
        <f t="shared" si="93"/>
        <v>69216.06912024194</v>
      </c>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8"/>
      <c r="BQ268" s="208"/>
      <c r="BR268" s="208"/>
      <c r="BS268" s="208"/>
      <c r="BT268" s="208"/>
      <c r="BU268" s="208"/>
      <c r="BV268" s="208"/>
      <c r="BW268" s="208"/>
      <c r="BX268" s="208"/>
      <c r="BY268" s="208"/>
      <c r="BZ268" s="208"/>
      <c r="CA268" s="208"/>
      <c r="CB268" s="208"/>
      <c r="CC268" s="208"/>
      <c r="CD268" s="208"/>
      <c r="CE268" s="208"/>
      <c r="CF268" s="208"/>
      <c r="CG268" s="208"/>
      <c r="CH268" s="208"/>
      <c r="CI268" s="208"/>
      <c r="CJ268" s="208"/>
      <c r="CK268" s="208"/>
      <c r="CL268" s="208"/>
      <c r="CM268" s="208"/>
      <c r="CN268" s="208"/>
      <c r="CO268" s="208"/>
      <c r="CP268" s="208"/>
      <c r="CQ268" s="208"/>
      <c r="CR268" s="208"/>
      <c r="CS268" s="208"/>
      <c r="CT268" s="208"/>
      <c r="CU268" s="208"/>
      <c r="CV268" s="208"/>
      <c r="CW268" s="208"/>
      <c r="CX268" s="208"/>
      <c r="CY268" s="208"/>
      <c r="CZ268" s="208"/>
      <c r="DA268" s="208"/>
      <c r="DB268" s="208"/>
      <c r="DC268" s="208"/>
      <c r="DD268" s="208"/>
      <c r="DE268" s="208"/>
      <c r="DF268" s="208"/>
      <c r="DG268" s="208"/>
      <c r="DH268" s="208"/>
      <c r="DI268" s="208"/>
      <c r="DJ268" s="208"/>
      <c r="DK268" s="208"/>
      <c r="DL268" s="208"/>
      <c r="DM268" s="208"/>
      <c r="DN268" s="208"/>
      <c r="DO268" s="208"/>
      <c r="DP268" s="208"/>
      <c r="DQ268" s="208"/>
      <c r="DR268" s="208"/>
      <c r="DS268" s="208"/>
      <c r="DT268" s="208"/>
      <c r="DU268" s="208"/>
      <c r="DV268" s="208"/>
      <c r="DW268" s="208"/>
      <c r="DX268" s="208"/>
      <c r="DY268" s="208"/>
      <c r="DZ268" s="208"/>
      <c r="EA268" s="208"/>
      <c r="EB268" s="208"/>
      <c r="EC268" s="208"/>
      <c r="ED268" s="208"/>
      <c r="EE268" s="208"/>
      <c r="EF268" s="208"/>
      <c r="EG268" s="208"/>
      <c r="EH268" s="208"/>
      <c r="EI268" s="208"/>
      <c r="EJ268" s="208"/>
      <c r="EK268" s="208"/>
      <c r="EL268" s="208"/>
      <c r="EM268" s="208"/>
      <c r="EN268" s="208"/>
      <c r="EO268" s="208"/>
      <c r="EP268" s="208"/>
      <c r="EQ268" s="208"/>
      <c r="ER268" s="208"/>
      <c r="ES268" s="208"/>
      <c r="ET268" s="208"/>
      <c r="EU268" s="208"/>
      <c r="EV268" s="208"/>
      <c r="EW268" s="208"/>
      <c r="EX268" s="208"/>
      <c r="EY268" s="208"/>
      <c r="EZ268" s="208"/>
      <c r="FA268" s="208"/>
      <c r="FB268" s="208"/>
      <c r="FC268" s="208"/>
      <c r="FD268" s="208"/>
      <c r="FE268" s="208"/>
      <c r="FF268" s="208"/>
      <c r="FG268" s="208"/>
      <c r="FH268" s="208"/>
      <c r="FI268" s="208"/>
      <c r="FJ268" s="208"/>
      <c r="FK268" s="208"/>
      <c r="FL268" s="208"/>
      <c r="FM268" s="208"/>
      <c r="FN268" s="208"/>
      <c r="FO268" s="208"/>
      <c r="FP268" s="208"/>
      <c r="FQ268" s="208"/>
      <c r="FR268" s="208"/>
      <c r="FS268" s="208"/>
      <c r="FT268" s="208"/>
      <c r="FU268" s="208"/>
      <c r="FV268" s="208"/>
      <c r="FW268" s="208"/>
      <c r="FX268" s="208"/>
      <c r="FY268" s="208"/>
      <c r="FZ268" s="208"/>
      <c r="GA268" s="208"/>
      <c r="GB268" s="208"/>
      <c r="GC268" s="208"/>
      <c r="GD268" s="208"/>
      <c r="GE268" s="208"/>
      <c r="GF268" s="208"/>
      <c r="GG268" s="208"/>
      <c r="GH268" s="208"/>
      <c r="GI268" s="208"/>
      <c r="GJ268" s="208"/>
      <c r="GK268" s="208"/>
      <c r="GL268" s="208"/>
      <c r="GM268" s="208"/>
      <c r="GN268" s="208"/>
      <c r="GO268" s="208"/>
      <c r="GP268" s="208"/>
      <c r="GQ268" s="208"/>
      <c r="GR268" s="208"/>
      <c r="GS268" s="208"/>
      <c r="GT268" s="208"/>
      <c r="GU268" s="208"/>
      <c r="GV268" s="208"/>
      <c r="GW268" s="208"/>
      <c r="GX268" s="208"/>
      <c r="GY268" s="208"/>
      <c r="GZ268" s="208"/>
      <c r="HA268" s="208"/>
      <c r="HB268" s="208"/>
      <c r="HC268" s="208"/>
      <c r="HD268" s="208"/>
      <c r="HE268" s="208"/>
      <c r="HF268" s="208"/>
      <c r="HG268" s="208"/>
      <c r="HH268" s="208"/>
      <c r="HI268" s="208"/>
      <c r="HJ268" s="208"/>
      <c r="HK268" s="208"/>
      <c r="HL268" s="208"/>
      <c r="HM268" s="208"/>
      <c r="HN268" s="208"/>
      <c r="HO268" s="208"/>
      <c r="HP268" s="208"/>
      <c r="HQ268" s="208"/>
      <c r="HR268" s="208"/>
      <c r="HS268" s="208"/>
      <c r="HT268" s="208"/>
      <c r="HU268" s="208"/>
      <c r="HV268" s="208"/>
      <c r="HW268" s="208"/>
      <c r="HX268" s="208"/>
      <c r="HY268" s="208"/>
      <c r="HZ268" s="208"/>
      <c r="IA268" s="208"/>
      <c r="IB268" s="208"/>
      <c r="IC268" s="208"/>
      <c r="ID268" s="208"/>
      <c r="IE268" s="208"/>
      <c r="IF268" s="208"/>
      <c r="IG268" s="208"/>
      <c r="IH268" s="208"/>
      <c r="II268" s="208"/>
      <c r="IJ268" s="208"/>
      <c r="IK268" s="208"/>
      <c r="IL268" s="208"/>
      <c r="IM268" s="208"/>
      <c r="IN268" s="208"/>
      <c r="IO268" s="208"/>
      <c r="IP268" s="208"/>
      <c r="IQ268" s="208"/>
      <c r="IR268" s="208"/>
      <c r="IS268" s="208"/>
      <c r="IT268" s="208"/>
    </row>
    <row r="269" spans="1:254" s="209" customFormat="1" ht="12.75">
      <c r="A269" s="381" t="s">
        <v>298</v>
      </c>
      <c r="B269" s="382">
        <f>SUM(B270:B273)</f>
        <v>14733.75</v>
      </c>
      <c r="C269" s="382">
        <f aca="true" t="shared" si="94" ref="C269:AG269">SUM(C270:C273)</f>
        <v>14733.75</v>
      </c>
      <c r="D269" s="382">
        <f t="shared" si="94"/>
        <v>16183.0125</v>
      </c>
      <c r="E269" s="382">
        <f t="shared" si="94"/>
        <v>29619.549257705887</v>
      </c>
      <c r="F269" s="655">
        <f t="shared" si="94"/>
        <v>30022.111757705887</v>
      </c>
      <c r="G269" s="382">
        <f t="shared" si="94"/>
        <v>30102.624257705887</v>
      </c>
      <c r="H269" s="382">
        <f t="shared" si="94"/>
        <v>30263.64925770589</v>
      </c>
      <c r="I269" s="382">
        <f t="shared" si="94"/>
        <v>30666.21175770589</v>
      </c>
      <c r="J269" s="382">
        <f t="shared" si="94"/>
        <v>31068.77425770589</v>
      </c>
      <c r="K269" s="382">
        <f t="shared" si="94"/>
        <v>31229.799257705887</v>
      </c>
      <c r="L269" s="382">
        <f t="shared" si="94"/>
        <v>31873.899257705885</v>
      </c>
      <c r="M269" s="382">
        <f t="shared" si="94"/>
        <v>32195.949257705888</v>
      </c>
      <c r="N269" s="382">
        <f t="shared" si="94"/>
        <v>32598.511757705888</v>
      </c>
      <c r="O269" s="382">
        <f t="shared" si="94"/>
        <v>32271.749178251954</v>
      </c>
      <c r="P269" s="382">
        <f t="shared" si="94"/>
        <v>32513.286678251956</v>
      </c>
      <c r="Q269" s="382">
        <f t="shared" si="94"/>
        <v>32915.84917825195</v>
      </c>
      <c r="R269" s="382">
        <f t="shared" si="94"/>
        <v>33318.41167825195</v>
      </c>
      <c r="S269" s="382">
        <f t="shared" si="94"/>
        <v>34204.04917825195</v>
      </c>
      <c r="T269" s="382">
        <f t="shared" si="94"/>
        <v>32877.50563830498</v>
      </c>
      <c r="U269" s="382">
        <f t="shared" si="94"/>
        <v>33038.53063830498</v>
      </c>
      <c r="V269" s="382">
        <f t="shared" si="94"/>
        <v>33280.06813830498</v>
      </c>
      <c r="W269" s="382">
        <f t="shared" si="94"/>
        <v>33441.09313830498</v>
      </c>
      <c r="X269" s="382">
        <f t="shared" si="94"/>
        <v>33602.11813830499</v>
      </c>
      <c r="Y269" s="382">
        <f t="shared" si="94"/>
        <v>33843.65563830499</v>
      </c>
      <c r="Z269" s="382">
        <f t="shared" si="94"/>
        <v>34004.68063830499</v>
      </c>
      <c r="AA269" s="382">
        <f t="shared" si="94"/>
        <v>34246.21813830499</v>
      </c>
      <c r="AB269" s="382">
        <f t="shared" si="94"/>
        <v>34729.29313830499</v>
      </c>
      <c r="AC269" s="382">
        <f t="shared" si="94"/>
        <v>34970.830638304986</v>
      </c>
      <c r="AD269" s="382">
        <f t="shared" si="94"/>
        <v>34809.80563830499</v>
      </c>
      <c r="AE269" s="382">
        <f t="shared" si="94"/>
        <v>35373.39313830498</v>
      </c>
      <c r="AF269" s="382">
        <f t="shared" si="94"/>
        <v>35936.98063830499</v>
      </c>
      <c r="AG269" s="382">
        <f t="shared" si="94"/>
        <v>36259.03063830498</v>
      </c>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c r="BL269" s="208"/>
      <c r="BM269" s="208"/>
      <c r="BN269" s="208"/>
      <c r="BO269" s="208"/>
      <c r="BP269" s="208"/>
      <c r="BQ269" s="208"/>
      <c r="BR269" s="208"/>
      <c r="BS269" s="208"/>
      <c r="BT269" s="208"/>
      <c r="BU269" s="208"/>
      <c r="BV269" s="208"/>
      <c r="BW269" s="208"/>
      <c r="BX269" s="208"/>
      <c r="BY269" s="208"/>
      <c r="BZ269" s="208"/>
      <c r="CA269" s="208"/>
      <c r="CB269" s="208"/>
      <c r="CC269" s="208"/>
      <c r="CD269" s="208"/>
      <c r="CE269" s="208"/>
      <c r="CF269" s="208"/>
      <c r="CG269" s="208"/>
      <c r="CH269" s="208"/>
      <c r="CI269" s="208"/>
      <c r="CJ269" s="208"/>
      <c r="CK269" s="208"/>
      <c r="CL269" s="208"/>
      <c r="CM269" s="208"/>
      <c r="CN269" s="208"/>
      <c r="CO269" s="208"/>
      <c r="CP269" s="208"/>
      <c r="CQ269" s="208"/>
      <c r="CR269" s="208"/>
      <c r="CS269" s="208"/>
      <c r="CT269" s="208"/>
      <c r="CU269" s="208"/>
      <c r="CV269" s="208"/>
      <c r="CW269" s="208"/>
      <c r="CX269" s="208"/>
      <c r="CY269" s="208"/>
      <c r="CZ269" s="208"/>
      <c r="DA269" s="208"/>
      <c r="DB269" s="208"/>
      <c r="DC269" s="208"/>
      <c r="DD269" s="208"/>
      <c r="DE269" s="208"/>
      <c r="DF269" s="208"/>
      <c r="DG269" s="208"/>
      <c r="DH269" s="208"/>
      <c r="DI269" s="208"/>
      <c r="DJ269" s="208"/>
      <c r="DK269" s="208"/>
      <c r="DL269" s="208"/>
      <c r="DM269" s="208"/>
      <c r="DN269" s="208"/>
      <c r="DO269" s="208"/>
      <c r="DP269" s="208"/>
      <c r="DQ269" s="208"/>
      <c r="DR269" s="208"/>
      <c r="DS269" s="208"/>
      <c r="DT269" s="208"/>
      <c r="DU269" s="208"/>
      <c r="DV269" s="208"/>
      <c r="DW269" s="208"/>
      <c r="DX269" s="208"/>
      <c r="DY269" s="208"/>
      <c r="DZ269" s="208"/>
      <c r="EA269" s="208"/>
      <c r="EB269" s="208"/>
      <c r="EC269" s="208"/>
      <c r="ED269" s="208"/>
      <c r="EE269" s="208"/>
      <c r="EF269" s="208"/>
      <c r="EG269" s="208"/>
      <c r="EH269" s="208"/>
      <c r="EI269" s="208"/>
      <c r="EJ269" s="208"/>
      <c r="EK269" s="208"/>
      <c r="EL269" s="208"/>
      <c r="EM269" s="208"/>
      <c r="EN269" s="208"/>
      <c r="EO269" s="208"/>
      <c r="EP269" s="208"/>
      <c r="EQ269" s="208"/>
      <c r="ER269" s="208"/>
      <c r="ES269" s="208"/>
      <c r="ET269" s="208"/>
      <c r="EU269" s="208"/>
      <c r="EV269" s="208"/>
      <c r="EW269" s="208"/>
      <c r="EX269" s="208"/>
      <c r="EY269" s="208"/>
      <c r="EZ269" s="208"/>
      <c r="FA269" s="208"/>
      <c r="FB269" s="208"/>
      <c r="FC269" s="208"/>
      <c r="FD269" s="208"/>
      <c r="FE269" s="208"/>
      <c r="FF269" s="208"/>
      <c r="FG269" s="208"/>
      <c r="FH269" s="208"/>
      <c r="FI269" s="208"/>
      <c r="FJ269" s="208"/>
      <c r="FK269" s="208"/>
      <c r="FL269" s="208"/>
      <c r="FM269" s="208"/>
      <c r="FN269" s="208"/>
      <c r="FO269" s="208"/>
      <c r="FP269" s="208"/>
      <c r="FQ269" s="208"/>
      <c r="FR269" s="208"/>
      <c r="FS269" s="208"/>
      <c r="FT269" s="208"/>
      <c r="FU269" s="208"/>
      <c r="FV269" s="208"/>
      <c r="FW269" s="208"/>
      <c r="FX269" s="208"/>
      <c r="FY269" s="208"/>
      <c r="FZ269" s="208"/>
      <c r="GA269" s="208"/>
      <c r="GB269" s="208"/>
      <c r="GC269" s="208"/>
      <c r="GD269" s="208"/>
      <c r="GE269" s="208"/>
      <c r="GF269" s="208"/>
      <c r="GG269" s="208"/>
      <c r="GH269" s="208"/>
      <c r="GI269" s="208"/>
      <c r="GJ269" s="208"/>
      <c r="GK269" s="208"/>
      <c r="GL269" s="208"/>
      <c r="GM269" s="208"/>
      <c r="GN269" s="208"/>
      <c r="GO269" s="208"/>
      <c r="GP269" s="208"/>
      <c r="GQ269" s="208"/>
      <c r="GR269" s="208"/>
      <c r="GS269" s="208"/>
      <c r="GT269" s="208"/>
      <c r="GU269" s="208"/>
      <c r="GV269" s="208"/>
      <c r="GW269" s="208"/>
      <c r="GX269" s="208"/>
      <c r="GY269" s="208"/>
      <c r="GZ269" s="208"/>
      <c r="HA269" s="208"/>
      <c r="HB269" s="208"/>
      <c r="HC269" s="208"/>
      <c r="HD269" s="208"/>
      <c r="HE269" s="208"/>
      <c r="HF269" s="208"/>
      <c r="HG269" s="208"/>
      <c r="HH269" s="208"/>
      <c r="HI269" s="208"/>
      <c r="HJ269" s="208"/>
      <c r="HK269" s="208"/>
      <c r="HL269" s="208"/>
      <c r="HM269" s="208"/>
      <c r="HN269" s="208"/>
      <c r="HO269" s="208"/>
      <c r="HP269" s="208"/>
      <c r="HQ269" s="208"/>
      <c r="HR269" s="208"/>
      <c r="HS269" s="208"/>
      <c r="HT269" s="208"/>
      <c r="HU269" s="208"/>
      <c r="HV269" s="208"/>
      <c r="HW269" s="208"/>
      <c r="HX269" s="208"/>
      <c r="HY269" s="208"/>
      <c r="HZ269" s="208"/>
      <c r="IA269" s="208"/>
      <c r="IB269" s="208"/>
      <c r="IC269" s="208"/>
      <c r="ID269" s="208"/>
      <c r="IE269" s="208"/>
      <c r="IF269" s="208"/>
      <c r="IG269" s="208"/>
      <c r="IH269" s="208"/>
      <c r="II269" s="208"/>
      <c r="IJ269" s="208"/>
      <c r="IK269" s="208"/>
      <c r="IL269" s="208"/>
      <c r="IM269" s="208"/>
      <c r="IN269" s="208"/>
      <c r="IO269" s="208"/>
      <c r="IP269" s="208"/>
      <c r="IQ269" s="208"/>
      <c r="IR269" s="208"/>
      <c r="IS269" s="208"/>
      <c r="IT269" s="208"/>
    </row>
    <row r="270" spans="1:254" s="209" customFormat="1" ht="12.75">
      <c r="A270" s="206" t="s">
        <v>299</v>
      </c>
      <c r="B270" s="207">
        <f>'Saimnieciskas pamatdarbibas NP'!B66</f>
        <v>9033.75</v>
      </c>
      <c r="C270" s="207">
        <f>'Saimnieciskas pamatdarbibas NP'!C66</f>
        <v>9033.75</v>
      </c>
      <c r="D270" s="207">
        <f>'Saimnieciskas pamatdarbibas NP'!D66</f>
        <v>10454.5125</v>
      </c>
      <c r="E270" s="207">
        <f>'Saimnieciskas pamatdarbibas NP'!E66</f>
        <v>16019.85</v>
      </c>
      <c r="F270" s="635">
        <f>'Saimnieciskas pamatdarbibas NP'!F66</f>
        <v>16279.9125</v>
      </c>
      <c r="G270" s="207">
        <f>'Saimnieciskas pamatdarbibas NP'!G66</f>
        <v>16331.925</v>
      </c>
      <c r="H270" s="207">
        <f>'Saimnieciskas pamatdarbibas NP'!H66</f>
        <v>16435.95</v>
      </c>
      <c r="I270" s="207">
        <f>'Saimnieciskas pamatdarbibas NP'!I66</f>
        <v>16696.0125</v>
      </c>
      <c r="J270" s="207">
        <f>'Saimnieciskas pamatdarbibas NP'!J66</f>
        <v>16956.075</v>
      </c>
      <c r="K270" s="207">
        <f>'Saimnieciskas pamatdarbibas NP'!K66</f>
        <v>17060.1</v>
      </c>
      <c r="L270" s="207">
        <f>'Saimnieciskas pamatdarbibas NP'!L66</f>
        <v>17476.199999999997</v>
      </c>
      <c r="M270" s="207">
        <f>'Saimnieciskas pamatdarbibas NP'!M66</f>
        <v>17684.25</v>
      </c>
      <c r="N270" s="207">
        <f>'Saimnieciskas pamatdarbibas NP'!N66</f>
        <v>17944.3125</v>
      </c>
      <c r="O270" s="207">
        <f>'Saimnieciskas pamatdarbibas NP'!O66</f>
        <v>18048.337499999998</v>
      </c>
      <c r="P270" s="207">
        <f>'Saimnieciskas pamatdarbibas NP'!P66</f>
        <v>18204.375</v>
      </c>
      <c r="Q270" s="207">
        <f>'Saimnieciskas pamatdarbibas NP'!Q66</f>
        <v>18464.437499999996</v>
      </c>
      <c r="R270" s="207">
        <f>'Saimnieciskas pamatdarbibas NP'!R66</f>
        <v>18724.499999999996</v>
      </c>
      <c r="S270" s="207">
        <f>'Saimnieciskas pamatdarbibas NP'!S66</f>
        <v>19296.637499999997</v>
      </c>
      <c r="T270" s="207">
        <f>'Saimnieciskas pamatdarbibas NP'!T66</f>
        <v>19556.7</v>
      </c>
      <c r="U270" s="207">
        <f>'Saimnieciskas pamatdarbibas NP'!U66</f>
        <v>19660.725</v>
      </c>
      <c r="V270" s="207">
        <f>'Saimnieciskas pamatdarbibas NP'!V66</f>
        <v>19816.762499999997</v>
      </c>
      <c r="W270" s="207">
        <f>'Saimnieciskas pamatdarbibas NP'!W66</f>
        <v>19920.7875</v>
      </c>
      <c r="X270" s="207">
        <f>'Saimnieciskas pamatdarbibas NP'!X66</f>
        <v>20024.812500000004</v>
      </c>
      <c r="Y270" s="207">
        <f>'Saimnieciskas pamatdarbibas NP'!Y66</f>
        <v>20180.850000000002</v>
      </c>
      <c r="Z270" s="207">
        <f>'Saimnieciskas pamatdarbibas NP'!Z66</f>
        <v>20284.875000000004</v>
      </c>
      <c r="AA270" s="207">
        <f>'Saimnieciskas pamatdarbibas NP'!AA66</f>
        <v>20440.912500000002</v>
      </c>
      <c r="AB270" s="207">
        <f>'Saimnieciskas pamatdarbibas NP'!AB66</f>
        <v>20752.987500000003</v>
      </c>
      <c r="AC270" s="207">
        <f>'Saimnieciskas pamatdarbibas NP'!AC66</f>
        <v>20909.025</v>
      </c>
      <c r="AD270" s="207">
        <f>'Saimnieciskas pamatdarbibas NP'!AD66</f>
        <v>20805.000000000004</v>
      </c>
      <c r="AE270" s="207">
        <f>'Saimnieciskas pamatdarbibas NP'!AE66</f>
        <v>21169.087499999998</v>
      </c>
      <c r="AF270" s="207">
        <f>'Saimnieciskas pamatdarbibas NP'!AF66</f>
        <v>21533.175</v>
      </c>
      <c r="AG270" s="207">
        <f>'Saimnieciskas pamatdarbibas NP'!AG66</f>
        <v>21741.225</v>
      </c>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c r="BE270" s="208"/>
      <c r="BF270" s="208"/>
      <c r="BG270" s="208"/>
      <c r="BH270" s="208"/>
      <c r="BI270" s="208"/>
      <c r="BJ270" s="208"/>
      <c r="BK270" s="208"/>
      <c r="BL270" s="208"/>
      <c r="BM270" s="208"/>
      <c r="BN270" s="208"/>
      <c r="BO270" s="208"/>
      <c r="BP270" s="208"/>
      <c r="BQ270" s="208"/>
      <c r="BR270" s="208"/>
      <c r="BS270" s="208"/>
      <c r="BT270" s="208"/>
      <c r="BU270" s="208"/>
      <c r="BV270" s="208"/>
      <c r="BW270" s="208"/>
      <c r="BX270" s="208"/>
      <c r="BY270" s="208"/>
      <c r="BZ270" s="208"/>
      <c r="CA270" s="208"/>
      <c r="CB270" s="208"/>
      <c r="CC270" s="208"/>
      <c r="CD270" s="208"/>
      <c r="CE270" s="208"/>
      <c r="CF270" s="208"/>
      <c r="CG270" s="208"/>
      <c r="CH270" s="208"/>
      <c r="CI270" s="208"/>
      <c r="CJ270" s="208"/>
      <c r="CK270" s="208"/>
      <c r="CL270" s="208"/>
      <c r="CM270" s="208"/>
      <c r="CN270" s="208"/>
      <c r="CO270" s="208"/>
      <c r="CP270" s="208"/>
      <c r="CQ270" s="208"/>
      <c r="CR270" s="208"/>
      <c r="CS270" s="208"/>
      <c r="CT270" s="208"/>
      <c r="CU270" s="208"/>
      <c r="CV270" s="208"/>
      <c r="CW270" s="208"/>
      <c r="CX270" s="208"/>
      <c r="CY270" s="208"/>
      <c r="CZ270" s="208"/>
      <c r="DA270" s="208"/>
      <c r="DB270" s="208"/>
      <c r="DC270" s="208"/>
      <c r="DD270" s="208"/>
      <c r="DE270" s="208"/>
      <c r="DF270" s="208"/>
      <c r="DG270" s="208"/>
      <c r="DH270" s="208"/>
      <c r="DI270" s="208"/>
      <c r="DJ270" s="208"/>
      <c r="DK270" s="208"/>
      <c r="DL270" s="208"/>
      <c r="DM270" s="208"/>
      <c r="DN270" s="208"/>
      <c r="DO270" s="208"/>
      <c r="DP270" s="208"/>
      <c r="DQ270" s="208"/>
      <c r="DR270" s="208"/>
      <c r="DS270" s="208"/>
      <c r="DT270" s="208"/>
      <c r="DU270" s="208"/>
      <c r="DV270" s="208"/>
      <c r="DW270" s="208"/>
      <c r="DX270" s="208"/>
      <c r="DY270" s="208"/>
      <c r="DZ270" s="208"/>
      <c r="EA270" s="208"/>
      <c r="EB270" s="208"/>
      <c r="EC270" s="208"/>
      <c r="ED270" s="208"/>
      <c r="EE270" s="208"/>
      <c r="EF270" s="208"/>
      <c r="EG270" s="208"/>
      <c r="EH270" s="208"/>
      <c r="EI270" s="208"/>
      <c r="EJ270" s="208"/>
      <c r="EK270" s="208"/>
      <c r="EL270" s="208"/>
      <c r="EM270" s="208"/>
      <c r="EN270" s="208"/>
      <c r="EO270" s="208"/>
      <c r="EP270" s="208"/>
      <c r="EQ270" s="208"/>
      <c r="ER270" s="208"/>
      <c r="ES270" s="208"/>
      <c r="ET270" s="208"/>
      <c r="EU270" s="208"/>
      <c r="EV270" s="208"/>
      <c r="EW270" s="208"/>
      <c r="EX270" s="208"/>
      <c r="EY270" s="208"/>
      <c r="EZ270" s="208"/>
      <c r="FA270" s="208"/>
      <c r="FB270" s="208"/>
      <c r="FC270" s="208"/>
      <c r="FD270" s="208"/>
      <c r="FE270" s="208"/>
      <c r="FF270" s="208"/>
      <c r="FG270" s="208"/>
      <c r="FH270" s="208"/>
      <c r="FI270" s="208"/>
      <c r="FJ270" s="208"/>
      <c r="FK270" s="208"/>
      <c r="FL270" s="208"/>
      <c r="FM270" s="208"/>
      <c r="FN270" s="208"/>
      <c r="FO270" s="208"/>
      <c r="FP270" s="208"/>
      <c r="FQ270" s="208"/>
      <c r="FR270" s="208"/>
      <c r="FS270" s="208"/>
      <c r="FT270" s="208"/>
      <c r="FU270" s="208"/>
      <c r="FV270" s="208"/>
      <c r="FW270" s="208"/>
      <c r="FX270" s="208"/>
      <c r="FY270" s="208"/>
      <c r="FZ270" s="208"/>
      <c r="GA270" s="208"/>
      <c r="GB270" s="208"/>
      <c r="GC270" s="208"/>
      <c r="GD270" s="208"/>
      <c r="GE270" s="208"/>
      <c r="GF270" s="208"/>
      <c r="GG270" s="208"/>
      <c r="GH270" s="208"/>
      <c r="GI270" s="208"/>
      <c r="GJ270" s="208"/>
      <c r="GK270" s="208"/>
      <c r="GL270" s="208"/>
      <c r="GM270" s="208"/>
      <c r="GN270" s="208"/>
      <c r="GO270" s="208"/>
      <c r="GP270" s="208"/>
      <c r="GQ270" s="208"/>
      <c r="GR270" s="208"/>
      <c r="GS270" s="208"/>
      <c r="GT270" s="208"/>
      <c r="GU270" s="208"/>
      <c r="GV270" s="208"/>
      <c r="GW270" s="208"/>
      <c r="GX270" s="208"/>
      <c r="GY270" s="208"/>
      <c r="GZ270" s="208"/>
      <c r="HA270" s="208"/>
      <c r="HB270" s="208"/>
      <c r="HC270" s="208"/>
      <c r="HD270" s="208"/>
      <c r="HE270" s="208"/>
      <c r="HF270" s="208"/>
      <c r="HG270" s="208"/>
      <c r="HH270" s="208"/>
      <c r="HI270" s="208"/>
      <c r="HJ270" s="208"/>
      <c r="HK270" s="208"/>
      <c r="HL270" s="208"/>
      <c r="HM270" s="208"/>
      <c r="HN270" s="208"/>
      <c r="HO270" s="208"/>
      <c r="HP270" s="208"/>
      <c r="HQ270" s="208"/>
      <c r="HR270" s="208"/>
      <c r="HS270" s="208"/>
      <c r="HT270" s="208"/>
      <c r="HU270" s="208"/>
      <c r="HV270" s="208"/>
      <c r="HW270" s="208"/>
      <c r="HX270" s="208"/>
      <c r="HY270" s="208"/>
      <c r="HZ270" s="208"/>
      <c r="IA270" s="208"/>
      <c r="IB270" s="208"/>
      <c r="IC270" s="208"/>
      <c r="ID270" s="208"/>
      <c r="IE270" s="208"/>
      <c r="IF270" s="208"/>
      <c r="IG270" s="208"/>
      <c r="IH270" s="208"/>
      <c r="II270" s="208"/>
      <c r="IJ270" s="208"/>
      <c r="IK270" s="208"/>
      <c r="IL270" s="208"/>
      <c r="IM270" s="208"/>
      <c r="IN270" s="208"/>
      <c r="IO270" s="208"/>
      <c r="IP270" s="208"/>
      <c r="IQ270" s="208"/>
      <c r="IR270" s="208"/>
      <c r="IS270" s="208"/>
      <c r="IT270" s="208"/>
    </row>
    <row r="271" spans="1:254" s="209" customFormat="1" ht="12.75">
      <c r="A271" s="206" t="s">
        <v>300</v>
      </c>
      <c r="B271" s="207">
        <f>'Saimnieciskas pamatdarbibas NP'!B67</f>
        <v>700</v>
      </c>
      <c r="C271" s="207">
        <f>'Saimnieciskas pamatdarbibas NP'!C67</f>
        <v>700</v>
      </c>
      <c r="D271" s="207">
        <f>'Saimnieciskas pamatdarbibas NP'!D67</f>
        <v>703.5</v>
      </c>
      <c r="E271" s="207">
        <f>'Saimnieciskas pamatdarbibas NP'!E67</f>
        <v>1078</v>
      </c>
      <c r="F271" s="635">
        <f>'Saimnieciskas pamatdarbibas NP'!F67</f>
        <v>1095.5</v>
      </c>
      <c r="G271" s="207">
        <f>'Saimnieciskas pamatdarbibas NP'!G67</f>
        <v>1099</v>
      </c>
      <c r="H271" s="207">
        <f>'Saimnieciskas pamatdarbibas NP'!H67</f>
        <v>1106</v>
      </c>
      <c r="I271" s="207">
        <f>'Saimnieciskas pamatdarbibas NP'!I67</f>
        <v>1123.5</v>
      </c>
      <c r="J271" s="207">
        <f>'Saimnieciskas pamatdarbibas NP'!J67</f>
        <v>1141</v>
      </c>
      <c r="K271" s="207">
        <f>'Saimnieciskas pamatdarbibas NP'!K67</f>
        <v>1147.9999999999998</v>
      </c>
      <c r="L271" s="207">
        <f>'Saimnieciskas pamatdarbibas NP'!L67</f>
        <v>1175.9999999999998</v>
      </c>
      <c r="M271" s="207">
        <f>'Saimnieciskas pamatdarbibas NP'!M67</f>
        <v>1190</v>
      </c>
      <c r="N271" s="207">
        <f>'Saimnieciskas pamatdarbibas NP'!N67</f>
        <v>1207.5</v>
      </c>
      <c r="O271" s="207">
        <f>'Saimnieciskas pamatdarbibas NP'!O67</f>
        <v>1214.5</v>
      </c>
      <c r="P271" s="207">
        <f>'Saimnieciskas pamatdarbibas NP'!P67</f>
        <v>1225</v>
      </c>
      <c r="Q271" s="207">
        <f>'Saimnieciskas pamatdarbibas NP'!Q67</f>
        <v>1242.4999999999998</v>
      </c>
      <c r="R271" s="207">
        <f>'Saimnieciskas pamatdarbibas NP'!R67</f>
        <v>1259.9999999999998</v>
      </c>
      <c r="S271" s="207">
        <f>'Saimnieciskas pamatdarbibas NP'!S67</f>
        <v>1298.4999999999998</v>
      </c>
      <c r="T271" s="207">
        <f>'Saimnieciskas pamatdarbibas NP'!T67</f>
        <v>1316</v>
      </c>
      <c r="U271" s="207">
        <f>'Saimnieciskas pamatdarbibas NP'!U67</f>
        <v>1322.9999999999998</v>
      </c>
      <c r="V271" s="207">
        <f>'Saimnieciskas pamatdarbibas NP'!V67</f>
        <v>1333.4999999999998</v>
      </c>
      <c r="W271" s="207">
        <f>'Saimnieciskas pamatdarbibas NP'!W67</f>
        <v>1340.4999999999998</v>
      </c>
      <c r="X271" s="207">
        <f>'Saimnieciskas pamatdarbibas NP'!X67</f>
        <v>1347.5000000000002</v>
      </c>
      <c r="Y271" s="207">
        <f>'Saimnieciskas pamatdarbibas NP'!Y67</f>
        <v>1358.0000000000002</v>
      </c>
      <c r="Z271" s="207">
        <f>'Saimnieciskas pamatdarbibas NP'!Z67</f>
        <v>1365.0000000000002</v>
      </c>
      <c r="AA271" s="207">
        <f>'Saimnieciskas pamatdarbibas NP'!AA67</f>
        <v>1375.5000000000002</v>
      </c>
      <c r="AB271" s="207">
        <f>'Saimnieciskas pamatdarbibas NP'!AB67</f>
        <v>1396.5</v>
      </c>
      <c r="AC271" s="207">
        <f>'Saimnieciskas pamatdarbibas NP'!AC67</f>
        <v>1407</v>
      </c>
      <c r="AD271" s="207">
        <f>'Saimnieciskas pamatdarbibas NP'!AD67</f>
        <v>1400.0000000000002</v>
      </c>
      <c r="AE271" s="207">
        <f>'Saimnieciskas pamatdarbibas NP'!AE67</f>
        <v>1424.5</v>
      </c>
      <c r="AF271" s="207">
        <f>'Saimnieciskas pamatdarbibas NP'!AF67</f>
        <v>1449</v>
      </c>
      <c r="AG271" s="207">
        <f>'Saimnieciskas pamatdarbibas NP'!AG67</f>
        <v>1463</v>
      </c>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208"/>
      <c r="BD271" s="208"/>
      <c r="BE271" s="208"/>
      <c r="BF271" s="208"/>
      <c r="BG271" s="208"/>
      <c r="BH271" s="208"/>
      <c r="BI271" s="208"/>
      <c r="BJ271" s="208"/>
      <c r="BK271" s="208"/>
      <c r="BL271" s="208"/>
      <c r="BM271" s="208"/>
      <c r="BN271" s="208"/>
      <c r="BO271" s="208"/>
      <c r="BP271" s="208"/>
      <c r="BQ271" s="208"/>
      <c r="BR271" s="208"/>
      <c r="BS271" s="208"/>
      <c r="BT271" s="208"/>
      <c r="BU271" s="208"/>
      <c r="BV271" s="208"/>
      <c r="BW271" s="208"/>
      <c r="BX271" s="208"/>
      <c r="BY271" s="208"/>
      <c r="BZ271" s="208"/>
      <c r="CA271" s="208"/>
      <c r="CB271" s="208"/>
      <c r="CC271" s="208"/>
      <c r="CD271" s="208"/>
      <c r="CE271" s="208"/>
      <c r="CF271" s="208"/>
      <c r="CG271" s="208"/>
      <c r="CH271" s="208"/>
      <c r="CI271" s="208"/>
      <c r="CJ271" s="208"/>
      <c r="CK271" s="208"/>
      <c r="CL271" s="208"/>
      <c r="CM271" s="208"/>
      <c r="CN271" s="208"/>
      <c r="CO271" s="208"/>
      <c r="CP271" s="208"/>
      <c r="CQ271" s="208"/>
      <c r="CR271" s="208"/>
      <c r="CS271" s="208"/>
      <c r="CT271" s="208"/>
      <c r="CU271" s="208"/>
      <c r="CV271" s="208"/>
      <c r="CW271" s="208"/>
      <c r="CX271" s="208"/>
      <c r="CY271" s="208"/>
      <c r="CZ271" s="208"/>
      <c r="DA271" s="208"/>
      <c r="DB271" s="208"/>
      <c r="DC271" s="208"/>
      <c r="DD271" s="208"/>
      <c r="DE271" s="208"/>
      <c r="DF271" s="208"/>
      <c r="DG271" s="208"/>
      <c r="DH271" s="208"/>
      <c r="DI271" s="208"/>
      <c r="DJ271" s="208"/>
      <c r="DK271" s="208"/>
      <c r="DL271" s="208"/>
      <c r="DM271" s="208"/>
      <c r="DN271" s="208"/>
      <c r="DO271" s="208"/>
      <c r="DP271" s="208"/>
      <c r="DQ271" s="208"/>
      <c r="DR271" s="208"/>
      <c r="DS271" s="208"/>
      <c r="DT271" s="208"/>
      <c r="DU271" s="208"/>
      <c r="DV271" s="208"/>
      <c r="DW271" s="208"/>
      <c r="DX271" s="208"/>
      <c r="DY271" s="208"/>
      <c r="DZ271" s="208"/>
      <c r="EA271" s="208"/>
      <c r="EB271" s="208"/>
      <c r="EC271" s="208"/>
      <c r="ED271" s="208"/>
      <c r="EE271" s="208"/>
      <c r="EF271" s="208"/>
      <c r="EG271" s="208"/>
      <c r="EH271" s="208"/>
      <c r="EI271" s="208"/>
      <c r="EJ271" s="208"/>
      <c r="EK271" s="208"/>
      <c r="EL271" s="208"/>
      <c r="EM271" s="208"/>
      <c r="EN271" s="208"/>
      <c r="EO271" s="208"/>
      <c r="EP271" s="208"/>
      <c r="EQ271" s="208"/>
      <c r="ER271" s="208"/>
      <c r="ES271" s="208"/>
      <c r="ET271" s="208"/>
      <c r="EU271" s="208"/>
      <c r="EV271" s="208"/>
      <c r="EW271" s="208"/>
      <c r="EX271" s="208"/>
      <c r="EY271" s="208"/>
      <c r="EZ271" s="208"/>
      <c r="FA271" s="208"/>
      <c r="FB271" s="208"/>
      <c r="FC271" s="208"/>
      <c r="FD271" s="208"/>
      <c r="FE271" s="208"/>
      <c r="FF271" s="208"/>
      <c r="FG271" s="208"/>
      <c r="FH271" s="208"/>
      <c r="FI271" s="208"/>
      <c r="FJ271" s="208"/>
      <c r="FK271" s="208"/>
      <c r="FL271" s="208"/>
      <c r="FM271" s="208"/>
      <c r="FN271" s="208"/>
      <c r="FO271" s="208"/>
      <c r="FP271" s="208"/>
      <c r="FQ271" s="208"/>
      <c r="FR271" s="208"/>
      <c r="FS271" s="208"/>
      <c r="FT271" s="208"/>
      <c r="FU271" s="208"/>
      <c r="FV271" s="208"/>
      <c r="FW271" s="208"/>
      <c r="FX271" s="208"/>
      <c r="FY271" s="208"/>
      <c r="FZ271" s="208"/>
      <c r="GA271" s="208"/>
      <c r="GB271" s="208"/>
      <c r="GC271" s="208"/>
      <c r="GD271" s="208"/>
      <c r="GE271" s="208"/>
      <c r="GF271" s="208"/>
      <c r="GG271" s="208"/>
      <c r="GH271" s="208"/>
      <c r="GI271" s="208"/>
      <c r="GJ271" s="208"/>
      <c r="GK271" s="208"/>
      <c r="GL271" s="208"/>
      <c r="GM271" s="208"/>
      <c r="GN271" s="208"/>
      <c r="GO271" s="208"/>
      <c r="GP271" s="208"/>
      <c r="GQ271" s="208"/>
      <c r="GR271" s="208"/>
      <c r="GS271" s="208"/>
      <c r="GT271" s="208"/>
      <c r="GU271" s="208"/>
      <c r="GV271" s="208"/>
      <c r="GW271" s="208"/>
      <c r="GX271" s="208"/>
      <c r="GY271" s="208"/>
      <c r="GZ271" s="208"/>
      <c r="HA271" s="208"/>
      <c r="HB271" s="208"/>
      <c r="HC271" s="208"/>
      <c r="HD271" s="208"/>
      <c r="HE271" s="208"/>
      <c r="HF271" s="208"/>
      <c r="HG271" s="208"/>
      <c r="HH271" s="208"/>
      <c r="HI271" s="208"/>
      <c r="HJ271" s="208"/>
      <c r="HK271" s="208"/>
      <c r="HL271" s="208"/>
      <c r="HM271" s="208"/>
      <c r="HN271" s="208"/>
      <c r="HO271" s="208"/>
      <c r="HP271" s="208"/>
      <c r="HQ271" s="208"/>
      <c r="HR271" s="208"/>
      <c r="HS271" s="208"/>
      <c r="HT271" s="208"/>
      <c r="HU271" s="208"/>
      <c r="HV271" s="208"/>
      <c r="HW271" s="208"/>
      <c r="HX271" s="208"/>
      <c r="HY271" s="208"/>
      <c r="HZ271" s="208"/>
      <c r="IA271" s="208"/>
      <c r="IB271" s="208"/>
      <c r="IC271" s="208"/>
      <c r="ID271" s="208"/>
      <c r="IE271" s="208"/>
      <c r="IF271" s="208"/>
      <c r="IG271" s="208"/>
      <c r="IH271" s="208"/>
      <c r="II271" s="208"/>
      <c r="IJ271" s="208"/>
      <c r="IK271" s="208"/>
      <c r="IL271" s="208"/>
      <c r="IM271" s="208"/>
      <c r="IN271" s="208"/>
      <c r="IO271" s="208"/>
      <c r="IP271" s="208"/>
      <c r="IQ271" s="208"/>
      <c r="IR271" s="208"/>
      <c r="IS271" s="208"/>
      <c r="IT271" s="208"/>
    </row>
    <row r="272" spans="1:254" s="209" customFormat="1" ht="12.75">
      <c r="A272" s="206" t="s">
        <v>301</v>
      </c>
      <c r="B272" s="207">
        <f>'Saimnieciskas pamatdarbibas NP'!B68</f>
        <v>5000</v>
      </c>
      <c r="C272" s="207">
        <f>'Saimnieciskas pamatdarbibas NP'!C68</f>
        <v>5000</v>
      </c>
      <c r="D272" s="207">
        <f>'Saimnieciskas pamatdarbibas NP'!D68</f>
        <v>5025</v>
      </c>
      <c r="E272" s="207">
        <f>'Saimnieciskas pamatdarbibas NP'!E68</f>
        <v>7700</v>
      </c>
      <c r="F272" s="635">
        <f>'Saimnieciskas pamatdarbibas NP'!F68</f>
        <v>7825</v>
      </c>
      <c r="G272" s="207">
        <f>'Saimnieciskas pamatdarbibas NP'!G68</f>
        <v>7850</v>
      </c>
      <c r="H272" s="207">
        <f>'Saimnieciskas pamatdarbibas NP'!H68</f>
        <v>7900</v>
      </c>
      <c r="I272" s="207">
        <f>'Saimnieciskas pamatdarbibas NP'!I68</f>
        <v>8025</v>
      </c>
      <c r="J272" s="207">
        <f>'Saimnieciskas pamatdarbibas NP'!J68</f>
        <v>8150</v>
      </c>
      <c r="K272" s="207">
        <f>'Saimnieciskas pamatdarbibas NP'!K68</f>
        <v>8199.999999999998</v>
      </c>
      <c r="L272" s="207">
        <f>'Saimnieciskas pamatdarbibas NP'!L68</f>
        <v>8400</v>
      </c>
      <c r="M272" s="207">
        <f>'Saimnieciskas pamatdarbibas NP'!M68</f>
        <v>8500</v>
      </c>
      <c r="N272" s="207">
        <f>'Saimnieciskas pamatdarbibas NP'!N68</f>
        <v>8625</v>
      </c>
      <c r="O272" s="207">
        <f>'Saimnieciskas pamatdarbibas NP'!O68</f>
        <v>8675</v>
      </c>
      <c r="P272" s="207">
        <f>'Saimnieciskas pamatdarbibas NP'!P68</f>
        <v>8750</v>
      </c>
      <c r="Q272" s="207">
        <f>'Saimnieciskas pamatdarbibas NP'!Q68</f>
        <v>8874.999999999998</v>
      </c>
      <c r="R272" s="207">
        <f>'Saimnieciskas pamatdarbibas NP'!R68</f>
        <v>8999.999999999998</v>
      </c>
      <c r="S272" s="207">
        <f>'Saimnieciskas pamatdarbibas NP'!S68</f>
        <v>9274.999999999998</v>
      </c>
      <c r="T272" s="207">
        <f>'Saimnieciskas pamatdarbibas NP'!T68</f>
        <v>9400</v>
      </c>
      <c r="U272" s="207">
        <f>'Saimnieciskas pamatdarbibas NP'!U68</f>
        <v>9449.999999999998</v>
      </c>
      <c r="V272" s="207">
        <f>'Saimnieciskas pamatdarbibas NP'!V68</f>
        <v>9524.999999999998</v>
      </c>
      <c r="W272" s="207">
        <f>'Saimnieciskas pamatdarbibas NP'!W68</f>
        <v>9574.999999999998</v>
      </c>
      <c r="X272" s="207">
        <f>'Saimnieciskas pamatdarbibas NP'!X68</f>
        <v>9625.000000000002</v>
      </c>
      <c r="Y272" s="207">
        <f>'Saimnieciskas pamatdarbibas NP'!Y68</f>
        <v>9700.000000000002</v>
      </c>
      <c r="Z272" s="207">
        <f>'Saimnieciskas pamatdarbibas NP'!Z68</f>
        <v>9750.000000000002</v>
      </c>
      <c r="AA272" s="207">
        <f>'Saimnieciskas pamatdarbibas NP'!AA68</f>
        <v>9825.000000000002</v>
      </c>
      <c r="AB272" s="207">
        <f>'Saimnieciskas pamatdarbibas NP'!AB68</f>
        <v>9975</v>
      </c>
      <c r="AC272" s="207">
        <f>'Saimnieciskas pamatdarbibas NP'!AC68</f>
        <v>10050</v>
      </c>
      <c r="AD272" s="207">
        <f>'Saimnieciskas pamatdarbibas NP'!AD68</f>
        <v>10000.000000000002</v>
      </c>
      <c r="AE272" s="207">
        <f>'Saimnieciskas pamatdarbibas NP'!AE68</f>
        <v>10175</v>
      </c>
      <c r="AF272" s="207">
        <f>'Saimnieciskas pamatdarbibas NP'!AF68</f>
        <v>10350</v>
      </c>
      <c r="AG272" s="207">
        <f>'Saimnieciskas pamatdarbibas NP'!AG68</f>
        <v>10450</v>
      </c>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208"/>
      <c r="BD272" s="208"/>
      <c r="BE272" s="208"/>
      <c r="BF272" s="208"/>
      <c r="BG272" s="208"/>
      <c r="BH272" s="208"/>
      <c r="BI272" s="208"/>
      <c r="BJ272" s="208"/>
      <c r="BK272" s="208"/>
      <c r="BL272" s="208"/>
      <c r="BM272" s="208"/>
      <c r="BN272" s="208"/>
      <c r="BO272" s="208"/>
      <c r="BP272" s="208"/>
      <c r="BQ272" s="208"/>
      <c r="BR272" s="208"/>
      <c r="BS272" s="208"/>
      <c r="BT272" s="208"/>
      <c r="BU272" s="208"/>
      <c r="BV272" s="208"/>
      <c r="BW272" s="208"/>
      <c r="BX272" s="208"/>
      <c r="BY272" s="208"/>
      <c r="BZ272" s="208"/>
      <c r="CA272" s="208"/>
      <c r="CB272" s="208"/>
      <c r="CC272" s="208"/>
      <c r="CD272" s="208"/>
      <c r="CE272" s="208"/>
      <c r="CF272" s="208"/>
      <c r="CG272" s="208"/>
      <c r="CH272" s="208"/>
      <c r="CI272" s="208"/>
      <c r="CJ272" s="208"/>
      <c r="CK272" s="208"/>
      <c r="CL272" s="208"/>
      <c r="CM272" s="208"/>
      <c r="CN272" s="208"/>
      <c r="CO272" s="208"/>
      <c r="CP272" s="208"/>
      <c r="CQ272" s="208"/>
      <c r="CR272" s="208"/>
      <c r="CS272" s="208"/>
      <c r="CT272" s="208"/>
      <c r="CU272" s="208"/>
      <c r="CV272" s="208"/>
      <c r="CW272" s="208"/>
      <c r="CX272" s="208"/>
      <c r="CY272" s="208"/>
      <c r="CZ272" s="208"/>
      <c r="DA272" s="208"/>
      <c r="DB272" s="208"/>
      <c r="DC272" s="208"/>
      <c r="DD272" s="208"/>
      <c r="DE272" s="208"/>
      <c r="DF272" s="208"/>
      <c r="DG272" s="208"/>
      <c r="DH272" s="208"/>
      <c r="DI272" s="208"/>
      <c r="DJ272" s="208"/>
      <c r="DK272" s="208"/>
      <c r="DL272" s="208"/>
      <c r="DM272" s="208"/>
      <c r="DN272" s="208"/>
      <c r="DO272" s="208"/>
      <c r="DP272" s="208"/>
      <c r="DQ272" s="208"/>
      <c r="DR272" s="208"/>
      <c r="DS272" s="208"/>
      <c r="DT272" s="208"/>
      <c r="DU272" s="208"/>
      <c r="DV272" s="208"/>
      <c r="DW272" s="208"/>
      <c r="DX272" s="208"/>
      <c r="DY272" s="208"/>
      <c r="DZ272" s="208"/>
      <c r="EA272" s="208"/>
      <c r="EB272" s="208"/>
      <c r="EC272" s="208"/>
      <c r="ED272" s="208"/>
      <c r="EE272" s="208"/>
      <c r="EF272" s="208"/>
      <c r="EG272" s="208"/>
      <c r="EH272" s="208"/>
      <c r="EI272" s="208"/>
      <c r="EJ272" s="208"/>
      <c r="EK272" s="208"/>
      <c r="EL272" s="208"/>
      <c r="EM272" s="208"/>
      <c r="EN272" s="208"/>
      <c r="EO272" s="208"/>
      <c r="EP272" s="208"/>
      <c r="EQ272" s="208"/>
      <c r="ER272" s="208"/>
      <c r="ES272" s="208"/>
      <c r="ET272" s="208"/>
      <c r="EU272" s="208"/>
      <c r="EV272" s="208"/>
      <c r="EW272" s="208"/>
      <c r="EX272" s="208"/>
      <c r="EY272" s="208"/>
      <c r="EZ272" s="208"/>
      <c r="FA272" s="208"/>
      <c r="FB272" s="208"/>
      <c r="FC272" s="208"/>
      <c r="FD272" s="208"/>
      <c r="FE272" s="208"/>
      <c r="FF272" s="208"/>
      <c r="FG272" s="208"/>
      <c r="FH272" s="208"/>
      <c r="FI272" s="208"/>
      <c r="FJ272" s="208"/>
      <c r="FK272" s="208"/>
      <c r="FL272" s="208"/>
      <c r="FM272" s="208"/>
      <c r="FN272" s="208"/>
      <c r="FO272" s="208"/>
      <c r="FP272" s="208"/>
      <c r="FQ272" s="208"/>
      <c r="FR272" s="208"/>
      <c r="FS272" s="208"/>
      <c r="FT272" s="208"/>
      <c r="FU272" s="208"/>
      <c r="FV272" s="208"/>
      <c r="FW272" s="208"/>
      <c r="FX272" s="208"/>
      <c r="FY272" s="208"/>
      <c r="FZ272" s="208"/>
      <c r="GA272" s="208"/>
      <c r="GB272" s="208"/>
      <c r="GC272" s="208"/>
      <c r="GD272" s="208"/>
      <c r="GE272" s="208"/>
      <c r="GF272" s="208"/>
      <c r="GG272" s="208"/>
      <c r="GH272" s="208"/>
      <c r="GI272" s="208"/>
      <c r="GJ272" s="208"/>
      <c r="GK272" s="208"/>
      <c r="GL272" s="208"/>
      <c r="GM272" s="208"/>
      <c r="GN272" s="208"/>
      <c r="GO272" s="208"/>
      <c r="GP272" s="208"/>
      <c r="GQ272" s="208"/>
      <c r="GR272" s="208"/>
      <c r="GS272" s="208"/>
      <c r="GT272" s="208"/>
      <c r="GU272" s="208"/>
      <c r="GV272" s="208"/>
      <c r="GW272" s="208"/>
      <c r="GX272" s="208"/>
      <c r="GY272" s="208"/>
      <c r="GZ272" s="208"/>
      <c r="HA272" s="208"/>
      <c r="HB272" s="208"/>
      <c r="HC272" s="208"/>
      <c r="HD272" s="208"/>
      <c r="HE272" s="208"/>
      <c r="HF272" s="208"/>
      <c r="HG272" s="208"/>
      <c r="HH272" s="208"/>
      <c r="HI272" s="208"/>
      <c r="HJ272" s="208"/>
      <c r="HK272" s="208"/>
      <c r="HL272" s="208"/>
      <c r="HM272" s="208"/>
      <c r="HN272" s="208"/>
      <c r="HO272" s="208"/>
      <c r="HP272" s="208"/>
      <c r="HQ272" s="208"/>
      <c r="HR272" s="208"/>
      <c r="HS272" s="208"/>
      <c r="HT272" s="208"/>
      <c r="HU272" s="208"/>
      <c r="HV272" s="208"/>
      <c r="HW272" s="208"/>
      <c r="HX272" s="208"/>
      <c r="HY272" s="208"/>
      <c r="HZ272" s="208"/>
      <c r="IA272" s="208"/>
      <c r="IB272" s="208"/>
      <c r="IC272" s="208"/>
      <c r="ID272" s="208"/>
      <c r="IE272" s="208"/>
      <c r="IF272" s="208"/>
      <c r="IG272" s="208"/>
      <c r="IH272" s="208"/>
      <c r="II272" s="208"/>
      <c r="IJ272" s="208"/>
      <c r="IK272" s="208"/>
      <c r="IL272" s="208"/>
      <c r="IM272" s="208"/>
      <c r="IN272" s="208"/>
      <c r="IO272" s="208"/>
      <c r="IP272" s="208"/>
      <c r="IQ272" s="208"/>
      <c r="IR272" s="208"/>
      <c r="IS272" s="208"/>
      <c r="IT272" s="208"/>
    </row>
    <row r="273" spans="1:254" s="157" customFormat="1" ht="12.75">
      <c r="A273" s="556" t="s">
        <v>117</v>
      </c>
      <c r="B273" s="154">
        <f>SUM(B39,B45,B51)*$B$157</f>
        <v>0</v>
      </c>
      <c r="C273" s="154">
        <f aca="true" t="shared" si="95" ref="C273:AG273">SUM(C39,C45,C51)*$B$157</f>
        <v>0</v>
      </c>
      <c r="D273" s="154">
        <f t="shared" si="95"/>
        <v>0</v>
      </c>
      <c r="E273" s="154">
        <f t="shared" si="95"/>
        <v>4821.699257705888</v>
      </c>
      <c r="F273" s="635">
        <f t="shared" si="95"/>
        <v>4821.699257705888</v>
      </c>
      <c r="G273" s="154">
        <f t="shared" si="95"/>
        <v>4821.699257705888</v>
      </c>
      <c r="H273" s="154">
        <f t="shared" si="95"/>
        <v>4821.699257705888</v>
      </c>
      <c r="I273" s="154">
        <f t="shared" si="95"/>
        <v>4821.699257705888</v>
      </c>
      <c r="J273" s="154">
        <f t="shared" si="95"/>
        <v>4821.699257705888</v>
      </c>
      <c r="K273" s="154">
        <f t="shared" si="95"/>
        <v>4821.699257705888</v>
      </c>
      <c r="L273" s="154">
        <f t="shared" si="95"/>
        <v>4821.699257705888</v>
      </c>
      <c r="M273" s="154">
        <f t="shared" si="95"/>
        <v>4821.699257705888</v>
      </c>
      <c r="N273" s="154">
        <f t="shared" si="95"/>
        <v>4821.699257705888</v>
      </c>
      <c r="O273" s="154">
        <f t="shared" si="95"/>
        <v>4333.911678251957</v>
      </c>
      <c r="P273" s="154">
        <f t="shared" si="95"/>
        <v>4333.911678251957</v>
      </c>
      <c r="Q273" s="154">
        <f t="shared" si="95"/>
        <v>4333.911678251957</v>
      </c>
      <c r="R273" s="154">
        <f t="shared" si="95"/>
        <v>4333.911678251957</v>
      </c>
      <c r="S273" s="154">
        <f t="shared" si="95"/>
        <v>4333.911678251957</v>
      </c>
      <c r="T273" s="154">
        <f t="shared" si="95"/>
        <v>2604.8056383049825</v>
      </c>
      <c r="U273" s="154">
        <f t="shared" si="95"/>
        <v>2604.8056383049825</v>
      </c>
      <c r="V273" s="154">
        <f t="shared" si="95"/>
        <v>2604.8056383049825</v>
      </c>
      <c r="W273" s="154">
        <f t="shared" si="95"/>
        <v>2604.8056383049825</v>
      </c>
      <c r="X273" s="154">
        <f t="shared" si="95"/>
        <v>2604.8056383049825</v>
      </c>
      <c r="Y273" s="154">
        <f t="shared" si="95"/>
        <v>2604.8056383049825</v>
      </c>
      <c r="Z273" s="154">
        <f t="shared" si="95"/>
        <v>2604.8056383049825</v>
      </c>
      <c r="AA273" s="154">
        <f t="shared" si="95"/>
        <v>2604.8056383049825</v>
      </c>
      <c r="AB273" s="154">
        <f t="shared" si="95"/>
        <v>2604.8056383049825</v>
      </c>
      <c r="AC273" s="154">
        <f t="shared" si="95"/>
        <v>2604.8056383049825</v>
      </c>
      <c r="AD273" s="154">
        <f t="shared" si="95"/>
        <v>2604.8056383049825</v>
      </c>
      <c r="AE273" s="154">
        <f t="shared" si="95"/>
        <v>2604.8056383049825</v>
      </c>
      <c r="AF273" s="154">
        <f t="shared" si="95"/>
        <v>2604.8056383049825</v>
      </c>
      <c r="AG273" s="154">
        <f t="shared" si="95"/>
        <v>2604.8056383049825</v>
      </c>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c r="CS273" s="155"/>
      <c r="CT273" s="155"/>
      <c r="CU273" s="155"/>
      <c r="CV273" s="155"/>
      <c r="CW273" s="155"/>
      <c r="CX273" s="155"/>
      <c r="CY273" s="155"/>
      <c r="CZ273" s="155"/>
      <c r="DA273" s="155"/>
      <c r="DB273" s="155"/>
      <c r="DC273" s="155"/>
      <c r="DD273" s="155"/>
      <c r="DE273" s="155"/>
      <c r="DF273" s="155"/>
      <c r="DG273" s="155"/>
      <c r="DH273" s="155"/>
      <c r="DI273" s="155"/>
      <c r="DJ273" s="155"/>
      <c r="DK273" s="155"/>
      <c r="DL273" s="155"/>
      <c r="DM273" s="155"/>
      <c r="DN273" s="155"/>
      <c r="DO273" s="155"/>
      <c r="DP273" s="155"/>
      <c r="DQ273" s="155"/>
      <c r="DR273" s="155"/>
      <c r="DS273" s="155"/>
      <c r="DT273" s="155"/>
      <c r="DU273" s="155"/>
      <c r="DV273" s="155"/>
      <c r="DW273" s="155"/>
      <c r="DX273" s="155"/>
      <c r="DY273" s="155"/>
      <c r="DZ273" s="155"/>
      <c r="EA273" s="155"/>
      <c r="EB273" s="155"/>
      <c r="EC273" s="155"/>
      <c r="ED273" s="155"/>
      <c r="EE273" s="155"/>
      <c r="EF273" s="155"/>
      <c r="EG273" s="155"/>
      <c r="EH273" s="155"/>
      <c r="EI273" s="155"/>
      <c r="EJ273" s="155"/>
      <c r="EK273" s="155"/>
      <c r="EL273" s="155"/>
      <c r="EM273" s="155"/>
      <c r="EN273" s="155"/>
      <c r="EO273" s="155"/>
      <c r="EP273" s="155"/>
      <c r="EQ273" s="155"/>
      <c r="ER273" s="155"/>
      <c r="ES273" s="155"/>
      <c r="ET273" s="155"/>
      <c r="EU273" s="155"/>
      <c r="EV273" s="155"/>
      <c r="EW273" s="155"/>
      <c r="EX273" s="155"/>
      <c r="EY273" s="155"/>
      <c r="EZ273" s="155"/>
      <c r="FA273" s="155"/>
      <c r="FB273" s="155"/>
      <c r="FC273" s="155"/>
      <c r="FD273" s="155"/>
      <c r="FE273" s="155"/>
      <c r="FF273" s="155"/>
      <c r="FG273" s="155"/>
      <c r="FH273" s="155"/>
      <c r="FI273" s="155"/>
      <c r="FJ273" s="155"/>
      <c r="FK273" s="155"/>
      <c r="FL273" s="155"/>
      <c r="FM273" s="155"/>
      <c r="FN273" s="155"/>
      <c r="FO273" s="155"/>
      <c r="FP273" s="155"/>
      <c r="FQ273" s="155"/>
      <c r="FR273" s="155"/>
      <c r="FS273" s="155"/>
      <c r="FT273" s="155"/>
      <c r="FU273" s="155"/>
      <c r="FV273" s="155"/>
      <c r="FW273" s="155"/>
      <c r="FX273" s="155"/>
      <c r="FY273" s="155"/>
      <c r="FZ273" s="155"/>
      <c r="GA273" s="155"/>
      <c r="GB273" s="155"/>
      <c r="GC273" s="155"/>
      <c r="GD273" s="155"/>
      <c r="GE273" s="155"/>
      <c r="GF273" s="155"/>
      <c r="GG273" s="155"/>
      <c r="GH273" s="155"/>
      <c r="GI273" s="155"/>
      <c r="GJ273" s="155"/>
      <c r="GK273" s="155"/>
      <c r="GL273" s="155"/>
      <c r="GM273" s="155"/>
      <c r="GN273" s="155"/>
      <c r="GO273" s="155"/>
      <c r="GP273" s="155"/>
      <c r="GQ273" s="155"/>
      <c r="GR273" s="155"/>
      <c r="GS273" s="155"/>
      <c r="GT273" s="155"/>
      <c r="GU273" s="155"/>
      <c r="GV273" s="155"/>
      <c r="GW273" s="155"/>
      <c r="GX273" s="155"/>
      <c r="GY273" s="155"/>
      <c r="GZ273" s="155"/>
      <c r="HA273" s="155"/>
      <c r="HB273" s="155"/>
      <c r="HC273" s="155"/>
      <c r="HD273" s="155"/>
      <c r="HE273" s="155"/>
      <c r="HF273" s="155"/>
      <c r="HG273" s="155"/>
      <c r="HH273" s="155"/>
      <c r="HI273" s="155"/>
      <c r="HJ273" s="155"/>
      <c r="HK273" s="155"/>
      <c r="HL273" s="155"/>
      <c r="HM273" s="155"/>
      <c r="HN273" s="155"/>
      <c r="HO273" s="155"/>
      <c r="HP273" s="155"/>
      <c r="HQ273" s="155"/>
      <c r="HR273" s="155"/>
      <c r="HS273" s="155"/>
      <c r="HT273" s="155"/>
      <c r="HU273" s="155"/>
      <c r="HV273" s="155"/>
      <c r="HW273" s="155"/>
      <c r="HX273" s="155"/>
      <c r="HY273" s="155"/>
      <c r="HZ273" s="155"/>
      <c r="IA273" s="155"/>
      <c r="IB273" s="155"/>
      <c r="IC273" s="155"/>
      <c r="ID273" s="155"/>
      <c r="IE273" s="155"/>
      <c r="IF273" s="155"/>
      <c r="IG273" s="155"/>
      <c r="IH273" s="155"/>
      <c r="II273" s="155"/>
      <c r="IJ273" s="155"/>
      <c r="IK273" s="155"/>
      <c r="IL273" s="155"/>
      <c r="IM273" s="155"/>
      <c r="IN273" s="155"/>
      <c r="IO273" s="155"/>
      <c r="IP273" s="155"/>
      <c r="IQ273" s="155"/>
      <c r="IR273" s="155"/>
      <c r="IS273" s="155"/>
      <c r="IT273" s="155"/>
    </row>
    <row r="274" spans="1:254" s="209" customFormat="1" ht="12.75">
      <c r="A274" s="381" t="s">
        <v>302</v>
      </c>
      <c r="B274" s="382">
        <f>SUM(B275:B278)</f>
        <v>14475.449999999999</v>
      </c>
      <c r="C274" s="382">
        <f aca="true" t="shared" si="96" ref="C274:AG274">SUM(C275:C278)</f>
        <v>14475.449999999999</v>
      </c>
      <c r="D274" s="382">
        <f t="shared" si="96"/>
        <v>16966.04</v>
      </c>
      <c r="E274" s="382">
        <f t="shared" si="96"/>
        <v>27204.90893281645</v>
      </c>
      <c r="F274" s="655">
        <f t="shared" si="96"/>
        <v>27312.28893281645</v>
      </c>
      <c r="G274" s="382">
        <f t="shared" si="96"/>
        <v>27580.738932816446</v>
      </c>
      <c r="H274" s="382">
        <f t="shared" si="96"/>
        <v>27956.568932816448</v>
      </c>
      <c r="I274" s="382">
        <f t="shared" si="96"/>
        <v>28332.39893281645</v>
      </c>
      <c r="J274" s="382">
        <f t="shared" si="96"/>
        <v>28386.088932816445</v>
      </c>
      <c r="K274" s="382">
        <f t="shared" si="96"/>
        <v>28761.918932816447</v>
      </c>
      <c r="L274" s="382">
        <f t="shared" si="96"/>
        <v>28922.988932816446</v>
      </c>
      <c r="M274" s="382">
        <f t="shared" si="96"/>
        <v>29298.81893281645</v>
      </c>
      <c r="N274" s="382">
        <f t="shared" si="96"/>
        <v>29674.648932816443</v>
      </c>
      <c r="O274" s="382">
        <f t="shared" si="96"/>
        <v>29283.973099009676</v>
      </c>
      <c r="P274" s="382">
        <f t="shared" si="96"/>
        <v>29659.803099009678</v>
      </c>
      <c r="Q274" s="382">
        <f t="shared" si="96"/>
        <v>30035.63309900968</v>
      </c>
      <c r="R274" s="382">
        <f t="shared" si="96"/>
        <v>30465.15309900968</v>
      </c>
      <c r="S274" s="382">
        <f t="shared" si="96"/>
        <v>30840.98309900968</v>
      </c>
      <c r="T274" s="382">
        <f t="shared" si="96"/>
        <v>29681.948481936968</v>
      </c>
      <c r="U274" s="382">
        <f t="shared" si="96"/>
        <v>29843.01848193697</v>
      </c>
      <c r="V274" s="382">
        <f t="shared" si="96"/>
        <v>30326.22848193697</v>
      </c>
      <c r="W274" s="382">
        <f t="shared" si="96"/>
        <v>30540.988481936973</v>
      </c>
      <c r="X274" s="382">
        <f t="shared" si="96"/>
        <v>30755.748481936964</v>
      </c>
      <c r="Y274" s="382">
        <f t="shared" si="96"/>
        <v>30970.50848193697</v>
      </c>
      <c r="Z274" s="382">
        <f t="shared" si="96"/>
        <v>31185.268481936968</v>
      </c>
      <c r="AA274" s="382">
        <f t="shared" si="96"/>
        <v>31346.33848193696</v>
      </c>
      <c r="AB274" s="382">
        <f t="shared" si="96"/>
        <v>31561.09848193697</v>
      </c>
      <c r="AC274" s="382">
        <f t="shared" si="96"/>
        <v>31775.858481936975</v>
      </c>
      <c r="AD274" s="382">
        <f t="shared" si="96"/>
        <v>31990.61848193697</v>
      </c>
      <c r="AE274" s="382">
        <f t="shared" si="96"/>
        <v>32205.37848193697</v>
      </c>
      <c r="AF274" s="382">
        <f t="shared" si="96"/>
        <v>32581.208481936974</v>
      </c>
      <c r="AG274" s="382">
        <f t="shared" si="96"/>
        <v>32957.038481936965</v>
      </c>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208"/>
      <c r="BD274" s="208"/>
      <c r="BE274" s="208"/>
      <c r="BF274" s="208"/>
      <c r="BG274" s="208"/>
      <c r="BH274" s="208"/>
      <c r="BI274" s="208"/>
      <c r="BJ274" s="208"/>
      <c r="BK274" s="208"/>
      <c r="BL274" s="208"/>
      <c r="BM274" s="208"/>
      <c r="BN274" s="208"/>
      <c r="BO274" s="208"/>
      <c r="BP274" s="208"/>
      <c r="BQ274" s="208"/>
      <c r="BR274" s="208"/>
      <c r="BS274" s="208"/>
      <c r="BT274" s="208"/>
      <c r="BU274" s="208"/>
      <c r="BV274" s="208"/>
      <c r="BW274" s="208"/>
      <c r="BX274" s="208"/>
      <c r="BY274" s="208"/>
      <c r="BZ274" s="208"/>
      <c r="CA274" s="208"/>
      <c r="CB274" s="208"/>
      <c r="CC274" s="208"/>
      <c r="CD274" s="208"/>
      <c r="CE274" s="208"/>
      <c r="CF274" s="208"/>
      <c r="CG274" s="208"/>
      <c r="CH274" s="208"/>
      <c r="CI274" s="208"/>
      <c r="CJ274" s="208"/>
      <c r="CK274" s="208"/>
      <c r="CL274" s="208"/>
      <c r="CM274" s="208"/>
      <c r="CN274" s="208"/>
      <c r="CO274" s="208"/>
      <c r="CP274" s="208"/>
      <c r="CQ274" s="208"/>
      <c r="CR274" s="208"/>
      <c r="CS274" s="208"/>
      <c r="CT274" s="208"/>
      <c r="CU274" s="208"/>
      <c r="CV274" s="208"/>
      <c r="CW274" s="208"/>
      <c r="CX274" s="208"/>
      <c r="CY274" s="208"/>
      <c r="CZ274" s="208"/>
      <c r="DA274" s="208"/>
      <c r="DB274" s="208"/>
      <c r="DC274" s="208"/>
      <c r="DD274" s="208"/>
      <c r="DE274" s="208"/>
      <c r="DF274" s="208"/>
      <c r="DG274" s="208"/>
      <c r="DH274" s="208"/>
      <c r="DI274" s="208"/>
      <c r="DJ274" s="208"/>
      <c r="DK274" s="208"/>
      <c r="DL274" s="208"/>
      <c r="DM274" s="208"/>
      <c r="DN274" s="208"/>
      <c r="DO274" s="208"/>
      <c r="DP274" s="208"/>
      <c r="DQ274" s="208"/>
      <c r="DR274" s="208"/>
      <c r="DS274" s="208"/>
      <c r="DT274" s="208"/>
      <c r="DU274" s="208"/>
      <c r="DV274" s="208"/>
      <c r="DW274" s="208"/>
      <c r="DX274" s="208"/>
      <c r="DY274" s="208"/>
      <c r="DZ274" s="208"/>
      <c r="EA274" s="208"/>
      <c r="EB274" s="208"/>
      <c r="EC274" s="208"/>
      <c r="ED274" s="208"/>
      <c r="EE274" s="208"/>
      <c r="EF274" s="208"/>
      <c r="EG274" s="208"/>
      <c r="EH274" s="208"/>
      <c r="EI274" s="208"/>
      <c r="EJ274" s="208"/>
      <c r="EK274" s="208"/>
      <c r="EL274" s="208"/>
      <c r="EM274" s="208"/>
      <c r="EN274" s="208"/>
      <c r="EO274" s="208"/>
      <c r="EP274" s="208"/>
      <c r="EQ274" s="208"/>
      <c r="ER274" s="208"/>
      <c r="ES274" s="208"/>
      <c r="ET274" s="208"/>
      <c r="EU274" s="208"/>
      <c r="EV274" s="208"/>
      <c r="EW274" s="208"/>
      <c r="EX274" s="208"/>
      <c r="EY274" s="208"/>
      <c r="EZ274" s="208"/>
      <c r="FA274" s="208"/>
      <c r="FB274" s="208"/>
      <c r="FC274" s="208"/>
      <c r="FD274" s="208"/>
      <c r="FE274" s="208"/>
      <c r="FF274" s="208"/>
      <c r="FG274" s="208"/>
      <c r="FH274" s="208"/>
      <c r="FI274" s="208"/>
      <c r="FJ274" s="208"/>
      <c r="FK274" s="208"/>
      <c r="FL274" s="208"/>
      <c r="FM274" s="208"/>
      <c r="FN274" s="208"/>
      <c r="FO274" s="208"/>
      <c r="FP274" s="208"/>
      <c r="FQ274" s="208"/>
      <c r="FR274" s="208"/>
      <c r="FS274" s="208"/>
      <c r="FT274" s="208"/>
      <c r="FU274" s="208"/>
      <c r="FV274" s="208"/>
      <c r="FW274" s="208"/>
      <c r="FX274" s="208"/>
      <c r="FY274" s="208"/>
      <c r="FZ274" s="208"/>
      <c r="GA274" s="208"/>
      <c r="GB274" s="208"/>
      <c r="GC274" s="208"/>
      <c r="GD274" s="208"/>
      <c r="GE274" s="208"/>
      <c r="GF274" s="208"/>
      <c r="GG274" s="208"/>
      <c r="GH274" s="208"/>
      <c r="GI274" s="208"/>
      <c r="GJ274" s="208"/>
      <c r="GK274" s="208"/>
      <c r="GL274" s="208"/>
      <c r="GM274" s="208"/>
      <c r="GN274" s="208"/>
      <c r="GO274" s="208"/>
      <c r="GP274" s="208"/>
      <c r="GQ274" s="208"/>
      <c r="GR274" s="208"/>
      <c r="GS274" s="208"/>
      <c r="GT274" s="208"/>
      <c r="GU274" s="208"/>
      <c r="GV274" s="208"/>
      <c r="GW274" s="208"/>
      <c r="GX274" s="208"/>
      <c r="GY274" s="208"/>
      <c r="GZ274" s="208"/>
      <c r="HA274" s="208"/>
      <c r="HB274" s="208"/>
      <c r="HC274" s="208"/>
      <c r="HD274" s="208"/>
      <c r="HE274" s="208"/>
      <c r="HF274" s="208"/>
      <c r="HG274" s="208"/>
      <c r="HH274" s="208"/>
      <c r="HI274" s="208"/>
      <c r="HJ274" s="208"/>
      <c r="HK274" s="208"/>
      <c r="HL274" s="208"/>
      <c r="HM274" s="208"/>
      <c r="HN274" s="208"/>
      <c r="HO274" s="208"/>
      <c r="HP274" s="208"/>
      <c r="HQ274" s="208"/>
      <c r="HR274" s="208"/>
      <c r="HS274" s="208"/>
      <c r="HT274" s="208"/>
      <c r="HU274" s="208"/>
      <c r="HV274" s="208"/>
      <c r="HW274" s="208"/>
      <c r="HX274" s="208"/>
      <c r="HY274" s="208"/>
      <c r="HZ274" s="208"/>
      <c r="IA274" s="208"/>
      <c r="IB274" s="208"/>
      <c r="IC274" s="208"/>
      <c r="ID274" s="208"/>
      <c r="IE274" s="208"/>
      <c r="IF274" s="208"/>
      <c r="IG274" s="208"/>
      <c r="IH274" s="208"/>
      <c r="II274" s="208"/>
      <c r="IJ274" s="208"/>
      <c r="IK274" s="208"/>
      <c r="IL274" s="208"/>
      <c r="IM274" s="208"/>
      <c r="IN274" s="208"/>
      <c r="IO274" s="208"/>
      <c r="IP274" s="208"/>
      <c r="IQ274" s="208"/>
      <c r="IR274" s="208"/>
      <c r="IS274" s="208"/>
      <c r="IT274" s="208"/>
    </row>
    <row r="275" spans="1:254" s="209" customFormat="1" ht="12.75">
      <c r="A275" s="206" t="s">
        <v>303</v>
      </c>
      <c r="B275" s="207">
        <f>'Saimnieciskas pamatdarbibas NP'!B70</f>
        <v>12165.449999999999</v>
      </c>
      <c r="C275" s="207">
        <f>'Saimnieciskas pamatdarbibas NP'!C70</f>
        <v>12165.449999999999</v>
      </c>
      <c r="D275" s="207">
        <f>'Saimnieciskas pamatdarbibas NP'!D70</f>
        <v>14532.84</v>
      </c>
      <c r="E275" s="207">
        <f>'Saimnieciskas pamatdarbibas NP'!E70</f>
        <v>19591.739999999998</v>
      </c>
      <c r="F275" s="635">
        <f>'Saimnieciskas pamatdarbibas NP'!F70</f>
        <v>19683.72</v>
      </c>
      <c r="G275" s="207">
        <f>'Saimnieciskas pamatdarbibas NP'!G70</f>
        <v>19913.67</v>
      </c>
      <c r="H275" s="207">
        <f>'Saimnieciskas pamatdarbibas NP'!H70</f>
        <v>20235.6</v>
      </c>
      <c r="I275" s="207">
        <f>'Saimnieciskas pamatdarbibas NP'!I70</f>
        <v>20557.53</v>
      </c>
      <c r="J275" s="207">
        <f>'Saimnieciskas pamatdarbibas NP'!J70</f>
        <v>20603.519999999997</v>
      </c>
      <c r="K275" s="207">
        <f>'Saimnieciskas pamatdarbibas NP'!K70</f>
        <v>20925.449999999997</v>
      </c>
      <c r="L275" s="207">
        <f>'Saimnieciskas pamatdarbibas NP'!L70</f>
        <v>21063.42</v>
      </c>
      <c r="M275" s="207">
        <f>'Saimnieciskas pamatdarbibas NP'!M70</f>
        <v>21385.350000000002</v>
      </c>
      <c r="N275" s="207">
        <f>'Saimnieciskas pamatdarbibas NP'!N70</f>
        <v>21707.279999999995</v>
      </c>
      <c r="O275" s="207">
        <f>'Saimnieciskas pamatdarbibas NP'!O70</f>
        <v>21753.269999999997</v>
      </c>
      <c r="P275" s="207">
        <f>'Saimnieciskas pamatdarbibas NP'!P70</f>
        <v>22075.199999999997</v>
      </c>
      <c r="Q275" s="207">
        <f>'Saimnieciskas pamatdarbibas NP'!Q70</f>
        <v>22397.129999999997</v>
      </c>
      <c r="R275" s="207">
        <f>'Saimnieciskas pamatdarbibas NP'!R70</f>
        <v>22765.05</v>
      </c>
      <c r="S275" s="207">
        <f>'Saimnieciskas pamatdarbibas NP'!S70</f>
        <v>23086.98</v>
      </c>
      <c r="T275" s="207">
        <f>'Saimnieciskas pamatdarbibas NP'!T70</f>
        <v>23592.87</v>
      </c>
      <c r="U275" s="207">
        <f>'Saimnieciskas pamatdarbibas NP'!U70</f>
        <v>23730.84</v>
      </c>
      <c r="V275" s="207">
        <f>'Saimnieciskas pamatdarbibas NP'!V70</f>
        <v>24144.75</v>
      </c>
      <c r="W275" s="207">
        <f>'Saimnieciskas pamatdarbibas NP'!W70</f>
        <v>24328.710000000003</v>
      </c>
      <c r="X275" s="207">
        <f>'Saimnieciskas pamatdarbibas NP'!X70</f>
        <v>24512.669999999995</v>
      </c>
      <c r="Y275" s="207">
        <f>'Saimnieciskas pamatdarbibas NP'!Y70</f>
        <v>24696.629999999997</v>
      </c>
      <c r="Z275" s="207">
        <f>'Saimnieciskas pamatdarbibas NP'!Z70</f>
        <v>24880.589999999997</v>
      </c>
      <c r="AA275" s="207">
        <f>'Saimnieciskas pamatdarbibas NP'!AA70</f>
        <v>25018.55999999999</v>
      </c>
      <c r="AB275" s="207">
        <f>'Saimnieciskas pamatdarbibas NP'!AB70</f>
        <v>25202.52</v>
      </c>
      <c r="AC275" s="207">
        <f>'Saimnieciskas pamatdarbibas NP'!AC70</f>
        <v>25386.480000000003</v>
      </c>
      <c r="AD275" s="207">
        <f>'Saimnieciskas pamatdarbibas NP'!AD70</f>
        <v>25570.44</v>
      </c>
      <c r="AE275" s="207">
        <f>'Saimnieciskas pamatdarbibas NP'!AE70</f>
        <v>25754.399999999998</v>
      </c>
      <c r="AF275" s="207">
        <f>'Saimnieciskas pamatdarbibas NP'!AF70</f>
        <v>26076.33</v>
      </c>
      <c r="AG275" s="207">
        <f>'Saimnieciskas pamatdarbibas NP'!AG70</f>
        <v>26398.25999999999</v>
      </c>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208"/>
      <c r="BD275" s="208"/>
      <c r="BE275" s="208"/>
      <c r="BF275" s="208"/>
      <c r="BG275" s="208"/>
      <c r="BH275" s="208"/>
      <c r="BI275" s="208"/>
      <c r="BJ275" s="208"/>
      <c r="BK275" s="208"/>
      <c r="BL275" s="208"/>
      <c r="BM275" s="208"/>
      <c r="BN275" s="208"/>
      <c r="BO275" s="208"/>
      <c r="BP275" s="208"/>
      <c r="BQ275" s="208"/>
      <c r="BR275" s="208"/>
      <c r="BS275" s="208"/>
      <c r="BT275" s="208"/>
      <c r="BU275" s="208"/>
      <c r="BV275" s="208"/>
      <c r="BW275" s="208"/>
      <c r="BX275" s="208"/>
      <c r="BY275" s="208"/>
      <c r="BZ275" s="208"/>
      <c r="CA275" s="208"/>
      <c r="CB275" s="208"/>
      <c r="CC275" s="208"/>
      <c r="CD275" s="208"/>
      <c r="CE275" s="208"/>
      <c r="CF275" s="208"/>
      <c r="CG275" s="208"/>
      <c r="CH275" s="208"/>
      <c r="CI275" s="208"/>
      <c r="CJ275" s="208"/>
      <c r="CK275" s="208"/>
      <c r="CL275" s="208"/>
      <c r="CM275" s="208"/>
      <c r="CN275" s="208"/>
      <c r="CO275" s="208"/>
      <c r="CP275" s="208"/>
      <c r="CQ275" s="208"/>
      <c r="CR275" s="208"/>
      <c r="CS275" s="208"/>
      <c r="CT275" s="208"/>
      <c r="CU275" s="208"/>
      <c r="CV275" s="208"/>
      <c r="CW275" s="208"/>
      <c r="CX275" s="208"/>
      <c r="CY275" s="208"/>
      <c r="CZ275" s="208"/>
      <c r="DA275" s="208"/>
      <c r="DB275" s="208"/>
      <c r="DC275" s="208"/>
      <c r="DD275" s="208"/>
      <c r="DE275" s="208"/>
      <c r="DF275" s="208"/>
      <c r="DG275" s="208"/>
      <c r="DH275" s="208"/>
      <c r="DI275" s="208"/>
      <c r="DJ275" s="208"/>
      <c r="DK275" s="208"/>
      <c r="DL275" s="208"/>
      <c r="DM275" s="208"/>
      <c r="DN275" s="208"/>
      <c r="DO275" s="208"/>
      <c r="DP275" s="208"/>
      <c r="DQ275" s="208"/>
      <c r="DR275" s="208"/>
      <c r="DS275" s="208"/>
      <c r="DT275" s="208"/>
      <c r="DU275" s="208"/>
      <c r="DV275" s="208"/>
      <c r="DW275" s="208"/>
      <c r="DX275" s="208"/>
      <c r="DY275" s="208"/>
      <c r="DZ275" s="208"/>
      <c r="EA275" s="208"/>
      <c r="EB275" s="208"/>
      <c r="EC275" s="208"/>
      <c r="ED275" s="208"/>
      <c r="EE275" s="208"/>
      <c r="EF275" s="208"/>
      <c r="EG275" s="208"/>
      <c r="EH275" s="208"/>
      <c r="EI275" s="208"/>
      <c r="EJ275" s="208"/>
      <c r="EK275" s="208"/>
      <c r="EL275" s="208"/>
      <c r="EM275" s="208"/>
      <c r="EN275" s="208"/>
      <c r="EO275" s="208"/>
      <c r="EP275" s="208"/>
      <c r="EQ275" s="208"/>
      <c r="ER275" s="208"/>
      <c r="ES275" s="208"/>
      <c r="ET275" s="208"/>
      <c r="EU275" s="208"/>
      <c r="EV275" s="208"/>
      <c r="EW275" s="208"/>
      <c r="EX275" s="208"/>
      <c r="EY275" s="208"/>
      <c r="EZ275" s="208"/>
      <c r="FA275" s="208"/>
      <c r="FB275" s="208"/>
      <c r="FC275" s="208"/>
      <c r="FD275" s="208"/>
      <c r="FE275" s="208"/>
      <c r="FF275" s="208"/>
      <c r="FG275" s="208"/>
      <c r="FH275" s="208"/>
      <c r="FI275" s="208"/>
      <c r="FJ275" s="208"/>
      <c r="FK275" s="208"/>
      <c r="FL275" s="208"/>
      <c r="FM275" s="208"/>
      <c r="FN275" s="208"/>
      <c r="FO275" s="208"/>
      <c r="FP275" s="208"/>
      <c r="FQ275" s="208"/>
      <c r="FR275" s="208"/>
      <c r="FS275" s="208"/>
      <c r="FT275" s="208"/>
      <c r="FU275" s="208"/>
      <c r="FV275" s="208"/>
      <c r="FW275" s="208"/>
      <c r="FX275" s="208"/>
      <c r="FY275" s="208"/>
      <c r="FZ275" s="208"/>
      <c r="GA275" s="208"/>
      <c r="GB275" s="208"/>
      <c r="GC275" s="208"/>
      <c r="GD275" s="208"/>
      <c r="GE275" s="208"/>
      <c r="GF275" s="208"/>
      <c r="GG275" s="208"/>
      <c r="GH275" s="208"/>
      <c r="GI275" s="208"/>
      <c r="GJ275" s="208"/>
      <c r="GK275" s="208"/>
      <c r="GL275" s="208"/>
      <c r="GM275" s="208"/>
      <c r="GN275" s="208"/>
      <c r="GO275" s="208"/>
      <c r="GP275" s="208"/>
      <c r="GQ275" s="208"/>
      <c r="GR275" s="208"/>
      <c r="GS275" s="208"/>
      <c r="GT275" s="208"/>
      <c r="GU275" s="208"/>
      <c r="GV275" s="208"/>
      <c r="GW275" s="208"/>
      <c r="GX275" s="208"/>
      <c r="GY275" s="208"/>
      <c r="GZ275" s="208"/>
      <c r="HA275" s="208"/>
      <c r="HB275" s="208"/>
      <c r="HC275" s="208"/>
      <c r="HD275" s="208"/>
      <c r="HE275" s="208"/>
      <c r="HF275" s="208"/>
      <c r="HG275" s="208"/>
      <c r="HH275" s="208"/>
      <c r="HI275" s="208"/>
      <c r="HJ275" s="208"/>
      <c r="HK275" s="208"/>
      <c r="HL275" s="208"/>
      <c r="HM275" s="208"/>
      <c r="HN275" s="208"/>
      <c r="HO275" s="208"/>
      <c r="HP275" s="208"/>
      <c r="HQ275" s="208"/>
      <c r="HR275" s="208"/>
      <c r="HS275" s="208"/>
      <c r="HT275" s="208"/>
      <c r="HU275" s="208"/>
      <c r="HV275" s="208"/>
      <c r="HW275" s="208"/>
      <c r="HX275" s="208"/>
      <c r="HY275" s="208"/>
      <c r="HZ275" s="208"/>
      <c r="IA275" s="208"/>
      <c r="IB275" s="208"/>
      <c r="IC275" s="208"/>
      <c r="ID275" s="208"/>
      <c r="IE275" s="208"/>
      <c r="IF275" s="208"/>
      <c r="IG275" s="208"/>
      <c r="IH275" s="208"/>
      <c r="II275" s="208"/>
      <c r="IJ275" s="208"/>
      <c r="IK275" s="208"/>
      <c r="IL275" s="208"/>
      <c r="IM275" s="208"/>
      <c r="IN275" s="208"/>
      <c r="IO275" s="208"/>
      <c r="IP275" s="208"/>
      <c r="IQ275" s="208"/>
      <c r="IR275" s="208"/>
      <c r="IS275" s="208"/>
      <c r="IT275" s="208"/>
    </row>
    <row r="276" spans="1:254" s="209" customFormat="1" ht="12.75">
      <c r="A276" s="206" t="s">
        <v>304</v>
      </c>
      <c r="B276" s="207">
        <f>'Saimnieciskas pamatdarbibas NP'!B71</f>
        <v>1350</v>
      </c>
      <c r="C276" s="207">
        <f>'Saimnieciskas pamatdarbibas NP'!C71</f>
        <v>1350</v>
      </c>
      <c r="D276" s="207">
        <f>'Saimnieciskas pamatdarbibas NP'!D71</f>
        <v>1422</v>
      </c>
      <c r="E276" s="207">
        <f>'Saimnieciskas pamatdarbibas NP'!E71</f>
        <v>1917</v>
      </c>
      <c r="F276" s="635">
        <f>'Saimnieciskas pamatdarbibas NP'!F71</f>
        <v>1926</v>
      </c>
      <c r="G276" s="207">
        <f>'Saimnieciskas pamatdarbibas NP'!G71</f>
        <v>1948.5</v>
      </c>
      <c r="H276" s="207">
        <f>'Saimnieciskas pamatdarbibas NP'!H71</f>
        <v>1979.9999999999998</v>
      </c>
      <c r="I276" s="207">
        <f>'Saimnieciskas pamatdarbibas NP'!I71</f>
        <v>2011.4999999999998</v>
      </c>
      <c r="J276" s="207">
        <f>'Saimnieciskas pamatdarbibas NP'!J71</f>
        <v>2015.9999999999998</v>
      </c>
      <c r="K276" s="207">
        <f>'Saimnieciskas pamatdarbibas NP'!K71</f>
        <v>2047.4999999999998</v>
      </c>
      <c r="L276" s="207">
        <f>'Saimnieciskas pamatdarbibas NP'!L71</f>
        <v>2061</v>
      </c>
      <c r="M276" s="207">
        <f>'Saimnieciskas pamatdarbibas NP'!M71</f>
        <v>2092.5</v>
      </c>
      <c r="N276" s="207">
        <f>'Saimnieciskas pamatdarbibas NP'!N71</f>
        <v>2123.9999999999995</v>
      </c>
      <c r="O276" s="207">
        <f>'Saimnieciskas pamatdarbibas NP'!O71</f>
        <v>2128.4999999999995</v>
      </c>
      <c r="P276" s="207">
        <f>'Saimnieciskas pamatdarbibas NP'!P71</f>
        <v>2159.9999999999995</v>
      </c>
      <c r="Q276" s="207">
        <f>'Saimnieciskas pamatdarbibas NP'!Q71</f>
        <v>2191.4999999999995</v>
      </c>
      <c r="R276" s="207">
        <f>'Saimnieciskas pamatdarbibas NP'!R71</f>
        <v>2227.5</v>
      </c>
      <c r="S276" s="207">
        <f>'Saimnieciskas pamatdarbibas NP'!S71</f>
        <v>2259</v>
      </c>
      <c r="T276" s="207">
        <f>'Saimnieciskas pamatdarbibas NP'!T71</f>
        <v>2308.5</v>
      </c>
      <c r="U276" s="207">
        <f>'Saimnieciskas pamatdarbibas NP'!U71</f>
        <v>2322</v>
      </c>
      <c r="V276" s="207">
        <f>'Saimnieciskas pamatdarbibas NP'!V71</f>
        <v>2362.5</v>
      </c>
      <c r="W276" s="207">
        <f>'Saimnieciskas pamatdarbibas NP'!W71</f>
        <v>2380.5</v>
      </c>
      <c r="X276" s="207">
        <f>'Saimnieciskas pamatdarbibas NP'!X71</f>
        <v>2398.4999999999995</v>
      </c>
      <c r="Y276" s="207">
        <f>'Saimnieciskas pamatdarbibas NP'!Y71</f>
        <v>2416.4999999999995</v>
      </c>
      <c r="Z276" s="207">
        <f>'Saimnieciskas pamatdarbibas NP'!Z71</f>
        <v>2434.4999999999995</v>
      </c>
      <c r="AA276" s="207">
        <f>'Saimnieciskas pamatdarbibas NP'!AA71</f>
        <v>2447.999999999999</v>
      </c>
      <c r="AB276" s="207">
        <f>'Saimnieciskas pamatdarbibas NP'!AB71</f>
        <v>2466</v>
      </c>
      <c r="AC276" s="207">
        <f>'Saimnieciskas pamatdarbibas NP'!AC71</f>
        <v>2484</v>
      </c>
      <c r="AD276" s="207">
        <f>'Saimnieciskas pamatdarbibas NP'!AD71</f>
        <v>2501.9999999999995</v>
      </c>
      <c r="AE276" s="207">
        <f>'Saimnieciskas pamatdarbibas NP'!AE71</f>
        <v>2519.9999999999995</v>
      </c>
      <c r="AF276" s="207">
        <f>'Saimnieciskas pamatdarbibas NP'!AF71</f>
        <v>2551.5000000000005</v>
      </c>
      <c r="AG276" s="207">
        <f>'Saimnieciskas pamatdarbibas NP'!AG71</f>
        <v>2582.999999999999</v>
      </c>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208"/>
      <c r="BD276" s="208"/>
      <c r="BE276" s="208"/>
      <c r="BF276" s="208"/>
      <c r="BG276" s="208"/>
      <c r="BH276" s="208"/>
      <c r="BI276" s="208"/>
      <c r="BJ276" s="208"/>
      <c r="BK276" s="208"/>
      <c r="BL276" s="208"/>
      <c r="BM276" s="208"/>
      <c r="BN276" s="208"/>
      <c r="BO276" s="208"/>
      <c r="BP276" s="208"/>
      <c r="BQ276" s="208"/>
      <c r="BR276" s="208"/>
      <c r="BS276" s="208"/>
      <c r="BT276" s="208"/>
      <c r="BU276" s="208"/>
      <c r="BV276" s="208"/>
      <c r="BW276" s="208"/>
      <c r="BX276" s="208"/>
      <c r="BY276" s="208"/>
      <c r="BZ276" s="208"/>
      <c r="CA276" s="208"/>
      <c r="CB276" s="208"/>
      <c r="CC276" s="208"/>
      <c r="CD276" s="208"/>
      <c r="CE276" s="208"/>
      <c r="CF276" s="208"/>
      <c r="CG276" s="208"/>
      <c r="CH276" s="208"/>
      <c r="CI276" s="208"/>
      <c r="CJ276" s="208"/>
      <c r="CK276" s="208"/>
      <c r="CL276" s="208"/>
      <c r="CM276" s="208"/>
      <c r="CN276" s="208"/>
      <c r="CO276" s="208"/>
      <c r="CP276" s="208"/>
      <c r="CQ276" s="208"/>
      <c r="CR276" s="208"/>
      <c r="CS276" s="208"/>
      <c r="CT276" s="208"/>
      <c r="CU276" s="208"/>
      <c r="CV276" s="208"/>
      <c r="CW276" s="208"/>
      <c r="CX276" s="208"/>
      <c r="CY276" s="208"/>
      <c r="CZ276" s="208"/>
      <c r="DA276" s="208"/>
      <c r="DB276" s="208"/>
      <c r="DC276" s="208"/>
      <c r="DD276" s="208"/>
      <c r="DE276" s="208"/>
      <c r="DF276" s="208"/>
      <c r="DG276" s="208"/>
      <c r="DH276" s="208"/>
      <c r="DI276" s="208"/>
      <c r="DJ276" s="208"/>
      <c r="DK276" s="208"/>
      <c r="DL276" s="208"/>
      <c r="DM276" s="208"/>
      <c r="DN276" s="208"/>
      <c r="DO276" s="208"/>
      <c r="DP276" s="208"/>
      <c r="DQ276" s="208"/>
      <c r="DR276" s="208"/>
      <c r="DS276" s="208"/>
      <c r="DT276" s="208"/>
      <c r="DU276" s="208"/>
      <c r="DV276" s="208"/>
      <c r="DW276" s="208"/>
      <c r="DX276" s="208"/>
      <c r="DY276" s="208"/>
      <c r="DZ276" s="208"/>
      <c r="EA276" s="208"/>
      <c r="EB276" s="208"/>
      <c r="EC276" s="208"/>
      <c r="ED276" s="208"/>
      <c r="EE276" s="208"/>
      <c r="EF276" s="208"/>
      <c r="EG276" s="208"/>
      <c r="EH276" s="208"/>
      <c r="EI276" s="208"/>
      <c r="EJ276" s="208"/>
      <c r="EK276" s="208"/>
      <c r="EL276" s="208"/>
      <c r="EM276" s="208"/>
      <c r="EN276" s="208"/>
      <c r="EO276" s="208"/>
      <c r="EP276" s="208"/>
      <c r="EQ276" s="208"/>
      <c r="ER276" s="208"/>
      <c r="ES276" s="208"/>
      <c r="ET276" s="208"/>
      <c r="EU276" s="208"/>
      <c r="EV276" s="208"/>
      <c r="EW276" s="208"/>
      <c r="EX276" s="208"/>
      <c r="EY276" s="208"/>
      <c r="EZ276" s="208"/>
      <c r="FA276" s="208"/>
      <c r="FB276" s="208"/>
      <c r="FC276" s="208"/>
      <c r="FD276" s="208"/>
      <c r="FE276" s="208"/>
      <c r="FF276" s="208"/>
      <c r="FG276" s="208"/>
      <c r="FH276" s="208"/>
      <c r="FI276" s="208"/>
      <c r="FJ276" s="208"/>
      <c r="FK276" s="208"/>
      <c r="FL276" s="208"/>
      <c r="FM276" s="208"/>
      <c r="FN276" s="208"/>
      <c r="FO276" s="208"/>
      <c r="FP276" s="208"/>
      <c r="FQ276" s="208"/>
      <c r="FR276" s="208"/>
      <c r="FS276" s="208"/>
      <c r="FT276" s="208"/>
      <c r="FU276" s="208"/>
      <c r="FV276" s="208"/>
      <c r="FW276" s="208"/>
      <c r="FX276" s="208"/>
      <c r="FY276" s="208"/>
      <c r="FZ276" s="208"/>
      <c r="GA276" s="208"/>
      <c r="GB276" s="208"/>
      <c r="GC276" s="208"/>
      <c r="GD276" s="208"/>
      <c r="GE276" s="208"/>
      <c r="GF276" s="208"/>
      <c r="GG276" s="208"/>
      <c r="GH276" s="208"/>
      <c r="GI276" s="208"/>
      <c r="GJ276" s="208"/>
      <c r="GK276" s="208"/>
      <c r="GL276" s="208"/>
      <c r="GM276" s="208"/>
      <c r="GN276" s="208"/>
      <c r="GO276" s="208"/>
      <c r="GP276" s="208"/>
      <c r="GQ276" s="208"/>
      <c r="GR276" s="208"/>
      <c r="GS276" s="208"/>
      <c r="GT276" s="208"/>
      <c r="GU276" s="208"/>
      <c r="GV276" s="208"/>
      <c r="GW276" s="208"/>
      <c r="GX276" s="208"/>
      <c r="GY276" s="208"/>
      <c r="GZ276" s="208"/>
      <c r="HA276" s="208"/>
      <c r="HB276" s="208"/>
      <c r="HC276" s="208"/>
      <c r="HD276" s="208"/>
      <c r="HE276" s="208"/>
      <c r="HF276" s="208"/>
      <c r="HG276" s="208"/>
      <c r="HH276" s="208"/>
      <c r="HI276" s="208"/>
      <c r="HJ276" s="208"/>
      <c r="HK276" s="208"/>
      <c r="HL276" s="208"/>
      <c r="HM276" s="208"/>
      <c r="HN276" s="208"/>
      <c r="HO276" s="208"/>
      <c r="HP276" s="208"/>
      <c r="HQ276" s="208"/>
      <c r="HR276" s="208"/>
      <c r="HS276" s="208"/>
      <c r="HT276" s="208"/>
      <c r="HU276" s="208"/>
      <c r="HV276" s="208"/>
      <c r="HW276" s="208"/>
      <c r="HX276" s="208"/>
      <c r="HY276" s="208"/>
      <c r="HZ276" s="208"/>
      <c r="IA276" s="208"/>
      <c r="IB276" s="208"/>
      <c r="IC276" s="208"/>
      <c r="ID276" s="208"/>
      <c r="IE276" s="208"/>
      <c r="IF276" s="208"/>
      <c r="IG276" s="208"/>
      <c r="IH276" s="208"/>
      <c r="II276" s="208"/>
      <c r="IJ276" s="208"/>
      <c r="IK276" s="208"/>
      <c r="IL276" s="208"/>
      <c r="IM276" s="208"/>
      <c r="IN276" s="208"/>
      <c r="IO276" s="208"/>
      <c r="IP276" s="208"/>
      <c r="IQ276" s="208"/>
      <c r="IR276" s="208"/>
      <c r="IS276" s="208"/>
      <c r="IT276" s="208"/>
    </row>
    <row r="277" spans="1:254" s="209" customFormat="1" ht="12.75">
      <c r="A277" s="206" t="s">
        <v>305</v>
      </c>
      <c r="B277" s="207">
        <f>'Saimnieciskas pamatdarbibas NP'!B72</f>
        <v>960</v>
      </c>
      <c r="C277" s="207">
        <f>'Saimnieciskas pamatdarbibas NP'!C72</f>
        <v>960</v>
      </c>
      <c r="D277" s="207">
        <f>'Saimnieciskas pamatdarbibas NP'!D72</f>
        <v>1011.2</v>
      </c>
      <c r="E277" s="207">
        <f>'Saimnieciskas pamatdarbibas NP'!E72</f>
        <v>1363.2</v>
      </c>
      <c r="F277" s="635">
        <f>'Saimnieciskas pamatdarbibas NP'!F72</f>
        <v>1369.6</v>
      </c>
      <c r="G277" s="207">
        <f>'Saimnieciskas pamatdarbibas NP'!G72</f>
        <v>1385.6</v>
      </c>
      <c r="H277" s="207">
        <f>'Saimnieciskas pamatdarbibas NP'!H72</f>
        <v>1407.9999999999998</v>
      </c>
      <c r="I277" s="207">
        <f>'Saimnieciskas pamatdarbibas NP'!I72</f>
        <v>1430.3999999999999</v>
      </c>
      <c r="J277" s="207">
        <f>'Saimnieciskas pamatdarbibas NP'!J72</f>
        <v>1433.6</v>
      </c>
      <c r="K277" s="207">
        <f>'Saimnieciskas pamatdarbibas NP'!K72</f>
        <v>1455.9999999999998</v>
      </c>
      <c r="L277" s="207">
        <f>'Saimnieciskas pamatdarbibas NP'!L72</f>
        <v>1465.6</v>
      </c>
      <c r="M277" s="207">
        <f>'Saimnieciskas pamatdarbibas NP'!M72</f>
        <v>1488</v>
      </c>
      <c r="N277" s="207">
        <f>'Saimnieciskas pamatdarbibas NP'!N72</f>
        <v>1510.3999999999996</v>
      </c>
      <c r="O277" s="207">
        <f>'Saimnieciskas pamatdarbibas NP'!O72</f>
        <v>1513.5999999999997</v>
      </c>
      <c r="P277" s="207">
        <f>'Saimnieciskas pamatdarbibas NP'!P72</f>
        <v>1535.9999999999998</v>
      </c>
      <c r="Q277" s="207">
        <f>'Saimnieciskas pamatdarbibas NP'!Q72</f>
        <v>1558.3999999999999</v>
      </c>
      <c r="R277" s="207">
        <f>'Saimnieciskas pamatdarbibas NP'!R72</f>
        <v>1584</v>
      </c>
      <c r="S277" s="207">
        <f>'Saimnieciskas pamatdarbibas NP'!S72</f>
        <v>1606.4</v>
      </c>
      <c r="T277" s="207">
        <f>'Saimnieciskas pamatdarbibas NP'!T72</f>
        <v>1641.6000000000001</v>
      </c>
      <c r="U277" s="207">
        <f>'Saimnieciskas pamatdarbibas NP'!U72</f>
        <v>1651.2</v>
      </c>
      <c r="V277" s="207">
        <f>'Saimnieciskas pamatdarbibas NP'!V72</f>
        <v>1680</v>
      </c>
      <c r="W277" s="207">
        <f>'Saimnieciskas pamatdarbibas NP'!W72</f>
        <v>1692.8000000000002</v>
      </c>
      <c r="X277" s="207">
        <f>'Saimnieciskas pamatdarbibas NP'!X72</f>
        <v>1705.5999999999997</v>
      </c>
      <c r="Y277" s="207">
        <f>'Saimnieciskas pamatdarbibas NP'!Y72</f>
        <v>1718.3999999999996</v>
      </c>
      <c r="Z277" s="207">
        <f>'Saimnieciskas pamatdarbibas NP'!Z72</f>
        <v>1731.1999999999998</v>
      </c>
      <c r="AA277" s="207">
        <f>'Saimnieciskas pamatdarbibas NP'!AA72</f>
        <v>1740.7999999999995</v>
      </c>
      <c r="AB277" s="207">
        <f>'Saimnieciskas pamatdarbibas NP'!AB72</f>
        <v>1753.6000000000001</v>
      </c>
      <c r="AC277" s="207">
        <f>'Saimnieciskas pamatdarbibas NP'!AC72</f>
        <v>1766.4</v>
      </c>
      <c r="AD277" s="207">
        <f>'Saimnieciskas pamatdarbibas NP'!AD72</f>
        <v>1779.1999999999998</v>
      </c>
      <c r="AE277" s="207">
        <f>'Saimnieciskas pamatdarbibas NP'!AE72</f>
        <v>1791.9999999999998</v>
      </c>
      <c r="AF277" s="207">
        <f>'Saimnieciskas pamatdarbibas NP'!AF72</f>
        <v>1814.4</v>
      </c>
      <c r="AG277" s="207">
        <f>'Saimnieciskas pamatdarbibas NP'!AG72</f>
        <v>1836.7999999999995</v>
      </c>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208"/>
      <c r="BD277" s="208"/>
      <c r="BE277" s="208"/>
      <c r="BF277" s="208"/>
      <c r="BG277" s="208"/>
      <c r="BH277" s="208"/>
      <c r="BI277" s="208"/>
      <c r="BJ277" s="208"/>
      <c r="BK277" s="208"/>
      <c r="BL277" s="208"/>
      <c r="BM277" s="208"/>
      <c r="BN277" s="208"/>
      <c r="BO277" s="208"/>
      <c r="BP277" s="208"/>
      <c r="BQ277" s="208"/>
      <c r="BR277" s="208"/>
      <c r="BS277" s="208"/>
      <c r="BT277" s="208"/>
      <c r="BU277" s="208"/>
      <c r="BV277" s="208"/>
      <c r="BW277" s="208"/>
      <c r="BX277" s="208"/>
      <c r="BY277" s="208"/>
      <c r="BZ277" s="208"/>
      <c r="CA277" s="208"/>
      <c r="CB277" s="208"/>
      <c r="CC277" s="208"/>
      <c r="CD277" s="208"/>
      <c r="CE277" s="208"/>
      <c r="CF277" s="208"/>
      <c r="CG277" s="208"/>
      <c r="CH277" s="208"/>
      <c r="CI277" s="208"/>
      <c r="CJ277" s="208"/>
      <c r="CK277" s="208"/>
      <c r="CL277" s="208"/>
      <c r="CM277" s="208"/>
      <c r="CN277" s="208"/>
      <c r="CO277" s="208"/>
      <c r="CP277" s="208"/>
      <c r="CQ277" s="208"/>
      <c r="CR277" s="208"/>
      <c r="CS277" s="208"/>
      <c r="CT277" s="208"/>
      <c r="CU277" s="208"/>
      <c r="CV277" s="208"/>
      <c r="CW277" s="208"/>
      <c r="CX277" s="208"/>
      <c r="CY277" s="208"/>
      <c r="CZ277" s="208"/>
      <c r="DA277" s="208"/>
      <c r="DB277" s="208"/>
      <c r="DC277" s="208"/>
      <c r="DD277" s="208"/>
      <c r="DE277" s="208"/>
      <c r="DF277" s="208"/>
      <c r="DG277" s="208"/>
      <c r="DH277" s="208"/>
      <c r="DI277" s="208"/>
      <c r="DJ277" s="208"/>
      <c r="DK277" s="208"/>
      <c r="DL277" s="208"/>
      <c r="DM277" s="208"/>
      <c r="DN277" s="208"/>
      <c r="DO277" s="208"/>
      <c r="DP277" s="208"/>
      <c r="DQ277" s="208"/>
      <c r="DR277" s="208"/>
      <c r="DS277" s="208"/>
      <c r="DT277" s="208"/>
      <c r="DU277" s="208"/>
      <c r="DV277" s="208"/>
      <c r="DW277" s="208"/>
      <c r="DX277" s="208"/>
      <c r="DY277" s="208"/>
      <c r="DZ277" s="208"/>
      <c r="EA277" s="208"/>
      <c r="EB277" s="208"/>
      <c r="EC277" s="208"/>
      <c r="ED277" s="208"/>
      <c r="EE277" s="208"/>
      <c r="EF277" s="208"/>
      <c r="EG277" s="208"/>
      <c r="EH277" s="208"/>
      <c r="EI277" s="208"/>
      <c r="EJ277" s="208"/>
      <c r="EK277" s="208"/>
      <c r="EL277" s="208"/>
      <c r="EM277" s="208"/>
      <c r="EN277" s="208"/>
      <c r="EO277" s="208"/>
      <c r="EP277" s="208"/>
      <c r="EQ277" s="208"/>
      <c r="ER277" s="208"/>
      <c r="ES277" s="208"/>
      <c r="ET277" s="208"/>
      <c r="EU277" s="208"/>
      <c r="EV277" s="208"/>
      <c r="EW277" s="208"/>
      <c r="EX277" s="208"/>
      <c r="EY277" s="208"/>
      <c r="EZ277" s="208"/>
      <c r="FA277" s="208"/>
      <c r="FB277" s="208"/>
      <c r="FC277" s="208"/>
      <c r="FD277" s="208"/>
      <c r="FE277" s="208"/>
      <c r="FF277" s="208"/>
      <c r="FG277" s="208"/>
      <c r="FH277" s="208"/>
      <c r="FI277" s="208"/>
      <c r="FJ277" s="208"/>
      <c r="FK277" s="208"/>
      <c r="FL277" s="208"/>
      <c r="FM277" s="208"/>
      <c r="FN277" s="208"/>
      <c r="FO277" s="208"/>
      <c r="FP277" s="208"/>
      <c r="FQ277" s="208"/>
      <c r="FR277" s="208"/>
      <c r="FS277" s="208"/>
      <c r="FT277" s="208"/>
      <c r="FU277" s="208"/>
      <c r="FV277" s="208"/>
      <c r="FW277" s="208"/>
      <c r="FX277" s="208"/>
      <c r="FY277" s="208"/>
      <c r="FZ277" s="208"/>
      <c r="GA277" s="208"/>
      <c r="GB277" s="208"/>
      <c r="GC277" s="208"/>
      <c r="GD277" s="208"/>
      <c r="GE277" s="208"/>
      <c r="GF277" s="208"/>
      <c r="GG277" s="208"/>
      <c r="GH277" s="208"/>
      <c r="GI277" s="208"/>
      <c r="GJ277" s="208"/>
      <c r="GK277" s="208"/>
      <c r="GL277" s="208"/>
      <c r="GM277" s="208"/>
      <c r="GN277" s="208"/>
      <c r="GO277" s="208"/>
      <c r="GP277" s="208"/>
      <c r="GQ277" s="208"/>
      <c r="GR277" s="208"/>
      <c r="GS277" s="208"/>
      <c r="GT277" s="208"/>
      <c r="GU277" s="208"/>
      <c r="GV277" s="208"/>
      <c r="GW277" s="208"/>
      <c r="GX277" s="208"/>
      <c r="GY277" s="208"/>
      <c r="GZ277" s="208"/>
      <c r="HA277" s="208"/>
      <c r="HB277" s="208"/>
      <c r="HC277" s="208"/>
      <c r="HD277" s="208"/>
      <c r="HE277" s="208"/>
      <c r="HF277" s="208"/>
      <c r="HG277" s="208"/>
      <c r="HH277" s="208"/>
      <c r="HI277" s="208"/>
      <c r="HJ277" s="208"/>
      <c r="HK277" s="208"/>
      <c r="HL277" s="208"/>
      <c r="HM277" s="208"/>
      <c r="HN277" s="208"/>
      <c r="HO277" s="208"/>
      <c r="HP277" s="208"/>
      <c r="HQ277" s="208"/>
      <c r="HR277" s="208"/>
      <c r="HS277" s="208"/>
      <c r="HT277" s="208"/>
      <c r="HU277" s="208"/>
      <c r="HV277" s="208"/>
      <c r="HW277" s="208"/>
      <c r="HX277" s="208"/>
      <c r="HY277" s="208"/>
      <c r="HZ277" s="208"/>
      <c r="IA277" s="208"/>
      <c r="IB277" s="208"/>
      <c r="IC277" s="208"/>
      <c r="ID277" s="208"/>
      <c r="IE277" s="208"/>
      <c r="IF277" s="208"/>
      <c r="IG277" s="208"/>
      <c r="IH277" s="208"/>
      <c r="II277" s="208"/>
      <c r="IJ277" s="208"/>
      <c r="IK277" s="208"/>
      <c r="IL277" s="208"/>
      <c r="IM277" s="208"/>
      <c r="IN277" s="208"/>
      <c r="IO277" s="208"/>
      <c r="IP277" s="208"/>
      <c r="IQ277" s="208"/>
      <c r="IR277" s="208"/>
      <c r="IS277" s="208"/>
      <c r="IT277" s="208"/>
    </row>
    <row r="278" spans="1:254" s="157" customFormat="1" ht="12.75">
      <c r="A278" s="556" t="s">
        <v>306</v>
      </c>
      <c r="B278" s="154">
        <f>SUM(Aprekini!B59,Aprekini!B65,Aprekini!B71)*Aprekini!$B$157</f>
        <v>0</v>
      </c>
      <c r="C278" s="154">
        <f>SUM(Aprekini!C59,Aprekini!C65,Aprekini!C71)*Aprekini!$B$157</f>
        <v>0</v>
      </c>
      <c r="D278" s="154">
        <f>SUM(Aprekini!D59,Aprekini!D65,Aprekini!D71)*Aprekini!$B$157</f>
        <v>0</v>
      </c>
      <c r="E278" s="154">
        <f>SUM(Aprekini!E59,Aprekini!E65,Aprekini!E71)*Aprekini!$B$157</f>
        <v>4332.96893281645</v>
      </c>
      <c r="F278" s="635">
        <f>SUM(Aprekini!F59,Aprekini!F65,Aprekini!F71)*Aprekini!$B$157</f>
        <v>4332.96893281645</v>
      </c>
      <c r="G278" s="154">
        <f>SUM(Aprekini!G59,Aprekini!G65,Aprekini!G71)*Aprekini!$B$157</f>
        <v>4332.96893281645</v>
      </c>
      <c r="H278" s="154">
        <f>SUM(Aprekini!H59,Aprekini!H65,Aprekini!H71)*Aprekini!$B$157</f>
        <v>4332.96893281645</v>
      </c>
      <c r="I278" s="154">
        <f>SUM(Aprekini!I59,Aprekini!I65,Aprekini!I71)*Aprekini!$B$157</f>
        <v>4332.96893281645</v>
      </c>
      <c r="J278" s="154">
        <f>SUM(Aprekini!J59,Aprekini!J65,Aprekini!J71)*Aprekini!$B$157</f>
        <v>4332.96893281645</v>
      </c>
      <c r="K278" s="154">
        <f>SUM(Aprekini!K59,Aprekini!K65,Aprekini!K71)*Aprekini!$B$157</f>
        <v>4332.96893281645</v>
      </c>
      <c r="L278" s="154">
        <f>SUM(Aprekini!L59,Aprekini!L65,Aprekini!L71)*Aprekini!$B$157</f>
        <v>4332.96893281645</v>
      </c>
      <c r="M278" s="154">
        <f>SUM(Aprekini!M59,Aprekini!M65,Aprekini!M71)*Aprekini!$B$157</f>
        <v>4332.96893281645</v>
      </c>
      <c r="N278" s="154">
        <f>SUM(Aprekini!N59,Aprekini!N65,Aprekini!N71)*Aprekini!$B$157</f>
        <v>4332.96893281645</v>
      </c>
      <c r="O278" s="154">
        <f>SUM(Aprekini!O59,Aprekini!O65,Aprekini!O71)*Aprekini!$B$157</f>
        <v>3888.60309900968</v>
      </c>
      <c r="P278" s="154">
        <f>SUM(Aprekini!P59,Aprekini!P65,Aprekini!P71)*Aprekini!$B$157</f>
        <v>3888.60309900968</v>
      </c>
      <c r="Q278" s="154">
        <f>SUM(Aprekini!Q59,Aprekini!Q65,Aprekini!Q71)*Aprekini!$B$157</f>
        <v>3888.60309900968</v>
      </c>
      <c r="R278" s="154">
        <f>SUM(Aprekini!R59,Aprekini!R65,Aprekini!R71)*Aprekini!$B$157</f>
        <v>3888.60309900968</v>
      </c>
      <c r="S278" s="154">
        <f>SUM(Aprekini!S59,Aprekini!S65,Aprekini!S71)*Aprekini!$B$157</f>
        <v>3888.60309900968</v>
      </c>
      <c r="T278" s="154">
        <f>SUM(Aprekini!T59,Aprekini!T65,Aprekini!T71)*Aprekini!$B$157</f>
        <v>2138.9784819369715</v>
      </c>
      <c r="U278" s="154">
        <f>SUM(Aprekini!U59,Aprekini!U65,Aprekini!U71)*Aprekini!$B$157</f>
        <v>2138.9784819369715</v>
      </c>
      <c r="V278" s="154">
        <f>SUM(Aprekini!V59,Aprekini!V65,Aprekini!V71)*Aprekini!$B$157</f>
        <v>2138.9784819369715</v>
      </c>
      <c r="W278" s="154">
        <f>SUM(Aprekini!W59,Aprekini!W65,Aprekini!W71)*Aprekini!$B$157</f>
        <v>2138.9784819369715</v>
      </c>
      <c r="X278" s="154">
        <f>SUM(Aprekini!X59,Aprekini!X65,Aprekini!X71)*Aprekini!$B$157</f>
        <v>2138.9784819369715</v>
      </c>
      <c r="Y278" s="154">
        <f>SUM(Aprekini!Y59,Aprekini!Y65,Aprekini!Y71)*Aprekini!$B$157</f>
        <v>2138.9784819369715</v>
      </c>
      <c r="Z278" s="154">
        <f>SUM(Aprekini!Z59,Aprekini!Z65,Aprekini!Z71)*Aprekini!$B$157</f>
        <v>2138.9784819369715</v>
      </c>
      <c r="AA278" s="154">
        <f>SUM(Aprekini!AA59,Aprekini!AA65,Aprekini!AA71)*Aprekini!$B$157</f>
        <v>2138.9784819369715</v>
      </c>
      <c r="AB278" s="154">
        <f>SUM(Aprekini!AB59,Aprekini!AB65,Aprekini!AB71)*Aprekini!$B$157</f>
        <v>2138.9784819369715</v>
      </c>
      <c r="AC278" s="154">
        <f>SUM(Aprekini!AC59,Aprekini!AC65,Aprekini!AC71)*Aprekini!$B$157</f>
        <v>2138.9784819369715</v>
      </c>
      <c r="AD278" s="154">
        <f>SUM(Aprekini!AD59,Aprekini!AD65,Aprekini!AD71)*Aprekini!$B$157</f>
        <v>2138.9784819369715</v>
      </c>
      <c r="AE278" s="154">
        <f>SUM(Aprekini!AE59,Aprekini!AE65,Aprekini!AE71)*Aprekini!$B$157</f>
        <v>2138.9784819369715</v>
      </c>
      <c r="AF278" s="154">
        <f>SUM(Aprekini!AF59,Aprekini!AF65,Aprekini!AF71)*Aprekini!$B$157</f>
        <v>2138.9784819369715</v>
      </c>
      <c r="AG278" s="154">
        <f>SUM(Aprekini!AG59,Aprekini!AG65,Aprekini!AG71)*Aprekini!$B$157</f>
        <v>2138.9784819369715</v>
      </c>
      <c r="AH278" s="155"/>
      <c r="AI278" s="155"/>
      <c r="AJ278" s="155"/>
      <c r="AK278" s="155"/>
      <c r="AL278" s="155"/>
      <c r="AM278" s="155"/>
      <c r="AN278" s="155"/>
      <c r="AO278" s="155"/>
      <c r="AP278" s="155"/>
      <c r="AQ278" s="155"/>
      <c r="AR278" s="155"/>
      <c r="AS278" s="155"/>
      <c r="AT278" s="155"/>
      <c r="AU278" s="155"/>
      <c r="AV278" s="155"/>
      <c r="AW278" s="155"/>
      <c r="AX278" s="155"/>
      <c r="AY278" s="155"/>
      <c r="AZ278" s="155"/>
      <c r="BA278" s="155"/>
      <c r="BB278" s="155"/>
      <c r="BC278" s="155"/>
      <c r="BD278" s="155"/>
      <c r="BE278" s="155"/>
      <c r="BF278" s="155"/>
      <c r="BG278" s="155"/>
      <c r="BH278" s="155"/>
      <c r="BI278" s="155"/>
      <c r="BJ278" s="155"/>
      <c r="BK278" s="15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c r="CP278" s="155"/>
      <c r="CQ278" s="155"/>
      <c r="CR278" s="155"/>
      <c r="CS278" s="155"/>
      <c r="CT278" s="155"/>
      <c r="CU278" s="155"/>
      <c r="CV278" s="155"/>
      <c r="CW278" s="155"/>
      <c r="CX278" s="155"/>
      <c r="CY278" s="155"/>
      <c r="CZ278" s="155"/>
      <c r="DA278" s="155"/>
      <c r="DB278" s="155"/>
      <c r="DC278" s="155"/>
      <c r="DD278" s="155"/>
      <c r="DE278" s="155"/>
      <c r="DF278" s="155"/>
      <c r="DG278" s="155"/>
      <c r="DH278" s="155"/>
      <c r="DI278" s="155"/>
      <c r="DJ278" s="155"/>
      <c r="DK278" s="155"/>
      <c r="DL278" s="155"/>
      <c r="DM278" s="155"/>
      <c r="DN278" s="155"/>
      <c r="DO278" s="155"/>
      <c r="DP278" s="155"/>
      <c r="DQ278" s="155"/>
      <c r="DR278" s="155"/>
      <c r="DS278" s="155"/>
      <c r="DT278" s="155"/>
      <c r="DU278" s="155"/>
      <c r="DV278" s="155"/>
      <c r="DW278" s="155"/>
      <c r="DX278" s="155"/>
      <c r="DY278" s="155"/>
      <c r="DZ278" s="155"/>
      <c r="EA278" s="155"/>
      <c r="EB278" s="155"/>
      <c r="EC278" s="155"/>
      <c r="ED278" s="155"/>
      <c r="EE278" s="155"/>
      <c r="EF278" s="155"/>
      <c r="EG278" s="155"/>
      <c r="EH278" s="155"/>
      <c r="EI278" s="155"/>
      <c r="EJ278" s="155"/>
      <c r="EK278" s="155"/>
      <c r="EL278" s="155"/>
      <c r="EM278" s="155"/>
      <c r="EN278" s="155"/>
      <c r="EO278" s="155"/>
      <c r="EP278" s="155"/>
      <c r="EQ278" s="155"/>
      <c r="ER278" s="155"/>
      <c r="ES278" s="155"/>
      <c r="ET278" s="155"/>
      <c r="EU278" s="155"/>
      <c r="EV278" s="155"/>
      <c r="EW278" s="155"/>
      <c r="EX278" s="155"/>
      <c r="EY278" s="155"/>
      <c r="EZ278" s="155"/>
      <c r="FA278" s="155"/>
      <c r="FB278" s="155"/>
      <c r="FC278" s="155"/>
      <c r="FD278" s="155"/>
      <c r="FE278" s="155"/>
      <c r="FF278" s="155"/>
      <c r="FG278" s="155"/>
      <c r="FH278" s="155"/>
      <c r="FI278" s="155"/>
      <c r="FJ278" s="155"/>
      <c r="FK278" s="155"/>
      <c r="FL278" s="155"/>
      <c r="FM278" s="155"/>
      <c r="FN278" s="155"/>
      <c r="FO278" s="155"/>
      <c r="FP278" s="155"/>
      <c r="FQ278" s="155"/>
      <c r="FR278" s="155"/>
      <c r="FS278" s="155"/>
      <c r="FT278" s="155"/>
      <c r="FU278" s="155"/>
      <c r="FV278" s="155"/>
      <c r="FW278" s="155"/>
      <c r="FX278" s="155"/>
      <c r="FY278" s="155"/>
      <c r="FZ278" s="155"/>
      <c r="GA278" s="155"/>
      <c r="GB278" s="155"/>
      <c r="GC278" s="155"/>
      <c r="GD278" s="155"/>
      <c r="GE278" s="155"/>
      <c r="GF278" s="155"/>
      <c r="GG278" s="155"/>
      <c r="GH278" s="155"/>
      <c r="GI278" s="155"/>
      <c r="GJ278" s="155"/>
      <c r="GK278" s="155"/>
      <c r="GL278" s="155"/>
      <c r="GM278" s="155"/>
      <c r="GN278" s="155"/>
      <c r="GO278" s="155"/>
      <c r="GP278" s="155"/>
      <c r="GQ278" s="155"/>
      <c r="GR278" s="155"/>
      <c r="GS278" s="155"/>
      <c r="GT278" s="155"/>
      <c r="GU278" s="155"/>
      <c r="GV278" s="155"/>
      <c r="GW278" s="155"/>
      <c r="GX278" s="155"/>
      <c r="GY278" s="155"/>
      <c r="GZ278" s="155"/>
      <c r="HA278" s="155"/>
      <c r="HB278" s="155"/>
      <c r="HC278" s="155"/>
      <c r="HD278" s="155"/>
      <c r="HE278" s="155"/>
      <c r="HF278" s="155"/>
      <c r="HG278" s="155"/>
      <c r="HH278" s="155"/>
      <c r="HI278" s="155"/>
      <c r="HJ278" s="155"/>
      <c r="HK278" s="155"/>
      <c r="HL278" s="155"/>
      <c r="HM278" s="155"/>
      <c r="HN278" s="155"/>
      <c r="HO278" s="155"/>
      <c r="HP278" s="155"/>
      <c r="HQ278" s="155"/>
      <c r="HR278" s="155"/>
      <c r="HS278" s="155"/>
      <c r="HT278" s="155"/>
      <c r="HU278" s="155"/>
      <c r="HV278" s="155"/>
      <c r="HW278" s="155"/>
      <c r="HX278" s="155"/>
      <c r="HY278" s="155"/>
      <c r="HZ278" s="155"/>
      <c r="IA278" s="155"/>
      <c r="IB278" s="155"/>
      <c r="IC278" s="155"/>
      <c r="ID278" s="155"/>
      <c r="IE278" s="155"/>
      <c r="IF278" s="155"/>
      <c r="IG278" s="155"/>
      <c r="IH278" s="155"/>
      <c r="II278" s="155"/>
      <c r="IJ278" s="155"/>
      <c r="IK278" s="155"/>
      <c r="IL278" s="155"/>
      <c r="IM278" s="155"/>
      <c r="IN278" s="155"/>
      <c r="IO278" s="155"/>
      <c r="IP278" s="155"/>
      <c r="IQ278" s="155"/>
      <c r="IR278" s="155"/>
      <c r="IS278" s="155"/>
      <c r="IT278" s="155"/>
    </row>
    <row r="279" spans="1:254" s="209" customFormat="1" ht="12.75">
      <c r="A279" s="324" t="s">
        <v>307</v>
      </c>
      <c r="B279" s="325">
        <f aca="true" t="shared" si="97" ref="B279:AG279">SUM(B280,B286)</f>
        <v>27319.04</v>
      </c>
      <c r="C279" s="325">
        <f t="shared" si="97"/>
        <v>27934.911200000002</v>
      </c>
      <c r="D279" s="325">
        <f t="shared" si="97"/>
        <v>25870.2728</v>
      </c>
      <c r="E279" s="325">
        <f t="shared" si="97"/>
        <v>20226.0844</v>
      </c>
      <c r="F279" s="636">
        <f t="shared" si="97"/>
        <v>20095.082000000002</v>
      </c>
      <c r="G279" s="325">
        <f t="shared" si="97"/>
        <v>20529.3622</v>
      </c>
      <c r="H279" s="325">
        <f t="shared" si="97"/>
        <v>20963.6424</v>
      </c>
      <c r="I279" s="325">
        <f t="shared" si="97"/>
        <v>21397.922599999998</v>
      </c>
      <c r="J279" s="325">
        <f t="shared" si="97"/>
        <v>21832.2028</v>
      </c>
      <c r="K279" s="325">
        <f t="shared" si="97"/>
        <v>22266.483</v>
      </c>
      <c r="L279" s="325">
        <f t="shared" si="97"/>
        <v>22700.7632</v>
      </c>
      <c r="M279" s="325">
        <f t="shared" si="97"/>
        <v>23135.043400000002</v>
      </c>
      <c r="N279" s="325">
        <f t="shared" si="97"/>
        <v>23569.3236</v>
      </c>
      <c r="O279" s="325">
        <f t="shared" si="97"/>
        <v>23958.6038</v>
      </c>
      <c r="P279" s="325">
        <f t="shared" si="97"/>
        <v>24505.7885</v>
      </c>
      <c r="Q279" s="325">
        <f t="shared" si="97"/>
        <v>25052.9732</v>
      </c>
      <c r="R279" s="325">
        <f t="shared" si="97"/>
        <v>25600.157900000006</v>
      </c>
      <c r="S279" s="325">
        <f t="shared" si="97"/>
        <v>26147.342599999996</v>
      </c>
      <c r="T279" s="325">
        <f t="shared" si="97"/>
        <v>26694.5273</v>
      </c>
      <c r="U279" s="325">
        <f t="shared" si="97"/>
        <v>27241.712</v>
      </c>
      <c r="V279" s="325">
        <f t="shared" si="97"/>
        <v>27858.3871</v>
      </c>
      <c r="W279" s="325">
        <f t="shared" si="97"/>
        <v>28475.0622</v>
      </c>
      <c r="X279" s="325">
        <f t="shared" si="97"/>
        <v>29091.7373</v>
      </c>
      <c r="Y279" s="325">
        <f t="shared" si="97"/>
        <v>29708.4124</v>
      </c>
      <c r="Z279" s="325">
        <f t="shared" si="97"/>
        <v>30325.0875</v>
      </c>
      <c r="AA279" s="325">
        <f t="shared" si="97"/>
        <v>30941.762600000002</v>
      </c>
      <c r="AB279" s="325">
        <f t="shared" si="97"/>
        <v>31558.4377</v>
      </c>
      <c r="AC279" s="325">
        <f t="shared" si="97"/>
        <v>32175.1128</v>
      </c>
      <c r="AD279" s="325">
        <f t="shared" si="97"/>
        <v>32791.787899999996</v>
      </c>
      <c r="AE279" s="325">
        <f t="shared" si="97"/>
        <v>33408.463</v>
      </c>
      <c r="AF279" s="325">
        <f t="shared" si="97"/>
        <v>33980.138100000004</v>
      </c>
      <c r="AG279" s="325">
        <f t="shared" si="97"/>
        <v>34709.7177</v>
      </c>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208"/>
      <c r="BD279" s="208"/>
      <c r="BE279" s="208"/>
      <c r="BF279" s="208"/>
      <c r="BG279" s="208"/>
      <c r="BH279" s="208"/>
      <c r="BI279" s="208"/>
      <c r="BJ279" s="208"/>
      <c r="BK279" s="208"/>
      <c r="BL279" s="208"/>
      <c r="BM279" s="208"/>
      <c r="BN279" s="208"/>
      <c r="BO279" s="208"/>
      <c r="BP279" s="208"/>
      <c r="BQ279" s="208"/>
      <c r="BR279" s="208"/>
      <c r="BS279" s="208"/>
      <c r="BT279" s="208"/>
      <c r="BU279" s="208"/>
      <c r="BV279" s="208"/>
      <c r="BW279" s="208"/>
      <c r="BX279" s="208"/>
      <c r="BY279" s="208"/>
      <c r="BZ279" s="208"/>
      <c r="CA279" s="208"/>
      <c r="CB279" s="208"/>
      <c r="CC279" s="208"/>
      <c r="CD279" s="208"/>
      <c r="CE279" s="208"/>
      <c r="CF279" s="208"/>
      <c r="CG279" s="208"/>
      <c r="CH279" s="208"/>
      <c r="CI279" s="208"/>
      <c r="CJ279" s="208"/>
      <c r="CK279" s="208"/>
      <c r="CL279" s="208"/>
      <c r="CM279" s="208"/>
      <c r="CN279" s="208"/>
      <c r="CO279" s="208"/>
      <c r="CP279" s="208"/>
      <c r="CQ279" s="208"/>
      <c r="CR279" s="208"/>
      <c r="CS279" s="208"/>
      <c r="CT279" s="208"/>
      <c r="CU279" s="208"/>
      <c r="CV279" s="208"/>
      <c r="CW279" s="208"/>
      <c r="CX279" s="208"/>
      <c r="CY279" s="208"/>
      <c r="CZ279" s="208"/>
      <c r="DA279" s="208"/>
      <c r="DB279" s="208"/>
      <c r="DC279" s="208"/>
      <c r="DD279" s="208"/>
      <c r="DE279" s="208"/>
      <c r="DF279" s="208"/>
      <c r="DG279" s="208"/>
      <c r="DH279" s="208"/>
      <c r="DI279" s="208"/>
      <c r="DJ279" s="208"/>
      <c r="DK279" s="208"/>
      <c r="DL279" s="208"/>
      <c r="DM279" s="208"/>
      <c r="DN279" s="208"/>
      <c r="DO279" s="208"/>
      <c r="DP279" s="208"/>
      <c r="DQ279" s="208"/>
      <c r="DR279" s="208"/>
      <c r="DS279" s="208"/>
      <c r="DT279" s="208"/>
      <c r="DU279" s="208"/>
      <c r="DV279" s="208"/>
      <c r="DW279" s="208"/>
      <c r="DX279" s="208"/>
      <c r="DY279" s="208"/>
      <c r="DZ279" s="208"/>
      <c r="EA279" s="208"/>
      <c r="EB279" s="208"/>
      <c r="EC279" s="208"/>
      <c r="ED279" s="208"/>
      <c r="EE279" s="208"/>
      <c r="EF279" s="208"/>
      <c r="EG279" s="208"/>
      <c r="EH279" s="208"/>
      <c r="EI279" s="208"/>
      <c r="EJ279" s="208"/>
      <c r="EK279" s="208"/>
      <c r="EL279" s="208"/>
      <c r="EM279" s="208"/>
      <c r="EN279" s="208"/>
      <c r="EO279" s="208"/>
      <c r="EP279" s="208"/>
      <c r="EQ279" s="208"/>
      <c r="ER279" s="208"/>
      <c r="ES279" s="208"/>
      <c r="ET279" s="208"/>
      <c r="EU279" s="208"/>
      <c r="EV279" s="208"/>
      <c r="EW279" s="208"/>
      <c r="EX279" s="208"/>
      <c r="EY279" s="208"/>
      <c r="EZ279" s="208"/>
      <c r="FA279" s="208"/>
      <c r="FB279" s="208"/>
      <c r="FC279" s="208"/>
      <c r="FD279" s="208"/>
      <c r="FE279" s="208"/>
      <c r="FF279" s="208"/>
      <c r="FG279" s="208"/>
      <c r="FH279" s="208"/>
      <c r="FI279" s="208"/>
      <c r="FJ279" s="208"/>
      <c r="FK279" s="208"/>
      <c r="FL279" s="208"/>
      <c r="FM279" s="208"/>
      <c r="FN279" s="208"/>
      <c r="FO279" s="208"/>
      <c r="FP279" s="208"/>
      <c r="FQ279" s="208"/>
      <c r="FR279" s="208"/>
      <c r="FS279" s="208"/>
      <c r="FT279" s="208"/>
      <c r="FU279" s="208"/>
      <c r="FV279" s="208"/>
      <c r="FW279" s="208"/>
      <c r="FX279" s="208"/>
      <c r="FY279" s="208"/>
      <c r="FZ279" s="208"/>
      <c r="GA279" s="208"/>
      <c r="GB279" s="208"/>
      <c r="GC279" s="208"/>
      <c r="GD279" s="208"/>
      <c r="GE279" s="208"/>
      <c r="GF279" s="208"/>
      <c r="GG279" s="208"/>
      <c r="GH279" s="208"/>
      <c r="GI279" s="208"/>
      <c r="GJ279" s="208"/>
      <c r="GK279" s="208"/>
      <c r="GL279" s="208"/>
      <c r="GM279" s="208"/>
      <c r="GN279" s="208"/>
      <c r="GO279" s="208"/>
      <c r="GP279" s="208"/>
      <c r="GQ279" s="208"/>
      <c r="GR279" s="208"/>
      <c r="GS279" s="208"/>
      <c r="GT279" s="208"/>
      <c r="GU279" s="208"/>
      <c r="GV279" s="208"/>
      <c r="GW279" s="208"/>
      <c r="GX279" s="208"/>
      <c r="GY279" s="208"/>
      <c r="GZ279" s="208"/>
      <c r="HA279" s="208"/>
      <c r="HB279" s="208"/>
      <c r="HC279" s="208"/>
      <c r="HD279" s="208"/>
      <c r="HE279" s="208"/>
      <c r="HF279" s="208"/>
      <c r="HG279" s="208"/>
      <c r="HH279" s="208"/>
      <c r="HI279" s="208"/>
      <c r="HJ279" s="208"/>
      <c r="HK279" s="208"/>
      <c r="HL279" s="208"/>
      <c r="HM279" s="208"/>
      <c r="HN279" s="208"/>
      <c r="HO279" s="208"/>
      <c r="HP279" s="208"/>
      <c r="HQ279" s="208"/>
      <c r="HR279" s="208"/>
      <c r="HS279" s="208"/>
      <c r="HT279" s="208"/>
      <c r="HU279" s="208"/>
      <c r="HV279" s="208"/>
      <c r="HW279" s="208"/>
      <c r="HX279" s="208"/>
      <c r="HY279" s="208"/>
      <c r="HZ279" s="208"/>
      <c r="IA279" s="208"/>
      <c r="IB279" s="208"/>
      <c r="IC279" s="208"/>
      <c r="ID279" s="208"/>
      <c r="IE279" s="208"/>
      <c r="IF279" s="208"/>
      <c r="IG279" s="208"/>
      <c r="IH279" s="208"/>
      <c r="II279" s="208"/>
      <c r="IJ279" s="208"/>
      <c r="IK279" s="208"/>
      <c r="IL279" s="208"/>
      <c r="IM279" s="208"/>
      <c r="IN279" s="208"/>
      <c r="IO279" s="208"/>
      <c r="IP279" s="208"/>
      <c r="IQ279" s="208"/>
      <c r="IR279" s="208"/>
      <c r="IS279" s="208"/>
      <c r="IT279" s="208"/>
    </row>
    <row r="280" spans="1:254" s="209" customFormat="1" ht="12.75">
      <c r="A280" s="381" t="s">
        <v>308</v>
      </c>
      <c r="B280" s="382">
        <f aca="true" t="shared" si="98" ref="B280:AG280">SUM(B281:B285)</f>
        <v>20370</v>
      </c>
      <c r="C280" s="382">
        <f t="shared" si="98"/>
        <v>20777.4</v>
      </c>
      <c r="D280" s="382">
        <f t="shared" si="98"/>
        <v>18434.8</v>
      </c>
      <c r="E280" s="382">
        <f t="shared" si="98"/>
        <v>11892.2</v>
      </c>
      <c r="F280" s="655">
        <f t="shared" si="98"/>
        <v>11433.6</v>
      </c>
      <c r="G280" s="382">
        <f t="shared" si="98"/>
        <v>11647</v>
      </c>
      <c r="H280" s="382">
        <f t="shared" si="98"/>
        <v>11860.400000000001</v>
      </c>
      <c r="I280" s="382">
        <f t="shared" si="98"/>
        <v>12073.8</v>
      </c>
      <c r="J280" s="382">
        <f t="shared" si="98"/>
        <v>12287.2</v>
      </c>
      <c r="K280" s="382">
        <f t="shared" si="98"/>
        <v>12500.599999999999</v>
      </c>
      <c r="L280" s="382">
        <f t="shared" si="98"/>
        <v>12714</v>
      </c>
      <c r="M280" s="382">
        <f t="shared" si="98"/>
        <v>12927.4</v>
      </c>
      <c r="N280" s="382">
        <f t="shared" si="98"/>
        <v>13140.8</v>
      </c>
      <c r="O280" s="382">
        <f t="shared" si="98"/>
        <v>13309.2</v>
      </c>
      <c r="P280" s="382">
        <f t="shared" si="98"/>
        <v>13629.3</v>
      </c>
      <c r="Q280" s="382">
        <f t="shared" si="98"/>
        <v>13949.400000000001</v>
      </c>
      <c r="R280" s="382">
        <f t="shared" si="98"/>
        <v>14269.500000000004</v>
      </c>
      <c r="S280" s="382">
        <f t="shared" si="98"/>
        <v>14589.599999999999</v>
      </c>
      <c r="T280" s="382">
        <f t="shared" si="98"/>
        <v>14909.7</v>
      </c>
      <c r="U280" s="382">
        <f t="shared" si="98"/>
        <v>15229.8</v>
      </c>
      <c r="V280" s="382">
        <f t="shared" si="98"/>
        <v>15549.900000000001</v>
      </c>
      <c r="W280" s="382">
        <f t="shared" si="98"/>
        <v>15870</v>
      </c>
      <c r="X280" s="382">
        <f t="shared" si="98"/>
        <v>16190.099999999999</v>
      </c>
      <c r="Y280" s="382">
        <f t="shared" si="98"/>
        <v>16510.2</v>
      </c>
      <c r="Z280" s="382">
        <f t="shared" si="98"/>
        <v>16830.3</v>
      </c>
      <c r="AA280" s="382">
        <f t="shared" si="98"/>
        <v>17150.4</v>
      </c>
      <c r="AB280" s="382">
        <f t="shared" si="98"/>
        <v>17470.5</v>
      </c>
      <c r="AC280" s="382">
        <f t="shared" si="98"/>
        <v>17790.6</v>
      </c>
      <c r="AD280" s="382">
        <f t="shared" si="98"/>
        <v>18110.699999999997</v>
      </c>
      <c r="AE280" s="382">
        <f t="shared" si="98"/>
        <v>18430.8</v>
      </c>
      <c r="AF280" s="382">
        <f t="shared" si="98"/>
        <v>18705.9</v>
      </c>
      <c r="AG280" s="382">
        <f t="shared" si="98"/>
        <v>19132.7</v>
      </c>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208"/>
      <c r="BD280" s="208"/>
      <c r="BE280" s="208"/>
      <c r="BF280" s="208"/>
      <c r="BG280" s="208"/>
      <c r="BH280" s="208"/>
      <c r="BI280" s="208"/>
      <c r="BJ280" s="208"/>
      <c r="BK280" s="208"/>
      <c r="BL280" s="208"/>
      <c r="BM280" s="208"/>
      <c r="BN280" s="208"/>
      <c r="BO280" s="208"/>
      <c r="BP280" s="208"/>
      <c r="BQ280" s="208"/>
      <c r="BR280" s="208"/>
      <c r="BS280" s="208"/>
      <c r="BT280" s="208"/>
      <c r="BU280" s="208"/>
      <c r="BV280" s="208"/>
      <c r="BW280" s="208"/>
      <c r="BX280" s="208"/>
      <c r="BY280" s="208"/>
      <c r="BZ280" s="208"/>
      <c r="CA280" s="208"/>
      <c r="CB280" s="208"/>
      <c r="CC280" s="208"/>
      <c r="CD280" s="208"/>
      <c r="CE280" s="208"/>
      <c r="CF280" s="208"/>
      <c r="CG280" s="208"/>
      <c r="CH280" s="208"/>
      <c r="CI280" s="208"/>
      <c r="CJ280" s="208"/>
      <c r="CK280" s="208"/>
      <c r="CL280" s="208"/>
      <c r="CM280" s="208"/>
      <c r="CN280" s="208"/>
      <c r="CO280" s="208"/>
      <c r="CP280" s="208"/>
      <c r="CQ280" s="208"/>
      <c r="CR280" s="208"/>
      <c r="CS280" s="208"/>
      <c r="CT280" s="208"/>
      <c r="CU280" s="208"/>
      <c r="CV280" s="208"/>
      <c r="CW280" s="208"/>
      <c r="CX280" s="208"/>
      <c r="CY280" s="208"/>
      <c r="CZ280" s="208"/>
      <c r="DA280" s="208"/>
      <c r="DB280" s="208"/>
      <c r="DC280" s="208"/>
      <c r="DD280" s="208"/>
      <c r="DE280" s="208"/>
      <c r="DF280" s="208"/>
      <c r="DG280" s="208"/>
      <c r="DH280" s="208"/>
      <c r="DI280" s="208"/>
      <c r="DJ280" s="208"/>
      <c r="DK280" s="208"/>
      <c r="DL280" s="208"/>
      <c r="DM280" s="208"/>
      <c r="DN280" s="208"/>
      <c r="DO280" s="208"/>
      <c r="DP280" s="208"/>
      <c r="DQ280" s="208"/>
      <c r="DR280" s="208"/>
      <c r="DS280" s="208"/>
      <c r="DT280" s="208"/>
      <c r="DU280" s="208"/>
      <c r="DV280" s="208"/>
      <c r="DW280" s="208"/>
      <c r="DX280" s="208"/>
      <c r="DY280" s="208"/>
      <c r="DZ280" s="208"/>
      <c r="EA280" s="208"/>
      <c r="EB280" s="208"/>
      <c r="EC280" s="208"/>
      <c r="ED280" s="208"/>
      <c r="EE280" s="208"/>
      <c r="EF280" s="208"/>
      <c r="EG280" s="208"/>
      <c r="EH280" s="208"/>
      <c r="EI280" s="208"/>
      <c r="EJ280" s="208"/>
      <c r="EK280" s="208"/>
      <c r="EL280" s="208"/>
      <c r="EM280" s="208"/>
      <c r="EN280" s="208"/>
      <c r="EO280" s="208"/>
      <c r="EP280" s="208"/>
      <c r="EQ280" s="208"/>
      <c r="ER280" s="208"/>
      <c r="ES280" s="208"/>
      <c r="ET280" s="208"/>
      <c r="EU280" s="208"/>
      <c r="EV280" s="208"/>
      <c r="EW280" s="208"/>
      <c r="EX280" s="208"/>
      <c r="EY280" s="208"/>
      <c r="EZ280" s="208"/>
      <c r="FA280" s="208"/>
      <c r="FB280" s="208"/>
      <c r="FC280" s="208"/>
      <c r="FD280" s="208"/>
      <c r="FE280" s="208"/>
      <c r="FF280" s="208"/>
      <c r="FG280" s="208"/>
      <c r="FH280" s="208"/>
      <c r="FI280" s="208"/>
      <c r="FJ280" s="208"/>
      <c r="FK280" s="208"/>
      <c r="FL280" s="208"/>
      <c r="FM280" s="208"/>
      <c r="FN280" s="208"/>
      <c r="FO280" s="208"/>
      <c r="FP280" s="208"/>
      <c r="FQ280" s="208"/>
      <c r="FR280" s="208"/>
      <c r="FS280" s="208"/>
      <c r="FT280" s="208"/>
      <c r="FU280" s="208"/>
      <c r="FV280" s="208"/>
      <c r="FW280" s="208"/>
      <c r="FX280" s="208"/>
      <c r="FY280" s="208"/>
      <c r="FZ280" s="208"/>
      <c r="GA280" s="208"/>
      <c r="GB280" s="208"/>
      <c r="GC280" s="208"/>
      <c r="GD280" s="208"/>
      <c r="GE280" s="208"/>
      <c r="GF280" s="208"/>
      <c r="GG280" s="208"/>
      <c r="GH280" s="208"/>
      <c r="GI280" s="208"/>
      <c r="GJ280" s="208"/>
      <c r="GK280" s="208"/>
      <c r="GL280" s="208"/>
      <c r="GM280" s="208"/>
      <c r="GN280" s="208"/>
      <c r="GO280" s="208"/>
      <c r="GP280" s="208"/>
      <c r="GQ280" s="208"/>
      <c r="GR280" s="208"/>
      <c r="GS280" s="208"/>
      <c r="GT280" s="208"/>
      <c r="GU280" s="208"/>
      <c r="GV280" s="208"/>
      <c r="GW280" s="208"/>
      <c r="GX280" s="208"/>
      <c r="GY280" s="208"/>
      <c r="GZ280" s="208"/>
      <c r="HA280" s="208"/>
      <c r="HB280" s="208"/>
      <c r="HC280" s="208"/>
      <c r="HD280" s="208"/>
      <c r="HE280" s="208"/>
      <c r="HF280" s="208"/>
      <c r="HG280" s="208"/>
      <c r="HH280" s="208"/>
      <c r="HI280" s="208"/>
      <c r="HJ280" s="208"/>
      <c r="HK280" s="208"/>
      <c r="HL280" s="208"/>
      <c r="HM280" s="208"/>
      <c r="HN280" s="208"/>
      <c r="HO280" s="208"/>
      <c r="HP280" s="208"/>
      <c r="HQ280" s="208"/>
      <c r="HR280" s="208"/>
      <c r="HS280" s="208"/>
      <c r="HT280" s="208"/>
      <c r="HU280" s="208"/>
      <c r="HV280" s="208"/>
      <c r="HW280" s="208"/>
      <c r="HX280" s="208"/>
      <c r="HY280" s="208"/>
      <c r="HZ280" s="208"/>
      <c r="IA280" s="208"/>
      <c r="IB280" s="208"/>
      <c r="IC280" s="208"/>
      <c r="ID280" s="208"/>
      <c r="IE280" s="208"/>
      <c r="IF280" s="208"/>
      <c r="IG280" s="208"/>
      <c r="IH280" s="208"/>
      <c r="II280" s="208"/>
      <c r="IJ280" s="208"/>
      <c r="IK280" s="208"/>
      <c r="IL280" s="208"/>
      <c r="IM280" s="208"/>
      <c r="IN280" s="208"/>
      <c r="IO280" s="208"/>
      <c r="IP280" s="208"/>
      <c r="IQ280" s="208"/>
      <c r="IR280" s="208"/>
      <c r="IS280" s="208"/>
      <c r="IT280" s="208"/>
    </row>
    <row r="281" spans="1:254" s="157" customFormat="1" ht="12.75">
      <c r="A281" s="556" t="s">
        <v>309</v>
      </c>
      <c r="B281" s="154">
        <f>'Saimnieciskas pamatdarbibas NP'!B44+'Saimnieciskas pamatdarbibas NP'!B50</f>
        <v>11070</v>
      </c>
      <c r="C281" s="154">
        <f>'Saimnieciskas pamatdarbibas NP'!C44+'Saimnieciskas pamatdarbibas NP'!C50</f>
        <v>11291.400000000001</v>
      </c>
      <c r="D281" s="154">
        <f>'Saimnieciskas pamatdarbibas NP'!D44+'Saimnieciskas pamatdarbibas NP'!D50</f>
        <v>9012.8</v>
      </c>
      <c r="E281" s="154">
        <f>'Saimnieciskas pamatdarbibas NP'!E44+'Saimnieciskas pamatdarbibas NP'!E50</f>
        <v>2234.2000000000007</v>
      </c>
      <c r="F281" s="635">
        <f>'Saimnieciskas pamatdarbibas NP'!F44+'Saimnieciskas pamatdarbibas NP'!F50</f>
        <v>1605.6000000000004</v>
      </c>
      <c r="G281" s="154">
        <f>'Saimnieciskas pamatdarbibas NP'!G44+'Saimnieciskas pamatdarbibas NP'!G50</f>
        <v>1637.000000000001</v>
      </c>
      <c r="H281" s="154">
        <f>'Saimnieciskas pamatdarbibas NP'!H44+'Saimnieciskas pamatdarbibas NP'!H50</f>
        <v>1668.4000000000005</v>
      </c>
      <c r="I281" s="154">
        <f>'Saimnieciskas pamatdarbibas NP'!I44+'Saimnieciskas pamatdarbibas NP'!I50</f>
        <v>1699.7999999999993</v>
      </c>
      <c r="J281" s="154">
        <f>'Saimnieciskas pamatdarbibas NP'!J44+'Saimnieciskas pamatdarbibas NP'!J50</f>
        <v>1731.1999999999998</v>
      </c>
      <c r="K281" s="154">
        <f>'Saimnieciskas pamatdarbibas NP'!K44+'Saimnieciskas pamatdarbibas NP'!K50</f>
        <v>1762.5999999999995</v>
      </c>
      <c r="L281" s="154">
        <f>'Saimnieciskas pamatdarbibas NP'!L44+'Saimnieciskas pamatdarbibas NP'!L50</f>
        <v>1794</v>
      </c>
      <c r="M281" s="154">
        <f>'Saimnieciskas pamatdarbibas NP'!M44+'Saimnieciskas pamatdarbibas NP'!M50</f>
        <v>1825.3999999999996</v>
      </c>
      <c r="N281" s="154">
        <f>'Saimnieciskas pamatdarbibas NP'!N44+'Saimnieciskas pamatdarbibas NP'!N50</f>
        <v>1856.8000000000002</v>
      </c>
      <c r="O281" s="154">
        <f>'Saimnieciskas pamatdarbibas NP'!O44+'Saimnieciskas pamatdarbibas NP'!O50</f>
        <v>1843.1999999999998</v>
      </c>
      <c r="P281" s="154">
        <f>'Saimnieciskas pamatdarbibas NP'!P44+'Saimnieciskas pamatdarbibas NP'!P50</f>
        <v>1890.3000000000002</v>
      </c>
      <c r="Q281" s="154">
        <f>'Saimnieciskas pamatdarbibas NP'!Q44+'Saimnieciskas pamatdarbibas NP'!Q50</f>
        <v>1937.4000000000005</v>
      </c>
      <c r="R281" s="154">
        <f>'Saimnieciskas pamatdarbibas NP'!R44+'Saimnieciskas pamatdarbibas NP'!R50</f>
        <v>1984.5000000000027</v>
      </c>
      <c r="S281" s="154">
        <f>'Saimnieciskas pamatdarbibas NP'!S44+'Saimnieciskas pamatdarbibas NP'!S50</f>
        <v>2031.5999999999995</v>
      </c>
      <c r="T281" s="154">
        <f>'Saimnieciskas pamatdarbibas NP'!T44+'Saimnieciskas pamatdarbibas NP'!T50</f>
        <v>2078.7</v>
      </c>
      <c r="U281" s="154">
        <f>'Saimnieciskas pamatdarbibas NP'!U44+'Saimnieciskas pamatdarbibas NP'!U50</f>
        <v>2125.7999999999993</v>
      </c>
      <c r="V281" s="154">
        <f>'Saimnieciskas pamatdarbibas NP'!V44+'Saimnieciskas pamatdarbibas NP'!V50</f>
        <v>2172.8999999999996</v>
      </c>
      <c r="W281" s="154">
        <f>'Saimnieciskas pamatdarbibas NP'!W44+'Saimnieciskas pamatdarbibas NP'!W50</f>
        <v>2220</v>
      </c>
      <c r="X281" s="154">
        <f>'Saimnieciskas pamatdarbibas NP'!X44+'Saimnieciskas pamatdarbibas NP'!X50</f>
        <v>2267.1000000000004</v>
      </c>
      <c r="Y281" s="154">
        <f>'Saimnieciskas pamatdarbibas NP'!Y44+'Saimnieciskas pamatdarbibas NP'!Y50</f>
        <v>2314.2000000000007</v>
      </c>
      <c r="Z281" s="154">
        <f>'Saimnieciskas pamatdarbibas NP'!Z44+'Saimnieciskas pamatdarbibas NP'!Z50</f>
        <v>2361.3</v>
      </c>
      <c r="AA281" s="154">
        <f>'Saimnieciskas pamatdarbibas NP'!AA44+'Saimnieciskas pamatdarbibas NP'!AA50</f>
        <v>2408.4000000000005</v>
      </c>
      <c r="AB281" s="154">
        <f>'Saimnieciskas pamatdarbibas NP'!AB44+'Saimnieciskas pamatdarbibas NP'!AB50</f>
        <v>2455.5</v>
      </c>
      <c r="AC281" s="154">
        <f>'Saimnieciskas pamatdarbibas NP'!AC44+'Saimnieciskas pamatdarbibas NP'!AC50</f>
        <v>2502.6000000000004</v>
      </c>
      <c r="AD281" s="154">
        <f>'Saimnieciskas pamatdarbibas NP'!AD44+'Saimnieciskas pamatdarbibas NP'!AD50</f>
        <v>2549.699999999999</v>
      </c>
      <c r="AE281" s="154">
        <f>'Saimnieciskas pamatdarbibas NP'!AE44+'Saimnieciskas pamatdarbibas NP'!AE50</f>
        <v>2596.7999999999993</v>
      </c>
      <c r="AF281" s="154">
        <f>'Saimnieciskas pamatdarbibas NP'!AF44+'Saimnieciskas pamatdarbibas NP'!AF50</f>
        <v>2598.8999999999996</v>
      </c>
      <c r="AG281" s="154">
        <f>'Saimnieciskas pamatdarbibas NP'!AG44+'Saimnieciskas pamatdarbibas NP'!AG50</f>
        <v>2661.7000000000007</v>
      </c>
      <c r="AH281" s="155"/>
      <c r="AI281" s="155"/>
      <c r="AJ281" s="155"/>
      <c r="AK281" s="155"/>
      <c r="AL281" s="155"/>
      <c r="AM281" s="155"/>
      <c r="AN281" s="155"/>
      <c r="AO281" s="155"/>
      <c r="AP281" s="155"/>
      <c r="AQ281" s="155"/>
      <c r="AR281" s="155"/>
      <c r="AS281" s="155"/>
      <c r="AT281" s="155"/>
      <c r="AU281" s="155"/>
      <c r="AV281" s="155"/>
      <c r="AW281" s="155"/>
      <c r="AX281" s="155"/>
      <c r="AY281" s="155"/>
      <c r="AZ281" s="155"/>
      <c r="BA281" s="155"/>
      <c r="BB281" s="155"/>
      <c r="BC281" s="155"/>
      <c r="BD281" s="155"/>
      <c r="BE281" s="155"/>
      <c r="BF281" s="155"/>
      <c r="BG281" s="155"/>
      <c r="BH281" s="155"/>
      <c r="BI281" s="155"/>
      <c r="BJ281" s="155"/>
      <c r="BK281" s="155"/>
      <c r="BL281" s="155"/>
      <c r="BM281" s="155"/>
      <c r="BN281" s="155"/>
      <c r="BO281" s="155"/>
      <c r="BP281" s="155"/>
      <c r="BQ281" s="155"/>
      <c r="BR281" s="155"/>
      <c r="BS281" s="155"/>
      <c r="BT281" s="155"/>
      <c r="BU281" s="155"/>
      <c r="BV281" s="155"/>
      <c r="BW281" s="155"/>
      <c r="BX281" s="155"/>
      <c r="BY281" s="155"/>
      <c r="BZ281" s="155"/>
      <c r="CA281" s="155"/>
      <c r="CB281" s="155"/>
      <c r="CC281" s="155"/>
      <c r="CD281" s="155"/>
      <c r="CE281" s="155"/>
      <c r="CF281" s="155"/>
      <c r="CG281" s="155"/>
      <c r="CH281" s="155"/>
      <c r="CI281" s="155"/>
      <c r="CJ281" s="155"/>
      <c r="CK281" s="155"/>
      <c r="CL281" s="155"/>
      <c r="CM281" s="155"/>
      <c r="CN281" s="155"/>
      <c r="CO281" s="155"/>
      <c r="CP281" s="155"/>
      <c r="CQ281" s="155"/>
      <c r="CR281" s="155"/>
      <c r="CS281" s="155"/>
      <c r="CT281" s="155"/>
      <c r="CU281" s="155"/>
      <c r="CV281" s="155"/>
      <c r="CW281" s="155"/>
      <c r="CX281" s="155"/>
      <c r="CY281" s="155"/>
      <c r="CZ281" s="155"/>
      <c r="DA281" s="155"/>
      <c r="DB281" s="155"/>
      <c r="DC281" s="155"/>
      <c r="DD281" s="155"/>
      <c r="DE281" s="155"/>
      <c r="DF281" s="155"/>
      <c r="DG281" s="155"/>
      <c r="DH281" s="155"/>
      <c r="DI281" s="155"/>
      <c r="DJ281" s="155"/>
      <c r="DK281" s="155"/>
      <c r="DL281" s="155"/>
      <c r="DM281" s="155"/>
      <c r="DN281" s="155"/>
      <c r="DO281" s="155"/>
      <c r="DP281" s="155"/>
      <c r="DQ281" s="155"/>
      <c r="DR281" s="155"/>
      <c r="DS281" s="155"/>
      <c r="DT281" s="155"/>
      <c r="DU281" s="155"/>
      <c r="DV281" s="155"/>
      <c r="DW281" s="155"/>
      <c r="DX281" s="155"/>
      <c r="DY281" s="155"/>
      <c r="DZ281" s="155"/>
      <c r="EA281" s="155"/>
      <c r="EB281" s="155"/>
      <c r="EC281" s="155"/>
      <c r="ED281" s="155"/>
      <c r="EE281" s="155"/>
      <c r="EF281" s="155"/>
      <c r="EG281" s="155"/>
      <c r="EH281" s="155"/>
      <c r="EI281" s="155"/>
      <c r="EJ281" s="155"/>
      <c r="EK281" s="155"/>
      <c r="EL281" s="155"/>
      <c r="EM281" s="155"/>
      <c r="EN281" s="155"/>
      <c r="EO281" s="155"/>
      <c r="EP281" s="155"/>
      <c r="EQ281" s="155"/>
      <c r="ER281" s="155"/>
      <c r="ES281" s="155"/>
      <c r="ET281" s="155"/>
      <c r="EU281" s="155"/>
      <c r="EV281" s="155"/>
      <c r="EW281" s="155"/>
      <c r="EX281" s="155"/>
      <c r="EY281" s="155"/>
      <c r="EZ281" s="155"/>
      <c r="FA281" s="155"/>
      <c r="FB281" s="155"/>
      <c r="FC281" s="155"/>
      <c r="FD281" s="155"/>
      <c r="FE281" s="155"/>
      <c r="FF281" s="155"/>
      <c r="FG281" s="155"/>
      <c r="FH281" s="155"/>
      <c r="FI281" s="155"/>
      <c r="FJ281" s="155"/>
      <c r="FK281" s="155"/>
      <c r="FL281" s="155"/>
      <c r="FM281" s="155"/>
      <c r="FN281" s="155"/>
      <c r="FO281" s="155"/>
      <c r="FP281" s="155"/>
      <c r="FQ281" s="155"/>
      <c r="FR281" s="155"/>
      <c r="FS281" s="155"/>
      <c r="FT281" s="155"/>
      <c r="FU281" s="155"/>
      <c r="FV281" s="155"/>
      <c r="FW281" s="155"/>
      <c r="FX281" s="155"/>
      <c r="FY281" s="155"/>
      <c r="FZ281" s="155"/>
      <c r="GA281" s="155"/>
      <c r="GB281" s="155"/>
      <c r="GC281" s="155"/>
      <c r="GD281" s="155"/>
      <c r="GE281" s="155"/>
      <c r="GF281" s="155"/>
      <c r="GG281" s="155"/>
      <c r="GH281" s="155"/>
      <c r="GI281" s="155"/>
      <c r="GJ281" s="155"/>
      <c r="GK281" s="155"/>
      <c r="GL281" s="155"/>
      <c r="GM281" s="155"/>
      <c r="GN281" s="155"/>
      <c r="GO281" s="155"/>
      <c r="GP281" s="155"/>
      <c r="GQ281" s="155"/>
      <c r="GR281" s="155"/>
      <c r="GS281" s="155"/>
      <c r="GT281" s="155"/>
      <c r="GU281" s="155"/>
      <c r="GV281" s="155"/>
      <c r="GW281" s="155"/>
      <c r="GX281" s="155"/>
      <c r="GY281" s="155"/>
      <c r="GZ281" s="155"/>
      <c r="HA281" s="155"/>
      <c r="HB281" s="155"/>
      <c r="HC281" s="155"/>
      <c r="HD281" s="155"/>
      <c r="HE281" s="155"/>
      <c r="HF281" s="155"/>
      <c r="HG281" s="155"/>
      <c r="HH281" s="155"/>
      <c r="HI281" s="155"/>
      <c r="HJ281" s="155"/>
      <c r="HK281" s="155"/>
      <c r="HL281" s="155"/>
      <c r="HM281" s="155"/>
      <c r="HN281" s="155"/>
      <c r="HO281" s="155"/>
      <c r="HP281" s="155"/>
      <c r="HQ281" s="155"/>
      <c r="HR281" s="155"/>
      <c r="HS281" s="155"/>
      <c r="HT281" s="155"/>
      <c r="HU281" s="155"/>
      <c r="HV281" s="155"/>
      <c r="HW281" s="155"/>
      <c r="HX281" s="155"/>
      <c r="HY281" s="155"/>
      <c r="HZ281" s="155"/>
      <c r="IA281" s="155"/>
      <c r="IB281" s="155"/>
      <c r="IC281" s="155"/>
      <c r="ID281" s="155"/>
      <c r="IE281" s="155"/>
      <c r="IF281" s="155"/>
      <c r="IG281" s="155"/>
      <c r="IH281" s="155"/>
      <c r="II281" s="155"/>
      <c r="IJ281" s="155"/>
      <c r="IK281" s="155"/>
      <c r="IL281" s="155"/>
      <c r="IM281" s="155"/>
      <c r="IN281" s="155"/>
      <c r="IO281" s="155"/>
      <c r="IP281" s="155"/>
      <c r="IQ281" s="155"/>
      <c r="IR281" s="155"/>
      <c r="IS281" s="155"/>
      <c r="IT281" s="155"/>
    </row>
    <row r="282" spans="1:254" s="157" customFormat="1" ht="12.75">
      <c r="A282" s="556" t="s">
        <v>310</v>
      </c>
      <c r="B282" s="154">
        <f>'Saimnieciskas pamatdarbibas NP'!B45+'Saimnieciskas pamatdarbibas NP'!B51</f>
        <v>7900</v>
      </c>
      <c r="C282" s="154">
        <f>'Saimnieciskas pamatdarbibas NP'!C45+'Saimnieciskas pamatdarbibas NP'!C51</f>
        <v>8058</v>
      </c>
      <c r="D282" s="154">
        <f>'Saimnieciskas pamatdarbibas NP'!D45+'Saimnieciskas pamatdarbibas NP'!D51</f>
        <v>8216</v>
      </c>
      <c r="E282" s="154">
        <f>'Saimnieciskas pamatdarbibas NP'!E45+'Saimnieciskas pamatdarbibas NP'!E51</f>
        <v>8574</v>
      </c>
      <c r="F282" s="635">
        <f>'Saimnieciskas pamatdarbibas NP'!F45+'Saimnieciskas pamatdarbibas NP'!F51</f>
        <v>8748</v>
      </c>
      <c r="G282" s="154">
        <f>'Saimnieciskas pamatdarbibas NP'!G45+'Saimnieciskas pamatdarbibas NP'!G51</f>
        <v>8910</v>
      </c>
      <c r="H282" s="154">
        <f>'Saimnieciskas pamatdarbibas NP'!H45+'Saimnieciskas pamatdarbibas NP'!H51</f>
        <v>9072.000000000002</v>
      </c>
      <c r="I282" s="154">
        <f>'Saimnieciskas pamatdarbibas NP'!I45+'Saimnieciskas pamatdarbibas NP'!I51</f>
        <v>9234</v>
      </c>
      <c r="J282" s="154">
        <f>'Saimnieciskas pamatdarbibas NP'!J45+'Saimnieciskas pamatdarbibas NP'!J51</f>
        <v>9396</v>
      </c>
      <c r="K282" s="154">
        <f>'Saimnieciskas pamatdarbibas NP'!K45+'Saimnieciskas pamatdarbibas NP'!K51</f>
        <v>9558</v>
      </c>
      <c r="L282" s="154">
        <f>'Saimnieciskas pamatdarbibas NP'!L45+'Saimnieciskas pamatdarbibas NP'!L51</f>
        <v>9720</v>
      </c>
      <c r="M282" s="154">
        <f>'Saimnieciskas pamatdarbibas NP'!M45+'Saimnieciskas pamatdarbibas NP'!M51</f>
        <v>9882</v>
      </c>
      <c r="N282" s="154">
        <f>'Saimnieciskas pamatdarbibas NP'!N45+'Saimnieciskas pamatdarbibas NP'!N51</f>
        <v>10044</v>
      </c>
      <c r="O282" s="154">
        <f>'Saimnieciskas pamatdarbibas NP'!O45+'Saimnieciskas pamatdarbibas NP'!O51</f>
        <v>10206</v>
      </c>
      <c r="P282" s="154">
        <f>'Saimnieciskas pamatdarbibas NP'!P45+'Saimnieciskas pamatdarbibas NP'!P51</f>
        <v>10449</v>
      </c>
      <c r="Q282" s="154">
        <f>'Saimnieciskas pamatdarbibas NP'!Q45+'Saimnieciskas pamatdarbibas NP'!Q51</f>
        <v>10692</v>
      </c>
      <c r="R282" s="154">
        <f>'Saimnieciskas pamatdarbibas NP'!R45+'Saimnieciskas pamatdarbibas NP'!R51</f>
        <v>10935</v>
      </c>
      <c r="S282" s="154">
        <f>'Saimnieciskas pamatdarbibas NP'!S45+'Saimnieciskas pamatdarbibas NP'!S51</f>
        <v>11178</v>
      </c>
      <c r="T282" s="154">
        <f>'Saimnieciskas pamatdarbibas NP'!T45+'Saimnieciskas pamatdarbibas NP'!T51</f>
        <v>11421</v>
      </c>
      <c r="U282" s="154">
        <f>'Saimnieciskas pamatdarbibas NP'!U45+'Saimnieciskas pamatdarbibas NP'!U51</f>
        <v>11664</v>
      </c>
      <c r="V282" s="154">
        <f>'Saimnieciskas pamatdarbibas NP'!V45+'Saimnieciskas pamatdarbibas NP'!V51</f>
        <v>11907</v>
      </c>
      <c r="W282" s="154">
        <f>'Saimnieciskas pamatdarbibas NP'!W45+'Saimnieciskas pamatdarbibas NP'!W51</f>
        <v>12150</v>
      </c>
      <c r="X282" s="154">
        <f>'Saimnieciskas pamatdarbibas NP'!X45+'Saimnieciskas pamatdarbibas NP'!X51</f>
        <v>12393</v>
      </c>
      <c r="Y282" s="154">
        <f>'Saimnieciskas pamatdarbibas NP'!Y45+'Saimnieciskas pamatdarbibas NP'!Y51</f>
        <v>12636</v>
      </c>
      <c r="Z282" s="154">
        <f>'Saimnieciskas pamatdarbibas NP'!Z45+'Saimnieciskas pamatdarbibas NP'!Z51</f>
        <v>12879</v>
      </c>
      <c r="AA282" s="154">
        <f>'Saimnieciskas pamatdarbibas NP'!AA45+'Saimnieciskas pamatdarbibas NP'!AA51</f>
        <v>13122</v>
      </c>
      <c r="AB282" s="154">
        <f>'Saimnieciskas pamatdarbibas NP'!AB45+'Saimnieciskas pamatdarbibas NP'!AB51</f>
        <v>13365</v>
      </c>
      <c r="AC282" s="154">
        <f>'Saimnieciskas pamatdarbibas NP'!AC45+'Saimnieciskas pamatdarbibas NP'!AC51</f>
        <v>13608</v>
      </c>
      <c r="AD282" s="154">
        <f>'Saimnieciskas pamatdarbibas NP'!AD45+'Saimnieciskas pamatdarbibas NP'!AD51</f>
        <v>13851</v>
      </c>
      <c r="AE282" s="154">
        <f>'Saimnieciskas pamatdarbibas NP'!AE45+'Saimnieciskas pamatdarbibas NP'!AE51</f>
        <v>14094</v>
      </c>
      <c r="AF282" s="154">
        <f>'Saimnieciskas pamatdarbibas NP'!AF45+'Saimnieciskas pamatdarbibas NP'!AF51</f>
        <v>14337</v>
      </c>
      <c r="AG282" s="154">
        <f>'Saimnieciskas pamatdarbibas NP'!AG45+'Saimnieciskas pamatdarbibas NP'!AG51</f>
        <v>14661</v>
      </c>
      <c r="AH282" s="155"/>
      <c r="AI282" s="155"/>
      <c r="AJ282" s="155"/>
      <c r="AK282" s="155"/>
      <c r="AL282" s="155"/>
      <c r="AM282" s="155"/>
      <c r="AN282" s="155"/>
      <c r="AO282" s="155"/>
      <c r="AP282" s="155"/>
      <c r="AQ282" s="155"/>
      <c r="AR282" s="155"/>
      <c r="AS282" s="155"/>
      <c r="AT282" s="155"/>
      <c r="AU282" s="155"/>
      <c r="AV282" s="155"/>
      <c r="AW282" s="155"/>
      <c r="AX282" s="155"/>
      <c r="AY282" s="155"/>
      <c r="AZ282" s="155"/>
      <c r="BA282" s="155"/>
      <c r="BB282" s="155"/>
      <c r="BC282" s="155"/>
      <c r="BD282" s="155"/>
      <c r="BE282" s="155"/>
      <c r="BF282" s="155"/>
      <c r="BG282" s="155"/>
      <c r="BH282" s="155"/>
      <c r="BI282" s="155"/>
      <c r="BJ282" s="155"/>
      <c r="BK282" s="155"/>
      <c r="BL282" s="155"/>
      <c r="BM282" s="155"/>
      <c r="BN282" s="155"/>
      <c r="BO282" s="155"/>
      <c r="BP282" s="155"/>
      <c r="BQ282" s="155"/>
      <c r="BR282" s="155"/>
      <c r="BS282" s="155"/>
      <c r="BT282" s="155"/>
      <c r="BU282" s="155"/>
      <c r="BV282" s="155"/>
      <c r="BW282" s="155"/>
      <c r="BX282" s="155"/>
      <c r="BY282" s="155"/>
      <c r="BZ282" s="155"/>
      <c r="CA282" s="155"/>
      <c r="CB282" s="155"/>
      <c r="CC282" s="155"/>
      <c r="CD282" s="155"/>
      <c r="CE282" s="155"/>
      <c r="CF282" s="155"/>
      <c r="CG282" s="155"/>
      <c r="CH282" s="155"/>
      <c r="CI282" s="155"/>
      <c r="CJ282" s="155"/>
      <c r="CK282" s="155"/>
      <c r="CL282" s="155"/>
      <c r="CM282" s="155"/>
      <c r="CN282" s="155"/>
      <c r="CO282" s="155"/>
      <c r="CP282" s="155"/>
      <c r="CQ282" s="155"/>
      <c r="CR282" s="155"/>
      <c r="CS282" s="155"/>
      <c r="CT282" s="155"/>
      <c r="CU282" s="155"/>
      <c r="CV282" s="155"/>
      <c r="CW282" s="155"/>
      <c r="CX282" s="155"/>
      <c r="CY282" s="155"/>
      <c r="CZ282" s="155"/>
      <c r="DA282" s="155"/>
      <c r="DB282" s="155"/>
      <c r="DC282" s="155"/>
      <c r="DD282" s="155"/>
      <c r="DE282" s="155"/>
      <c r="DF282" s="155"/>
      <c r="DG282" s="155"/>
      <c r="DH282" s="155"/>
      <c r="DI282" s="155"/>
      <c r="DJ282" s="155"/>
      <c r="DK282" s="155"/>
      <c r="DL282" s="155"/>
      <c r="DM282" s="155"/>
      <c r="DN282" s="155"/>
      <c r="DO282" s="155"/>
      <c r="DP282" s="155"/>
      <c r="DQ282" s="155"/>
      <c r="DR282" s="155"/>
      <c r="DS282" s="155"/>
      <c r="DT282" s="155"/>
      <c r="DU282" s="155"/>
      <c r="DV282" s="155"/>
      <c r="DW282" s="155"/>
      <c r="DX282" s="155"/>
      <c r="DY282" s="155"/>
      <c r="DZ282" s="155"/>
      <c r="EA282" s="155"/>
      <c r="EB282" s="155"/>
      <c r="EC282" s="155"/>
      <c r="ED282" s="155"/>
      <c r="EE282" s="155"/>
      <c r="EF282" s="155"/>
      <c r="EG282" s="155"/>
      <c r="EH282" s="155"/>
      <c r="EI282" s="155"/>
      <c r="EJ282" s="155"/>
      <c r="EK282" s="155"/>
      <c r="EL282" s="155"/>
      <c r="EM282" s="155"/>
      <c r="EN282" s="155"/>
      <c r="EO282" s="155"/>
      <c r="EP282" s="155"/>
      <c r="EQ282" s="155"/>
      <c r="ER282" s="155"/>
      <c r="ES282" s="155"/>
      <c r="ET282" s="155"/>
      <c r="EU282" s="155"/>
      <c r="EV282" s="155"/>
      <c r="EW282" s="155"/>
      <c r="EX282" s="155"/>
      <c r="EY282" s="155"/>
      <c r="EZ282" s="155"/>
      <c r="FA282" s="155"/>
      <c r="FB282" s="155"/>
      <c r="FC282" s="155"/>
      <c r="FD282" s="155"/>
      <c r="FE282" s="155"/>
      <c r="FF282" s="155"/>
      <c r="FG282" s="155"/>
      <c r="FH282" s="155"/>
      <c r="FI282" s="155"/>
      <c r="FJ282" s="155"/>
      <c r="FK282" s="155"/>
      <c r="FL282" s="155"/>
      <c r="FM282" s="155"/>
      <c r="FN282" s="155"/>
      <c r="FO282" s="155"/>
      <c r="FP282" s="155"/>
      <c r="FQ282" s="155"/>
      <c r="FR282" s="155"/>
      <c r="FS282" s="155"/>
      <c r="FT282" s="155"/>
      <c r="FU282" s="155"/>
      <c r="FV282" s="155"/>
      <c r="FW282" s="155"/>
      <c r="FX282" s="155"/>
      <c r="FY282" s="155"/>
      <c r="FZ282" s="155"/>
      <c r="GA282" s="155"/>
      <c r="GB282" s="155"/>
      <c r="GC282" s="155"/>
      <c r="GD282" s="155"/>
      <c r="GE282" s="155"/>
      <c r="GF282" s="155"/>
      <c r="GG282" s="155"/>
      <c r="GH282" s="155"/>
      <c r="GI282" s="155"/>
      <c r="GJ282" s="155"/>
      <c r="GK282" s="155"/>
      <c r="GL282" s="155"/>
      <c r="GM282" s="155"/>
      <c r="GN282" s="155"/>
      <c r="GO282" s="155"/>
      <c r="GP282" s="155"/>
      <c r="GQ282" s="155"/>
      <c r="GR282" s="155"/>
      <c r="GS282" s="155"/>
      <c r="GT282" s="155"/>
      <c r="GU282" s="155"/>
      <c r="GV282" s="155"/>
      <c r="GW282" s="155"/>
      <c r="GX282" s="155"/>
      <c r="GY282" s="155"/>
      <c r="GZ282" s="155"/>
      <c r="HA282" s="155"/>
      <c r="HB282" s="155"/>
      <c r="HC282" s="155"/>
      <c r="HD282" s="155"/>
      <c r="HE282" s="155"/>
      <c r="HF282" s="155"/>
      <c r="HG282" s="155"/>
      <c r="HH282" s="155"/>
      <c r="HI282" s="155"/>
      <c r="HJ282" s="155"/>
      <c r="HK282" s="155"/>
      <c r="HL282" s="155"/>
      <c r="HM282" s="155"/>
      <c r="HN282" s="155"/>
      <c r="HO282" s="155"/>
      <c r="HP282" s="155"/>
      <c r="HQ282" s="155"/>
      <c r="HR282" s="155"/>
      <c r="HS282" s="155"/>
      <c r="HT282" s="155"/>
      <c r="HU282" s="155"/>
      <c r="HV282" s="155"/>
      <c r="HW282" s="155"/>
      <c r="HX282" s="155"/>
      <c r="HY282" s="155"/>
      <c r="HZ282" s="155"/>
      <c r="IA282" s="155"/>
      <c r="IB282" s="155"/>
      <c r="IC282" s="155"/>
      <c r="ID282" s="155"/>
      <c r="IE282" s="155"/>
      <c r="IF282" s="155"/>
      <c r="IG282" s="155"/>
      <c r="IH282" s="155"/>
      <c r="II282" s="155"/>
      <c r="IJ282" s="155"/>
      <c r="IK282" s="155"/>
      <c r="IL282" s="155"/>
      <c r="IM282" s="155"/>
      <c r="IN282" s="155"/>
      <c r="IO282" s="155"/>
      <c r="IP282" s="155"/>
      <c r="IQ282" s="155"/>
      <c r="IR282" s="155"/>
      <c r="IS282" s="155"/>
      <c r="IT282" s="155"/>
    </row>
    <row r="283" spans="1:254" s="157" customFormat="1" ht="12.75">
      <c r="A283" s="556" t="s">
        <v>311</v>
      </c>
      <c r="B283" s="154">
        <f>'Saimnieciskas pamatdarbibas NP'!B52+'Saimnieciskas pamatdarbibas NP'!B46</f>
        <v>1200</v>
      </c>
      <c r="C283" s="154">
        <f>'Saimnieciskas pamatdarbibas NP'!C52+'Saimnieciskas pamatdarbibas NP'!C46</f>
        <v>1224</v>
      </c>
      <c r="D283" s="154">
        <f>'Saimnieciskas pamatdarbibas NP'!D52+'Saimnieciskas pamatdarbibas NP'!D46</f>
        <v>1248</v>
      </c>
      <c r="E283" s="154">
        <f>'Saimnieciskas pamatdarbibas NP'!E52+'Saimnieciskas pamatdarbibas NP'!E46</f>
        <v>1672</v>
      </c>
      <c r="F283" s="635">
        <f>'Saimnieciskas pamatdarbibas NP'!F52+'Saimnieciskas pamatdarbibas NP'!F46</f>
        <v>1728</v>
      </c>
      <c r="G283" s="154">
        <f>'Saimnieciskas pamatdarbibas NP'!G52+'Saimnieciskas pamatdarbibas NP'!G46</f>
        <v>1760</v>
      </c>
      <c r="H283" s="154">
        <f>'Saimnieciskas pamatdarbibas NP'!H52+'Saimnieciskas pamatdarbibas NP'!H46</f>
        <v>1792</v>
      </c>
      <c r="I283" s="154">
        <f>'Saimnieciskas pamatdarbibas NP'!I52+'Saimnieciskas pamatdarbibas NP'!I46</f>
        <v>1824</v>
      </c>
      <c r="J283" s="154">
        <f>'Saimnieciskas pamatdarbibas NP'!J52+'Saimnieciskas pamatdarbibas NP'!J46</f>
        <v>1856</v>
      </c>
      <c r="K283" s="154">
        <f>'Saimnieciskas pamatdarbibas NP'!K52+'Saimnieciskas pamatdarbibas NP'!K46</f>
        <v>1888</v>
      </c>
      <c r="L283" s="154">
        <f>'Saimnieciskas pamatdarbibas NP'!L52+'Saimnieciskas pamatdarbibas NP'!L46</f>
        <v>1920</v>
      </c>
      <c r="M283" s="154">
        <f>'Saimnieciskas pamatdarbibas NP'!M52+'Saimnieciskas pamatdarbibas NP'!M46</f>
        <v>1952</v>
      </c>
      <c r="N283" s="154">
        <f>'Saimnieciskas pamatdarbibas NP'!N52+'Saimnieciskas pamatdarbibas NP'!N46</f>
        <v>1984</v>
      </c>
      <c r="O283" s="154">
        <f>'Saimnieciskas pamatdarbibas NP'!O52+'Saimnieciskas pamatdarbibas NP'!O46</f>
        <v>2016</v>
      </c>
      <c r="P283" s="154">
        <f>'Saimnieciskas pamatdarbibas NP'!P52+'Saimnieciskas pamatdarbibas NP'!P46</f>
        <v>2064</v>
      </c>
      <c r="Q283" s="154">
        <f>'Saimnieciskas pamatdarbibas NP'!Q52+'Saimnieciskas pamatdarbibas NP'!Q46</f>
        <v>2112</v>
      </c>
      <c r="R283" s="154">
        <f>'Saimnieciskas pamatdarbibas NP'!R52+'Saimnieciskas pamatdarbibas NP'!R46</f>
        <v>2160</v>
      </c>
      <c r="S283" s="154">
        <f>'Saimnieciskas pamatdarbibas NP'!S52+'Saimnieciskas pamatdarbibas NP'!S46</f>
        <v>2208</v>
      </c>
      <c r="T283" s="154">
        <f>'Saimnieciskas pamatdarbibas NP'!T52+'Saimnieciskas pamatdarbibas NP'!T46</f>
        <v>2256</v>
      </c>
      <c r="U283" s="154">
        <f>'Saimnieciskas pamatdarbibas NP'!U52+'Saimnieciskas pamatdarbibas NP'!U46</f>
        <v>2304</v>
      </c>
      <c r="V283" s="154">
        <f>'Saimnieciskas pamatdarbibas NP'!V52+'Saimnieciskas pamatdarbibas NP'!V46</f>
        <v>2352</v>
      </c>
      <c r="W283" s="154">
        <f>'Saimnieciskas pamatdarbibas NP'!W52+'Saimnieciskas pamatdarbibas NP'!W46</f>
        <v>2400</v>
      </c>
      <c r="X283" s="154">
        <f>'Saimnieciskas pamatdarbibas NP'!X52+'Saimnieciskas pamatdarbibas NP'!X46</f>
        <v>2448</v>
      </c>
      <c r="Y283" s="154">
        <f>'Saimnieciskas pamatdarbibas NP'!Y52+'Saimnieciskas pamatdarbibas NP'!Y46</f>
        <v>2496</v>
      </c>
      <c r="Z283" s="154">
        <f>'Saimnieciskas pamatdarbibas NP'!Z52+'Saimnieciskas pamatdarbibas NP'!Z46</f>
        <v>2544</v>
      </c>
      <c r="AA283" s="154">
        <f>'Saimnieciskas pamatdarbibas NP'!AA52+'Saimnieciskas pamatdarbibas NP'!AA46</f>
        <v>2592</v>
      </c>
      <c r="AB283" s="154">
        <f>'Saimnieciskas pamatdarbibas NP'!AB52+'Saimnieciskas pamatdarbibas NP'!AB46</f>
        <v>2640</v>
      </c>
      <c r="AC283" s="154">
        <f>'Saimnieciskas pamatdarbibas NP'!AC52+'Saimnieciskas pamatdarbibas NP'!AC46</f>
        <v>2688</v>
      </c>
      <c r="AD283" s="154">
        <f>'Saimnieciskas pamatdarbibas NP'!AD52+'Saimnieciskas pamatdarbibas NP'!AD46</f>
        <v>2736</v>
      </c>
      <c r="AE283" s="154">
        <f>'Saimnieciskas pamatdarbibas NP'!AE52+'Saimnieciskas pamatdarbibas NP'!AE46</f>
        <v>2784</v>
      </c>
      <c r="AF283" s="154">
        <f>'Saimnieciskas pamatdarbibas NP'!AF52+'Saimnieciskas pamatdarbibas NP'!AF46</f>
        <v>2832</v>
      </c>
      <c r="AG283" s="154">
        <f>'Saimnieciskas pamatdarbibas NP'!AG52+'Saimnieciskas pamatdarbibas NP'!AG46</f>
        <v>2896</v>
      </c>
      <c r="AH283" s="155"/>
      <c r="AI283" s="155"/>
      <c r="AJ283" s="155"/>
      <c r="AK283" s="155"/>
      <c r="AL283" s="155"/>
      <c r="AM283" s="155"/>
      <c r="AN283" s="155"/>
      <c r="AO283" s="155"/>
      <c r="AP283" s="155"/>
      <c r="AQ283" s="155"/>
      <c r="AR283" s="155"/>
      <c r="AS283" s="155"/>
      <c r="AT283" s="155"/>
      <c r="AU283" s="155"/>
      <c r="AV283" s="155"/>
      <c r="AW283" s="155"/>
      <c r="AX283" s="155"/>
      <c r="AY283" s="155"/>
      <c r="AZ283" s="155"/>
      <c r="BA283" s="155"/>
      <c r="BB283" s="155"/>
      <c r="BC283" s="155"/>
      <c r="BD283" s="155"/>
      <c r="BE283" s="155"/>
      <c r="BF283" s="155"/>
      <c r="BG283" s="155"/>
      <c r="BH283" s="155"/>
      <c r="BI283" s="155"/>
      <c r="BJ283" s="155"/>
      <c r="BK283" s="155"/>
      <c r="BL283" s="155"/>
      <c r="BM283" s="155"/>
      <c r="BN283" s="155"/>
      <c r="BO283" s="155"/>
      <c r="BP283" s="155"/>
      <c r="BQ283" s="155"/>
      <c r="BR283" s="155"/>
      <c r="BS283" s="155"/>
      <c r="BT283" s="155"/>
      <c r="BU283" s="1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c r="CS283" s="155"/>
      <c r="CT283" s="155"/>
      <c r="CU283" s="155"/>
      <c r="CV283" s="155"/>
      <c r="CW283" s="155"/>
      <c r="CX283" s="155"/>
      <c r="CY283" s="155"/>
      <c r="CZ283" s="155"/>
      <c r="DA283" s="155"/>
      <c r="DB283" s="155"/>
      <c r="DC283" s="155"/>
      <c r="DD283" s="155"/>
      <c r="DE283" s="155"/>
      <c r="DF283" s="155"/>
      <c r="DG283" s="155"/>
      <c r="DH283" s="155"/>
      <c r="DI283" s="155"/>
      <c r="DJ283" s="155"/>
      <c r="DK283" s="155"/>
      <c r="DL283" s="155"/>
      <c r="DM283" s="155"/>
      <c r="DN283" s="155"/>
      <c r="DO283" s="155"/>
      <c r="DP283" s="155"/>
      <c r="DQ283" s="155"/>
      <c r="DR283" s="155"/>
      <c r="DS283" s="155"/>
      <c r="DT283" s="155"/>
      <c r="DU283" s="155"/>
      <c r="DV283" s="155"/>
      <c r="DW283" s="155"/>
      <c r="DX283" s="155"/>
      <c r="DY283" s="155"/>
      <c r="DZ283" s="155"/>
      <c r="EA283" s="155"/>
      <c r="EB283" s="155"/>
      <c r="EC283" s="155"/>
      <c r="ED283" s="155"/>
      <c r="EE283" s="155"/>
      <c r="EF283" s="155"/>
      <c r="EG283" s="155"/>
      <c r="EH283" s="155"/>
      <c r="EI283" s="155"/>
      <c r="EJ283" s="155"/>
      <c r="EK283" s="155"/>
      <c r="EL283" s="155"/>
      <c r="EM283" s="155"/>
      <c r="EN283" s="155"/>
      <c r="EO283" s="155"/>
      <c r="EP283" s="155"/>
      <c r="EQ283" s="155"/>
      <c r="ER283" s="155"/>
      <c r="ES283" s="155"/>
      <c r="ET283" s="155"/>
      <c r="EU283" s="155"/>
      <c r="EV283" s="155"/>
      <c r="EW283" s="155"/>
      <c r="EX283" s="155"/>
      <c r="EY283" s="155"/>
      <c r="EZ283" s="155"/>
      <c r="FA283" s="155"/>
      <c r="FB283" s="155"/>
      <c r="FC283" s="155"/>
      <c r="FD283" s="155"/>
      <c r="FE283" s="155"/>
      <c r="FF283" s="155"/>
      <c r="FG283" s="155"/>
      <c r="FH283" s="155"/>
      <c r="FI283" s="155"/>
      <c r="FJ283" s="155"/>
      <c r="FK283" s="155"/>
      <c r="FL283" s="155"/>
      <c r="FM283" s="155"/>
      <c r="FN283" s="155"/>
      <c r="FO283" s="155"/>
      <c r="FP283" s="155"/>
      <c r="FQ283" s="155"/>
      <c r="FR283" s="155"/>
      <c r="FS283" s="155"/>
      <c r="FT283" s="155"/>
      <c r="FU283" s="155"/>
      <c r="FV283" s="155"/>
      <c r="FW283" s="155"/>
      <c r="FX283" s="155"/>
      <c r="FY283" s="155"/>
      <c r="FZ283" s="155"/>
      <c r="GA283" s="155"/>
      <c r="GB283" s="155"/>
      <c r="GC283" s="155"/>
      <c r="GD283" s="155"/>
      <c r="GE283" s="155"/>
      <c r="GF283" s="155"/>
      <c r="GG283" s="155"/>
      <c r="GH283" s="155"/>
      <c r="GI283" s="155"/>
      <c r="GJ283" s="155"/>
      <c r="GK283" s="155"/>
      <c r="GL283" s="155"/>
      <c r="GM283" s="155"/>
      <c r="GN283" s="155"/>
      <c r="GO283" s="155"/>
      <c r="GP283" s="155"/>
      <c r="GQ283" s="155"/>
      <c r="GR283" s="155"/>
      <c r="GS283" s="155"/>
      <c r="GT283" s="155"/>
      <c r="GU283" s="155"/>
      <c r="GV283" s="155"/>
      <c r="GW283" s="155"/>
      <c r="GX283" s="155"/>
      <c r="GY283" s="155"/>
      <c r="GZ283" s="155"/>
      <c r="HA283" s="155"/>
      <c r="HB283" s="155"/>
      <c r="HC283" s="155"/>
      <c r="HD283" s="155"/>
      <c r="HE283" s="155"/>
      <c r="HF283" s="155"/>
      <c r="HG283" s="155"/>
      <c r="HH283" s="155"/>
      <c r="HI283" s="155"/>
      <c r="HJ283" s="155"/>
      <c r="HK283" s="155"/>
      <c r="HL283" s="155"/>
      <c r="HM283" s="155"/>
      <c r="HN283" s="155"/>
      <c r="HO283" s="155"/>
      <c r="HP283" s="155"/>
      <c r="HQ283" s="155"/>
      <c r="HR283" s="155"/>
      <c r="HS283" s="155"/>
      <c r="HT283" s="155"/>
      <c r="HU283" s="155"/>
      <c r="HV283" s="155"/>
      <c r="HW283" s="155"/>
      <c r="HX283" s="155"/>
      <c r="HY283" s="155"/>
      <c r="HZ283" s="155"/>
      <c r="IA283" s="155"/>
      <c r="IB283" s="155"/>
      <c r="IC283" s="155"/>
      <c r="ID283" s="155"/>
      <c r="IE283" s="155"/>
      <c r="IF283" s="155"/>
      <c r="IG283" s="155"/>
      <c r="IH283" s="155"/>
      <c r="II283" s="155"/>
      <c r="IJ283" s="155"/>
      <c r="IK283" s="155"/>
      <c r="IL283" s="155"/>
      <c r="IM283" s="155"/>
      <c r="IN283" s="155"/>
      <c r="IO283" s="155"/>
      <c r="IP283" s="155"/>
      <c r="IQ283" s="155"/>
      <c r="IR283" s="155"/>
      <c r="IS283" s="155"/>
      <c r="IT283" s="155"/>
    </row>
    <row r="284" spans="1:254" s="157" customFormat="1" ht="12.75">
      <c r="A284" s="556" t="s">
        <v>312</v>
      </c>
      <c r="B284" s="154">
        <f>'Saimnieciskas pamatdarbibas NP'!B53+'Saimnieciskas pamatdarbibas NP'!B47</f>
        <v>200</v>
      </c>
      <c r="C284" s="154">
        <f>'Saimnieciskas pamatdarbibas NP'!C53+'Saimnieciskas pamatdarbibas NP'!C47</f>
        <v>204</v>
      </c>
      <c r="D284" s="154">
        <f>'Saimnieciskas pamatdarbibas NP'!D53+'Saimnieciskas pamatdarbibas NP'!D47</f>
        <v>208</v>
      </c>
      <c r="E284" s="154">
        <f>'Saimnieciskas pamatdarbibas NP'!E53+'Saimnieciskas pamatdarbibas NP'!E47</f>
        <v>212</v>
      </c>
      <c r="F284" s="635">
        <f>'Saimnieciskas pamatdarbibas NP'!F53+'Saimnieciskas pamatdarbibas NP'!F47</f>
        <v>216</v>
      </c>
      <c r="G284" s="154">
        <f>'Saimnieciskas pamatdarbibas NP'!G53+'Saimnieciskas pamatdarbibas NP'!G47</f>
        <v>220.00000000000003</v>
      </c>
      <c r="H284" s="154">
        <f>'Saimnieciskas pamatdarbibas NP'!H53+'Saimnieciskas pamatdarbibas NP'!H47</f>
        <v>224.00000000000003</v>
      </c>
      <c r="I284" s="154">
        <f>'Saimnieciskas pamatdarbibas NP'!I53+'Saimnieciskas pamatdarbibas NP'!I47</f>
        <v>227.99999999999997</v>
      </c>
      <c r="J284" s="154">
        <f>'Saimnieciskas pamatdarbibas NP'!J53+'Saimnieciskas pamatdarbibas NP'!J47</f>
        <v>231.99999999999997</v>
      </c>
      <c r="K284" s="154">
        <f>'Saimnieciskas pamatdarbibas NP'!K53+'Saimnieciskas pamatdarbibas NP'!K47</f>
        <v>236</v>
      </c>
      <c r="L284" s="154">
        <f>'Saimnieciskas pamatdarbibas NP'!L53+'Saimnieciskas pamatdarbibas NP'!L47</f>
        <v>240</v>
      </c>
      <c r="M284" s="154">
        <f>'Saimnieciskas pamatdarbibas NP'!M53+'Saimnieciskas pamatdarbibas NP'!M47</f>
        <v>244</v>
      </c>
      <c r="N284" s="154">
        <f>'Saimnieciskas pamatdarbibas NP'!N53+'Saimnieciskas pamatdarbibas NP'!N47</f>
        <v>248</v>
      </c>
      <c r="O284" s="154">
        <f>'Saimnieciskas pamatdarbibas NP'!O53+'Saimnieciskas pamatdarbibas NP'!O47</f>
        <v>252</v>
      </c>
      <c r="P284" s="154">
        <f>'Saimnieciskas pamatdarbibas NP'!P53+'Saimnieciskas pamatdarbibas NP'!P47</f>
        <v>258</v>
      </c>
      <c r="Q284" s="154">
        <f>'Saimnieciskas pamatdarbibas NP'!Q53+'Saimnieciskas pamatdarbibas NP'!Q47</f>
        <v>264</v>
      </c>
      <c r="R284" s="154">
        <f>'Saimnieciskas pamatdarbibas NP'!R53+'Saimnieciskas pamatdarbibas NP'!R47</f>
        <v>270</v>
      </c>
      <c r="S284" s="154">
        <f>'Saimnieciskas pamatdarbibas NP'!S53+'Saimnieciskas pamatdarbibas NP'!S47</f>
        <v>276</v>
      </c>
      <c r="T284" s="154">
        <f>'Saimnieciskas pamatdarbibas NP'!T53+'Saimnieciskas pamatdarbibas NP'!T47</f>
        <v>282</v>
      </c>
      <c r="U284" s="154">
        <f>'Saimnieciskas pamatdarbibas NP'!U53+'Saimnieciskas pamatdarbibas NP'!U47</f>
        <v>288</v>
      </c>
      <c r="V284" s="154">
        <f>'Saimnieciskas pamatdarbibas NP'!V53+'Saimnieciskas pamatdarbibas NP'!V47</f>
        <v>294</v>
      </c>
      <c r="W284" s="154">
        <f>'Saimnieciskas pamatdarbibas NP'!W53+'Saimnieciskas pamatdarbibas NP'!W47</f>
        <v>300</v>
      </c>
      <c r="X284" s="154">
        <f>'Saimnieciskas pamatdarbibas NP'!X53+'Saimnieciskas pamatdarbibas NP'!X47</f>
        <v>306</v>
      </c>
      <c r="Y284" s="154">
        <f>'Saimnieciskas pamatdarbibas NP'!Y53+'Saimnieciskas pamatdarbibas NP'!Y47</f>
        <v>312</v>
      </c>
      <c r="Z284" s="154">
        <f>'Saimnieciskas pamatdarbibas NP'!Z53+'Saimnieciskas pamatdarbibas NP'!Z47</f>
        <v>318</v>
      </c>
      <c r="AA284" s="154">
        <f>'Saimnieciskas pamatdarbibas NP'!AA53+'Saimnieciskas pamatdarbibas NP'!AA47</f>
        <v>324</v>
      </c>
      <c r="AB284" s="154">
        <f>'Saimnieciskas pamatdarbibas NP'!AB53+'Saimnieciskas pamatdarbibas NP'!AB47</f>
        <v>330</v>
      </c>
      <c r="AC284" s="154">
        <f>'Saimnieciskas pamatdarbibas NP'!AC53+'Saimnieciskas pamatdarbibas NP'!AC47</f>
        <v>336</v>
      </c>
      <c r="AD284" s="154">
        <f>'Saimnieciskas pamatdarbibas NP'!AD53+'Saimnieciskas pamatdarbibas NP'!AD47</f>
        <v>342</v>
      </c>
      <c r="AE284" s="154">
        <f>'Saimnieciskas pamatdarbibas NP'!AE53+'Saimnieciskas pamatdarbibas NP'!AE47</f>
        <v>348</v>
      </c>
      <c r="AF284" s="154">
        <f>'Saimnieciskas pamatdarbibas NP'!AF53+'Saimnieciskas pamatdarbibas NP'!AF47</f>
        <v>354</v>
      </c>
      <c r="AG284" s="154">
        <f>'Saimnieciskas pamatdarbibas NP'!AG53+'Saimnieciskas pamatdarbibas NP'!AG47</f>
        <v>362</v>
      </c>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c r="BB284" s="155"/>
      <c r="BC284" s="155"/>
      <c r="BD284" s="155"/>
      <c r="BE284" s="155"/>
      <c r="BF284" s="155"/>
      <c r="BG284" s="155"/>
      <c r="BH284" s="155"/>
      <c r="BI284" s="155"/>
      <c r="BJ284" s="155"/>
      <c r="BK284" s="155"/>
      <c r="BL284" s="155"/>
      <c r="BM284" s="155"/>
      <c r="BN284" s="155"/>
      <c r="BO284" s="155"/>
      <c r="BP284" s="155"/>
      <c r="BQ284" s="155"/>
      <c r="BR284" s="155"/>
      <c r="BS284" s="155"/>
      <c r="BT284" s="155"/>
      <c r="BU284" s="155"/>
      <c r="BV284" s="155"/>
      <c r="BW284" s="155"/>
      <c r="BX284" s="155"/>
      <c r="BY284" s="155"/>
      <c r="BZ284" s="155"/>
      <c r="CA284" s="155"/>
      <c r="CB284" s="155"/>
      <c r="CC284" s="155"/>
      <c r="CD284" s="155"/>
      <c r="CE284" s="155"/>
      <c r="CF284" s="155"/>
      <c r="CG284" s="155"/>
      <c r="CH284" s="155"/>
      <c r="CI284" s="155"/>
      <c r="CJ284" s="155"/>
      <c r="CK284" s="155"/>
      <c r="CL284" s="155"/>
      <c r="CM284" s="155"/>
      <c r="CN284" s="155"/>
      <c r="CO284" s="155"/>
      <c r="CP284" s="155"/>
      <c r="CQ284" s="155"/>
      <c r="CR284" s="155"/>
      <c r="CS284" s="155"/>
      <c r="CT284" s="155"/>
      <c r="CU284" s="155"/>
      <c r="CV284" s="155"/>
      <c r="CW284" s="155"/>
      <c r="CX284" s="155"/>
      <c r="CY284" s="155"/>
      <c r="CZ284" s="155"/>
      <c r="DA284" s="155"/>
      <c r="DB284" s="155"/>
      <c r="DC284" s="155"/>
      <c r="DD284" s="155"/>
      <c r="DE284" s="155"/>
      <c r="DF284" s="155"/>
      <c r="DG284" s="155"/>
      <c r="DH284" s="155"/>
      <c r="DI284" s="155"/>
      <c r="DJ284" s="155"/>
      <c r="DK284" s="155"/>
      <c r="DL284" s="155"/>
      <c r="DM284" s="155"/>
      <c r="DN284" s="155"/>
      <c r="DO284" s="155"/>
      <c r="DP284" s="155"/>
      <c r="DQ284" s="155"/>
      <c r="DR284" s="155"/>
      <c r="DS284" s="155"/>
      <c r="DT284" s="155"/>
      <c r="DU284" s="155"/>
      <c r="DV284" s="155"/>
      <c r="DW284" s="155"/>
      <c r="DX284" s="155"/>
      <c r="DY284" s="155"/>
      <c r="DZ284" s="155"/>
      <c r="EA284" s="155"/>
      <c r="EB284" s="155"/>
      <c r="EC284" s="155"/>
      <c r="ED284" s="155"/>
      <c r="EE284" s="155"/>
      <c r="EF284" s="155"/>
      <c r="EG284" s="155"/>
      <c r="EH284" s="155"/>
      <c r="EI284" s="155"/>
      <c r="EJ284" s="155"/>
      <c r="EK284" s="155"/>
      <c r="EL284" s="155"/>
      <c r="EM284" s="155"/>
      <c r="EN284" s="155"/>
      <c r="EO284" s="155"/>
      <c r="EP284" s="155"/>
      <c r="EQ284" s="155"/>
      <c r="ER284" s="155"/>
      <c r="ES284" s="155"/>
      <c r="ET284" s="155"/>
      <c r="EU284" s="155"/>
      <c r="EV284" s="155"/>
      <c r="EW284" s="155"/>
      <c r="EX284" s="155"/>
      <c r="EY284" s="155"/>
      <c r="EZ284" s="155"/>
      <c r="FA284" s="155"/>
      <c r="FB284" s="155"/>
      <c r="FC284" s="155"/>
      <c r="FD284" s="155"/>
      <c r="FE284" s="155"/>
      <c r="FF284" s="155"/>
      <c r="FG284" s="155"/>
      <c r="FH284" s="155"/>
      <c r="FI284" s="155"/>
      <c r="FJ284" s="155"/>
      <c r="FK284" s="155"/>
      <c r="FL284" s="155"/>
      <c r="FM284" s="155"/>
      <c r="FN284" s="155"/>
      <c r="FO284" s="155"/>
      <c r="FP284" s="155"/>
      <c r="FQ284" s="155"/>
      <c r="FR284" s="155"/>
      <c r="FS284" s="155"/>
      <c r="FT284" s="155"/>
      <c r="FU284" s="155"/>
      <c r="FV284" s="155"/>
      <c r="FW284" s="155"/>
      <c r="FX284" s="155"/>
      <c r="FY284" s="155"/>
      <c r="FZ284" s="155"/>
      <c r="GA284" s="155"/>
      <c r="GB284" s="155"/>
      <c r="GC284" s="155"/>
      <c r="GD284" s="155"/>
      <c r="GE284" s="155"/>
      <c r="GF284" s="155"/>
      <c r="GG284" s="155"/>
      <c r="GH284" s="155"/>
      <c r="GI284" s="155"/>
      <c r="GJ284" s="155"/>
      <c r="GK284" s="155"/>
      <c r="GL284" s="155"/>
      <c r="GM284" s="155"/>
      <c r="GN284" s="155"/>
      <c r="GO284" s="155"/>
      <c r="GP284" s="155"/>
      <c r="GQ284" s="155"/>
      <c r="GR284" s="155"/>
      <c r="GS284" s="155"/>
      <c r="GT284" s="155"/>
      <c r="GU284" s="155"/>
      <c r="GV284" s="155"/>
      <c r="GW284" s="155"/>
      <c r="GX284" s="155"/>
      <c r="GY284" s="155"/>
      <c r="GZ284" s="155"/>
      <c r="HA284" s="155"/>
      <c r="HB284" s="155"/>
      <c r="HC284" s="155"/>
      <c r="HD284" s="155"/>
      <c r="HE284" s="155"/>
      <c r="HF284" s="155"/>
      <c r="HG284" s="155"/>
      <c r="HH284" s="155"/>
      <c r="HI284" s="155"/>
      <c r="HJ284" s="155"/>
      <c r="HK284" s="155"/>
      <c r="HL284" s="155"/>
      <c r="HM284" s="155"/>
      <c r="HN284" s="155"/>
      <c r="HO284" s="155"/>
      <c r="HP284" s="155"/>
      <c r="HQ284" s="155"/>
      <c r="HR284" s="155"/>
      <c r="HS284" s="155"/>
      <c r="HT284" s="155"/>
      <c r="HU284" s="155"/>
      <c r="HV284" s="155"/>
      <c r="HW284" s="155"/>
      <c r="HX284" s="155"/>
      <c r="HY284" s="155"/>
      <c r="HZ284" s="155"/>
      <c r="IA284" s="155"/>
      <c r="IB284" s="155"/>
      <c r="IC284" s="155"/>
      <c r="ID284" s="155"/>
      <c r="IE284" s="155"/>
      <c r="IF284" s="155"/>
      <c r="IG284" s="155"/>
      <c r="IH284" s="155"/>
      <c r="II284" s="155"/>
      <c r="IJ284" s="155"/>
      <c r="IK284" s="155"/>
      <c r="IL284" s="155"/>
      <c r="IM284" s="155"/>
      <c r="IN284" s="155"/>
      <c r="IO284" s="155"/>
      <c r="IP284" s="155"/>
      <c r="IQ284" s="155"/>
      <c r="IR284" s="155"/>
      <c r="IS284" s="155"/>
      <c r="IT284" s="155"/>
    </row>
    <row r="285" spans="1:254" s="157" customFormat="1" ht="12.75">
      <c r="A285" s="556" t="s">
        <v>313</v>
      </c>
      <c r="B285" s="154">
        <f>'Saimnieciskas pamatdarbibas NP'!B48+'Saimnieciskas pamatdarbibas NP'!B54</f>
        <v>0</v>
      </c>
      <c r="C285" s="154">
        <f>'Saimnieciskas pamatdarbibas NP'!C48+'Saimnieciskas pamatdarbibas NP'!C54</f>
        <v>0</v>
      </c>
      <c r="D285" s="154">
        <f>'Saimnieciskas pamatdarbibas NP'!D48+'Saimnieciskas pamatdarbibas NP'!D54</f>
        <v>-250</v>
      </c>
      <c r="E285" s="154">
        <f>'Saimnieciskas pamatdarbibas NP'!E48+'Saimnieciskas pamatdarbibas NP'!E54</f>
        <v>-800</v>
      </c>
      <c r="F285" s="635">
        <f>'Saimnieciskas pamatdarbibas NP'!F48+'Saimnieciskas pamatdarbibas NP'!F54</f>
        <v>-864</v>
      </c>
      <c r="G285" s="154">
        <f>'Saimnieciskas pamatdarbibas NP'!G48+'Saimnieciskas pamatdarbibas NP'!G54</f>
        <v>-880.0000000000001</v>
      </c>
      <c r="H285" s="154">
        <f>'Saimnieciskas pamatdarbibas NP'!H48+'Saimnieciskas pamatdarbibas NP'!H54</f>
        <v>-896.0000000000001</v>
      </c>
      <c r="I285" s="154">
        <f>'Saimnieciskas pamatdarbibas NP'!I48+'Saimnieciskas pamatdarbibas NP'!I54</f>
        <v>-911.9999999999999</v>
      </c>
      <c r="J285" s="154">
        <f>'Saimnieciskas pamatdarbibas NP'!J48+'Saimnieciskas pamatdarbibas NP'!J54</f>
        <v>-927.9999999999999</v>
      </c>
      <c r="K285" s="154">
        <f>'Saimnieciskas pamatdarbibas NP'!K48+'Saimnieciskas pamatdarbibas NP'!K54</f>
        <v>-944</v>
      </c>
      <c r="L285" s="154">
        <f>'Saimnieciskas pamatdarbibas NP'!L48+'Saimnieciskas pamatdarbibas NP'!L54</f>
        <v>-960</v>
      </c>
      <c r="M285" s="154">
        <f>'Saimnieciskas pamatdarbibas NP'!M48+'Saimnieciskas pamatdarbibas NP'!M54</f>
        <v>-976</v>
      </c>
      <c r="N285" s="154">
        <f>'Saimnieciskas pamatdarbibas NP'!N48+'Saimnieciskas pamatdarbibas NP'!N54</f>
        <v>-992</v>
      </c>
      <c r="O285" s="154">
        <f>'Saimnieciskas pamatdarbibas NP'!O48+'Saimnieciskas pamatdarbibas NP'!O54</f>
        <v>-1008</v>
      </c>
      <c r="P285" s="154">
        <f>'Saimnieciskas pamatdarbibas NP'!P48+'Saimnieciskas pamatdarbibas NP'!P54</f>
        <v>-1032</v>
      </c>
      <c r="Q285" s="154">
        <f>'Saimnieciskas pamatdarbibas NP'!Q48+'Saimnieciskas pamatdarbibas NP'!Q54</f>
        <v>-1056</v>
      </c>
      <c r="R285" s="154">
        <f>'Saimnieciskas pamatdarbibas NP'!R48+'Saimnieciskas pamatdarbibas NP'!R54</f>
        <v>-1080</v>
      </c>
      <c r="S285" s="154">
        <f>'Saimnieciskas pamatdarbibas NP'!S48+'Saimnieciskas pamatdarbibas NP'!S54</f>
        <v>-1104</v>
      </c>
      <c r="T285" s="154">
        <f>'Saimnieciskas pamatdarbibas NP'!T48+'Saimnieciskas pamatdarbibas NP'!T54</f>
        <v>-1128</v>
      </c>
      <c r="U285" s="154">
        <f>'Saimnieciskas pamatdarbibas NP'!U48+'Saimnieciskas pamatdarbibas NP'!U54</f>
        <v>-1152</v>
      </c>
      <c r="V285" s="154">
        <f>'Saimnieciskas pamatdarbibas NP'!V48+'Saimnieciskas pamatdarbibas NP'!V54</f>
        <v>-1176</v>
      </c>
      <c r="W285" s="154">
        <f>'Saimnieciskas pamatdarbibas NP'!W48+'Saimnieciskas pamatdarbibas NP'!W54</f>
        <v>-1200</v>
      </c>
      <c r="X285" s="154">
        <f>'Saimnieciskas pamatdarbibas NP'!X48+'Saimnieciskas pamatdarbibas NP'!X54</f>
        <v>-1224</v>
      </c>
      <c r="Y285" s="154">
        <f>'Saimnieciskas pamatdarbibas NP'!Y48+'Saimnieciskas pamatdarbibas NP'!Y54</f>
        <v>-1248</v>
      </c>
      <c r="Z285" s="154">
        <f>'Saimnieciskas pamatdarbibas NP'!Z48+'Saimnieciskas pamatdarbibas NP'!Z54</f>
        <v>-1272</v>
      </c>
      <c r="AA285" s="154">
        <f>'Saimnieciskas pamatdarbibas NP'!AA48+'Saimnieciskas pamatdarbibas NP'!AA54</f>
        <v>-1296</v>
      </c>
      <c r="AB285" s="154">
        <f>'Saimnieciskas pamatdarbibas NP'!AB48+'Saimnieciskas pamatdarbibas NP'!AB54</f>
        <v>-1320</v>
      </c>
      <c r="AC285" s="154">
        <f>'Saimnieciskas pamatdarbibas NP'!AC48+'Saimnieciskas pamatdarbibas NP'!AC54</f>
        <v>-1344</v>
      </c>
      <c r="AD285" s="154">
        <f>'Saimnieciskas pamatdarbibas NP'!AD48+'Saimnieciskas pamatdarbibas NP'!AD54</f>
        <v>-1368</v>
      </c>
      <c r="AE285" s="154">
        <f>'Saimnieciskas pamatdarbibas NP'!AE48+'Saimnieciskas pamatdarbibas NP'!AE54</f>
        <v>-1392</v>
      </c>
      <c r="AF285" s="154">
        <f>'Saimnieciskas pamatdarbibas NP'!AF48+'Saimnieciskas pamatdarbibas NP'!AF54</f>
        <v>-1416</v>
      </c>
      <c r="AG285" s="154">
        <f>'Saimnieciskas pamatdarbibas NP'!AG48+'Saimnieciskas pamatdarbibas NP'!AG54</f>
        <v>-1448</v>
      </c>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c r="CS285" s="155"/>
      <c r="CT285" s="155"/>
      <c r="CU285" s="155"/>
      <c r="CV285" s="155"/>
      <c r="CW285" s="155"/>
      <c r="CX285" s="155"/>
      <c r="CY285" s="155"/>
      <c r="CZ285" s="155"/>
      <c r="DA285" s="155"/>
      <c r="DB285" s="155"/>
      <c r="DC285" s="155"/>
      <c r="DD285" s="155"/>
      <c r="DE285" s="155"/>
      <c r="DF285" s="155"/>
      <c r="DG285" s="155"/>
      <c r="DH285" s="155"/>
      <c r="DI285" s="155"/>
      <c r="DJ285" s="155"/>
      <c r="DK285" s="155"/>
      <c r="DL285" s="155"/>
      <c r="DM285" s="155"/>
      <c r="DN285" s="155"/>
      <c r="DO285" s="155"/>
      <c r="DP285" s="155"/>
      <c r="DQ285" s="155"/>
      <c r="DR285" s="155"/>
      <c r="DS285" s="155"/>
      <c r="DT285" s="155"/>
      <c r="DU285" s="155"/>
      <c r="DV285" s="155"/>
      <c r="DW285" s="155"/>
      <c r="DX285" s="155"/>
      <c r="DY285" s="155"/>
      <c r="DZ285" s="155"/>
      <c r="EA285" s="155"/>
      <c r="EB285" s="155"/>
      <c r="EC285" s="155"/>
      <c r="ED285" s="155"/>
      <c r="EE285" s="155"/>
      <c r="EF285" s="155"/>
      <c r="EG285" s="155"/>
      <c r="EH285" s="155"/>
      <c r="EI285" s="155"/>
      <c r="EJ285" s="155"/>
      <c r="EK285" s="155"/>
      <c r="EL285" s="155"/>
      <c r="EM285" s="155"/>
      <c r="EN285" s="155"/>
      <c r="EO285" s="155"/>
      <c r="EP285" s="155"/>
      <c r="EQ285" s="155"/>
      <c r="ER285" s="155"/>
      <c r="ES285" s="155"/>
      <c r="ET285" s="155"/>
      <c r="EU285" s="155"/>
      <c r="EV285" s="155"/>
      <c r="EW285" s="155"/>
      <c r="EX285" s="155"/>
      <c r="EY285" s="155"/>
      <c r="EZ285" s="155"/>
      <c r="FA285" s="155"/>
      <c r="FB285" s="155"/>
      <c r="FC285" s="155"/>
      <c r="FD285" s="155"/>
      <c r="FE285" s="155"/>
      <c r="FF285" s="155"/>
      <c r="FG285" s="155"/>
      <c r="FH285" s="155"/>
      <c r="FI285" s="155"/>
      <c r="FJ285" s="155"/>
      <c r="FK285" s="155"/>
      <c r="FL285" s="155"/>
      <c r="FM285" s="155"/>
      <c r="FN285" s="155"/>
      <c r="FO285" s="155"/>
      <c r="FP285" s="155"/>
      <c r="FQ285" s="155"/>
      <c r="FR285" s="155"/>
      <c r="FS285" s="155"/>
      <c r="FT285" s="155"/>
      <c r="FU285" s="155"/>
      <c r="FV285" s="155"/>
      <c r="FW285" s="155"/>
      <c r="FX285" s="155"/>
      <c r="FY285" s="155"/>
      <c r="FZ285" s="155"/>
      <c r="GA285" s="155"/>
      <c r="GB285" s="155"/>
      <c r="GC285" s="155"/>
      <c r="GD285" s="155"/>
      <c r="GE285" s="155"/>
      <c r="GF285" s="155"/>
      <c r="GG285" s="155"/>
      <c r="GH285" s="155"/>
      <c r="GI285" s="155"/>
      <c r="GJ285" s="155"/>
      <c r="GK285" s="155"/>
      <c r="GL285" s="155"/>
      <c r="GM285" s="155"/>
      <c r="GN285" s="155"/>
      <c r="GO285" s="155"/>
      <c r="GP285" s="155"/>
      <c r="GQ285" s="155"/>
      <c r="GR285" s="155"/>
      <c r="GS285" s="155"/>
      <c r="GT285" s="155"/>
      <c r="GU285" s="155"/>
      <c r="GV285" s="155"/>
      <c r="GW285" s="155"/>
      <c r="GX285" s="155"/>
      <c r="GY285" s="155"/>
      <c r="GZ285" s="155"/>
      <c r="HA285" s="155"/>
      <c r="HB285" s="155"/>
      <c r="HC285" s="155"/>
      <c r="HD285" s="155"/>
      <c r="HE285" s="155"/>
      <c r="HF285" s="155"/>
      <c r="HG285" s="155"/>
      <c r="HH285" s="155"/>
      <c r="HI285" s="155"/>
      <c r="HJ285" s="155"/>
      <c r="HK285" s="155"/>
      <c r="HL285" s="155"/>
      <c r="HM285" s="155"/>
      <c r="HN285" s="155"/>
      <c r="HO285" s="155"/>
      <c r="HP285" s="155"/>
      <c r="HQ285" s="155"/>
      <c r="HR285" s="155"/>
      <c r="HS285" s="155"/>
      <c r="HT285" s="155"/>
      <c r="HU285" s="155"/>
      <c r="HV285" s="155"/>
      <c r="HW285" s="155"/>
      <c r="HX285" s="155"/>
      <c r="HY285" s="155"/>
      <c r="HZ285" s="155"/>
      <c r="IA285" s="155"/>
      <c r="IB285" s="155"/>
      <c r="IC285" s="155"/>
      <c r="ID285" s="155"/>
      <c r="IE285" s="155"/>
      <c r="IF285" s="155"/>
      <c r="IG285" s="155"/>
      <c r="IH285" s="155"/>
      <c r="II285" s="155"/>
      <c r="IJ285" s="155"/>
      <c r="IK285" s="155"/>
      <c r="IL285" s="155"/>
      <c r="IM285" s="155"/>
      <c r="IN285" s="155"/>
      <c r="IO285" s="155"/>
      <c r="IP285" s="155"/>
      <c r="IQ285" s="155"/>
      <c r="IR285" s="155"/>
      <c r="IS285" s="155"/>
      <c r="IT285" s="155"/>
    </row>
    <row r="286" spans="1:254" s="157" customFormat="1" ht="12.75" customHeight="1">
      <c r="A286" s="603" t="s">
        <v>314</v>
      </c>
      <c r="B286" s="604">
        <f aca="true" t="shared" si="99" ref="B286:AG286">SUM(B287:B289)</f>
        <v>6949.04</v>
      </c>
      <c r="C286" s="604">
        <f t="shared" si="99"/>
        <v>7157.5112</v>
      </c>
      <c r="D286" s="604">
        <f t="shared" si="99"/>
        <v>7435.4728</v>
      </c>
      <c r="E286" s="604">
        <f t="shared" si="99"/>
        <v>8333.8844</v>
      </c>
      <c r="F286" s="655">
        <f t="shared" si="99"/>
        <v>8661.482</v>
      </c>
      <c r="G286" s="604">
        <f t="shared" si="99"/>
        <v>8882.3622</v>
      </c>
      <c r="H286" s="604">
        <f t="shared" si="99"/>
        <v>9103.2424</v>
      </c>
      <c r="I286" s="604">
        <f t="shared" si="99"/>
        <v>9324.1226</v>
      </c>
      <c r="J286" s="604">
        <f t="shared" si="99"/>
        <v>9545.0028</v>
      </c>
      <c r="K286" s="604">
        <f t="shared" si="99"/>
        <v>9765.883</v>
      </c>
      <c r="L286" s="604">
        <f t="shared" si="99"/>
        <v>9986.7632</v>
      </c>
      <c r="M286" s="604">
        <f t="shared" si="99"/>
        <v>10207.6434</v>
      </c>
      <c r="N286" s="604">
        <f t="shared" si="99"/>
        <v>10428.5236</v>
      </c>
      <c r="O286" s="604">
        <f t="shared" si="99"/>
        <v>10649.4038</v>
      </c>
      <c r="P286" s="604">
        <f t="shared" si="99"/>
        <v>10876.4885</v>
      </c>
      <c r="Q286" s="604">
        <f t="shared" si="99"/>
        <v>11103.573199999999</v>
      </c>
      <c r="R286" s="604">
        <f t="shared" si="99"/>
        <v>11330.6579</v>
      </c>
      <c r="S286" s="604">
        <f t="shared" si="99"/>
        <v>11557.7426</v>
      </c>
      <c r="T286" s="604">
        <f t="shared" si="99"/>
        <v>11784.8273</v>
      </c>
      <c r="U286" s="604">
        <f t="shared" si="99"/>
        <v>12011.912</v>
      </c>
      <c r="V286" s="604">
        <f t="shared" si="99"/>
        <v>12308.4871</v>
      </c>
      <c r="W286" s="604">
        <f t="shared" si="99"/>
        <v>12605.0622</v>
      </c>
      <c r="X286" s="604">
        <f t="shared" si="99"/>
        <v>12901.6373</v>
      </c>
      <c r="Y286" s="604">
        <f t="shared" si="99"/>
        <v>13198.2124</v>
      </c>
      <c r="Z286" s="604">
        <f t="shared" si="99"/>
        <v>13494.7875</v>
      </c>
      <c r="AA286" s="604">
        <f t="shared" si="99"/>
        <v>13791.3626</v>
      </c>
      <c r="AB286" s="604">
        <f t="shared" si="99"/>
        <v>14087.937699999999</v>
      </c>
      <c r="AC286" s="604">
        <f t="shared" si="99"/>
        <v>14384.5128</v>
      </c>
      <c r="AD286" s="604">
        <f t="shared" si="99"/>
        <v>14681.0879</v>
      </c>
      <c r="AE286" s="604">
        <f t="shared" si="99"/>
        <v>14977.663</v>
      </c>
      <c r="AF286" s="604">
        <f t="shared" si="99"/>
        <v>15274.2381</v>
      </c>
      <c r="AG286" s="604">
        <f t="shared" si="99"/>
        <v>15577.0177</v>
      </c>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c r="BB286" s="155"/>
      <c r="BC286" s="155"/>
      <c r="BD286" s="155"/>
      <c r="BE286" s="155"/>
      <c r="BF286" s="155"/>
      <c r="BG286" s="155"/>
      <c r="BH286" s="155"/>
      <c r="BI286" s="155"/>
      <c r="BJ286" s="155"/>
      <c r="BK286" s="155"/>
      <c r="BL286" s="155"/>
      <c r="BM286" s="155"/>
      <c r="BN286" s="155"/>
      <c r="BO286" s="155"/>
      <c r="BP286" s="155"/>
      <c r="BQ286" s="155"/>
      <c r="BR286" s="155"/>
      <c r="BS286" s="155"/>
      <c r="BT286" s="155"/>
      <c r="BU286" s="155"/>
      <c r="BV286" s="155"/>
      <c r="BW286" s="155"/>
      <c r="BX286" s="155"/>
      <c r="BY286" s="155"/>
      <c r="BZ286" s="155"/>
      <c r="CA286" s="155"/>
      <c r="CB286" s="155"/>
      <c r="CC286" s="155"/>
      <c r="CD286" s="155"/>
      <c r="CE286" s="155"/>
      <c r="CF286" s="155"/>
      <c r="CG286" s="155"/>
      <c r="CH286" s="155"/>
      <c r="CI286" s="155"/>
      <c r="CJ286" s="155"/>
      <c r="CK286" s="155"/>
      <c r="CL286" s="155"/>
      <c r="CM286" s="155"/>
      <c r="CN286" s="155"/>
      <c r="CO286" s="155"/>
      <c r="CP286" s="155"/>
      <c r="CQ286" s="155"/>
      <c r="CR286" s="155"/>
      <c r="CS286" s="155"/>
      <c r="CT286" s="155"/>
      <c r="CU286" s="155"/>
      <c r="CV286" s="155"/>
      <c r="CW286" s="155"/>
      <c r="CX286" s="155"/>
      <c r="CY286" s="155"/>
      <c r="CZ286" s="155"/>
      <c r="DA286" s="155"/>
      <c r="DB286" s="155"/>
      <c r="DC286" s="155"/>
      <c r="DD286" s="155"/>
      <c r="DE286" s="155"/>
      <c r="DF286" s="155"/>
      <c r="DG286" s="155"/>
      <c r="DH286" s="155"/>
      <c r="DI286" s="155"/>
      <c r="DJ286" s="155"/>
      <c r="DK286" s="155"/>
      <c r="DL286" s="155"/>
      <c r="DM286" s="155"/>
      <c r="DN286" s="155"/>
      <c r="DO286" s="155"/>
      <c r="DP286" s="155"/>
      <c r="DQ286" s="155"/>
      <c r="DR286" s="155"/>
      <c r="DS286" s="155"/>
      <c r="DT286" s="155"/>
      <c r="DU286" s="155"/>
      <c r="DV286" s="155"/>
      <c r="DW286" s="155"/>
      <c r="DX286" s="155"/>
      <c r="DY286" s="155"/>
      <c r="DZ286" s="155"/>
      <c r="EA286" s="155"/>
      <c r="EB286" s="155"/>
      <c r="EC286" s="155"/>
      <c r="ED286" s="155"/>
      <c r="EE286" s="155"/>
      <c r="EF286" s="155"/>
      <c r="EG286" s="155"/>
      <c r="EH286" s="155"/>
      <c r="EI286" s="155"/>
      <c r="EJ286" s="155"/>
      <c r="EK286" s="155"/>
      <c r="EL286" s="155"/>
      <c r="EM286" s="155"/>
      <c r="EN286" s="155"/>
      <c r="EO286" s="155"/>
      <c r="EP286" s="155"/>
      <c r="EQ286" s="155"/>
      <c r="ER286" s="155"/>
      <c r="ES286" s="155"/>
      <c r="ET286" s="155"/>
      <c r="EU286" s="155"/>
      <c r="EV286" s="155"/>
      <c r="EW286" s="155"/>
      <c r="EX286" s="155"/>
      <c r="EY286" s="155"/>
      <c r="EZ286" s="155"/>
      <c r="FA286" s="155"/>
      <c r="FB286" s="155"/>
      <c r="FC286" s="155"/>
      <c r="FD286" s="155"/>
      <c r="FE286" s="155"/>
      <c r="FF286" s="155"/>
      <c r="FG286" s="155"/>
      <c r="FH286" s="155"/>
      <c r="FI286" s="155"/>
      <c r="FJ286" s="155"/>
      <c r="FK286" s="155"/>
      <c r="FL286" s="155"/>
      <c r="FM286" s="155"/>
      <c r="FN286" s="155"/>
      <c r="FO286" s="155"/>
      <c r="FP286" s="155"/>
      <c r="FQ286" s="155"/>
      <c r="FR286" s="155"/>
      <c r="FS286" s="155"/>
      <c r="FT286" s="155"/>
      <c r="FU286" s="155"/>
      <c r="FV286" s="155"/>
      <c r="FW286" s="155"/>
      <c r="FX286" s="155"/>
      <c r="FY286" s="155"/>
      <c r="FZ286" s="155"/>
      <c r="GA286" s="155"/>
      <c r="GB286" s="155"/>
      <c r="GC286" s="155"/>
      <c r="GD286" s="155"/>
      <c r="GE286" s="155"/>
      <c r="GF286" s="155"/>
      <c r="GG286" s="155"/>
      <c r="GH286" s="155"/>
      <c r="GI286" s="155"/>
      <c r="GJ286" s="155"/>
      <c r="GK286" s="155"/>
      <c r="GL286" s="155"/>
      <c r="GM286" s="155"/>
      <c r="GN286" s="155"/>
      <c r="GO286" s="155"/>
      <c r="GP286" s="155"/>
      <c r="GQ286" s="155"/>
      <c r="GR286" s="155"/>
      <c r="GS286" s="155"/>
      <c r="GT286" s="155"/>
      <c r="GU286" s="155"/>
      <c r="GV286" s="155"/>
      <c r="GW286" s="155"/>
      <c r="GX286" s="155"/>
      <c r="GY286" s="155"/>
      <c r="GZ286" s="155"/>
      <c r="HA286" s="155"/>
      <c r="HB286" s="155"/>
      <c r="HC286" s="155"/>
      <c r="HD286" s="155"/>
      <c r="HE286" s="155"/>
      <c r="HF286" s="155"/>
      <c r="HG286" s="155"/>
      <c r="HH286" s="155"/>
      <c r="HI286" s="155"/>
      <c r="HJ286" s="155"/>
      <c r="HK286" s="155"/>
      <c r="HL286" s="155"/>
      <c r="HM286" s="155"/>
      <c r="HN286" s="155"/>
      <c r="HO286" s="155"/>
      <c r="HP286" s="155"/>
      <c r="HQ286" s="155"/>
      <c r="HR286" s="155"/>
      <c r="HS286" s="155"/>
      <c r="HT286" s="155"/>
      <c r="HU286" s="155"/>
      <c r="HV286" s="155"/>
      <c r="HW286" s="155"/>
      <c r="HX286" s="155"/>
      <c r="HY286" s="155"/>
      <c r="HZ286" s="155"/>
      <c r="IA286" s="155"/>
      <c r="IB286" s="155"/>
      <c r="IC286" s="155"/>
      <c r="ID286" s="155"/>
      <c r="IE286" s="155"/>
      <c r="IF286" s="155"/>
      <c r="IG286" s="155"/>
      <c r="IH286" s="155"/>
      <c r="II286" s="155"/>
      <c r="IJ286" s="155"/>
      <c r="IK286" s="155"/>
      <c r="IL286" s="155"/>
      <c r="IM286" s="155"/>
      <c r="IN286" s="155"/>
      <c r="IO286" s="155"/>
      <c r="IP286" s="155"/>
      <c r="IQ286" s="155"/>
      <c r="IR286" s="155"/>
      <c r="IS286" s="155"/>
      <c r="IT286" s="155"/>
    </row>
    <row r="287" spans="1:254" s="157" customFormat="1" ht="12.75">
      <c r="A287" s="556" t="s">
        <v>315</v>
      </c>
      <c r="B287" s="154">
        <f>'Saimnieciskas pamatdarbibas NP'!B57+'Saimnieciskas pamatdarbibas NP'!B61</f>
        <v>5600</v>
      </c>
      <c r="C287" s="154">
        <f>'Saimnieciskas pamatdarbibas NP'!C57+'Saimnieciskas pamatdarbibas NP'!C61</f>
        <v>5768</v>
      </c>
      <c r="D287" s="154">
        <f>'Saimnieciskas pamatdarbibas NP'!D57+'Saimnieciskas pamatdarbibas NP'!D61</f>
        <v>5992</v>
      </c>
      <c r="E287" s="154">
        <f>'Saimnieciskas pamatdarbibas NP'!E57+'Saimnieciskas pamatdarbibas NP'!E61</f>
        <v>6716.000000000001</v>
      </c>
      <c r="F287" s="635">
        <f>'Saimnieciskas pamatdarbibas NP'!F57+'Saimnieciskas pamatdarbibas NP'!F61</f>
        <v>6979.999999999999</v>
      </c>
      <c r="G287" s="154">
        <f>'Saimnieciskas pamatdarbibas NP'!G57+'Saimnieciskas pamatdarbibas NP'!G61</f>
        <v>7158</v>
      </c>
      <c r="H287" s="154">
        <f>'Saimnieciskas pamatdarbibas NP'!H57+'Saimnieciskas pamatdarbibas NP'!H61</f>
        <v>7336</v>
      </c>
      <c r="I287" s="154">
        <f>'Saimnieciskas pamatdarbibas NP'!I57+'Saimnieciskas pamatdarbibas NP'!I61</f>
        <v>7514</v>
      </c>
      <c r="J287" s="154">
        <f>'Saimnieciskas pamatdarbibas NP'!J57+'Saimnieciskas pamatdarbibas NP'!J61</f>
        <v>7692</v>
      </c>
      <c r="K287" s="154">
        <f>'Saimnieciskas pamatdarbibas NP'!K57+'Saimnieciskas pamatdarbibas NP'!K61</f>
        <v>7870</v>
      </c>
      <c r="L287" s="154">
        <f>'Saimnieciskas pamatdarbibas NP'!L57+'Saimnieciskas pamatdarbibas NP'!L61</f>
        <v>8048</v>
      </c>
      <c r="M287" s="154">
        <f>'Saimnieciskas pamatdarbibas NP'!M57+'Saimnieciskas pamatdarbibas NP'!M61</f>
        <v>8226</v>
      </c>
      <c r="N287" s="154">
        <f>'Saimnieciskas pamatdarbibas NP'!N57+'Saimnieciskas pamatdarbibas NP'!N61</f>
        <v>8404</v>
      </c>
      <c r="O287" s="154">
        <f>'Saimnieciskas pamatdarbibas NP'!O57+'Saimnieciskas pamatdarbibas NP'!O61</f>
        <v>8582</v>
      </c>
      <c r="P287" s="154">
        <f>'Saimnieciskas pamatdarbibas NP'!P57+'Saimnieciskas pamatdarbibas NP'!P61</f>
        <v>8765</v>
      </c>
      <c r="Q287" s="154">
        <f>'Saimnieciskas pamatdarbibas NP'!Q57+'Saimnieciskas pamatdarbibas NP'!Q61</f>
        <v>8948</v>
      </c>
      <c r="R287" s="154">
        <f>'Saimnieciskas pamatdarbibas NP'!R57+'Saimnieciskas pamatdarbibas NP'!R61</f>
        <v>9131</v>
      </c>
      <c r="S287" s="154">
        <f>'Saimnieciskas pamatdarbibas NP'!S57+'Saimnieciskas pamatdarbibas NP'!S61</f>
        <v>9314</v>
      </c>
      <c r="T287" s="154">
        <f>'Saimnieciskas pamatdarbibas NP'!T57+'Saimnieciskas pamatdarbibas NP'!T61</f>
        <v>9497</v>
      </c>
      <c r="U287" s="154">
        <f>'Saimnieciskas pamatdarbibas NP'!U57+'Saimnieciskas pamatdarbibas NP'!U61</f>
        <v>9680</v>
      </c>
      <c r="V287" s="154">
        <f>'Saimnieciskas pamatdarbibas NP'!V57+'Saimnieciskas pamatdarbibas NP'!V61</f>
        <v>9919</v>
      </c>
      <c r="W287" s="154">
        <f>'Saimnieciskas pamatdarbibas NP'!W57+'Saimnieciskas pamatdarbibas NP'!W61</f>
        <v>10158</v>
      </c>
      <c r="X287" s="154">
        <f>'Saimnieciskas pamatdarbibas NP'!X57+'Saimnieciskas pamatdarbibas NP'!X61</f>
        <v>10397</v>
      </c>
      <c r="Y287" s="154">
        <f>'Saimnieciskas pamatdarbibas NP'!Y57+'Saimnieciskas pamatdarbibas NP'!Y61</f>
        <v>10636</v>
      </c>
      <c r="Z287" s="154">
        <f>'Saimnieciskas pamatdarbibas NP'!Z57+'Saimnieciskas pamatdarbibas NP'!Z61</f>
        <v>10875</v>
      </c>
      <c r="AA287" s="154">
        <f>'Saimnieciskas pamatdarbibas NP'!AA57+'Saimnieciskas pamatdarbibas NP'!AA61</f>
        <v>11114</v>
      </c>
      <c r="AB287" s="154">
        <f>'Saimnieciskas pamatdarbibas NP'!AB57+'Saimnieciskas pamatdarbibas NP'!AB61</f>
        <v>11353</v>
      </c>
      <c r="AC287" s="154">
        <f>'Saimnieciskas pamatdarbibas NP'!AC57+'Saimnieciskas pamatdarbibas NP'!AC61</f>
        <v>11592</v>
      </c>
      <c r="AD287" s="154">
        <f>'Saimnieciskas pamatdarbibas NP'!AD57+'Saimnieciskas pamatdarbibas NP'!AD61</f>
        <v>11831</v>
      </c>
      <c r="AE287" s="154">
        <f>'Saimnieciskas pamatdarbibas NP'!AE57+'Saimnieciskas pamatdarbibas NP'!AE61</f>
        <v>12070</v>
      </c>
      <c r="AF287" s="154">
        <f>'Saimnieciskas pamatdarbibas NP'!AF57+'Saimnieciskas pamatdarbibas NP'!AF61</f>
        <v>12309</v>
      </c>
      <c r="AG287" s="154">
        <f>'Saimnieciskas pamatdarbibas NP'!AG57+'Saimnieciskas pamatdarbibas NP'!AG61</f>
        <v>12553</v>
      </c>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c r="BB287" s="155"/>
      <c r="BC287" s="155"/>
      <c r="BD287" s="155"/>
      <c r="BE287" s="155"/>
      <c r="BF287" s="155"/>
      <c r="BG287" s="155"/>
      <c r="BH287" s="155"/>
      <c r="BI287" s="155"/>
      <c r="BJ287" s="155"/>
      <c r="BK287" s="155"/>
      <c r="BL287" s="155"/>
      <c r="BM287" s="155"/>
      <c r="BN287" s="155"/>
      <c r="BO287" s="155"/>
      <c r="BP287" s="155"/>
      <c r="BQ287" s="155"/>
      <c r="BR287" s="155"/>
      <c r="BS287" s="155"/>
      <c r="BT287" s="155"/>
      <c r="BU287" s="155"/>
      <c r="BV287" s="155"/>
      <c r="BW287" s="155"/>
      <c r="BX287" s="155"/>
      <c r="BY287" s="155"/>
      <c r="BZ287" s="155"/>
      <c r="CA287" s="155"/>
      <c r="CB287" s="155"/>
      <c r="CC287" s="155"/>
      <c r="CD287" s="155"/>
      <c r="CE287" s="155"/>
      <c r="CF287" s="155"/>
      <c r="CG287" s="155"/>
      <c r="CH287" s="155"/>
      <c r="CI287" s="155"/>
      <c r="CJ287" s="155"/>
      <c r="CK287" s="155"/>
      <c r="CL287" s="155"/>
      <c r="CM287" s="155"/>
      <c r="CN287" s="155"/>
      <c r="CO287" s="155"/>
      <c r="CP287" s="155"/>
      <c r="CQ287" s="155"/>
      <c r="CR287" s="155"/>
      <c r="CS287" s="155"/>
      <c r="CT287" s="155"/>
      <c r="CU287" s="155"/>
      <c r="CV287" s="155"/>
      <c r="CW287" s="155"/>
      <c r="CX287" s="155"/>
      <c r="CY287" s="155"/>
      <c r="CZ287" s="155"/>
      <c r="DA287" s="155"/>
      <c r="DB287" s="155"/>
      <c r="DC287" s="155"/>
      <c r="DD287" s="155"/>
      <c r="DE287" s="155"/>
      <c r="DF287" s="155"/>
      <c r="DG287" s="155"/>
      <c r="DH287" s="155"/>
      <c r="DI287" s="155"/>
      <c r="DJ287" s="155"/>
      <c r="DK287" s="155"/>
      <c r="DL287" s="155"/>
      <c r="DM287" s="155"/>
      <c r="DN287" s="155"/>
      <c r="DO287" s="155"/>
      <c r="DP287" s="155"/>
      <c r="DQ287" s="155"/>
      <c r="DR287" s="155"/>
      <c r="DS287" s="155"/>
      <c r="DT287" s="155"/>
      <c r="DU287" s="155"/>
      <c r="DV287" s="155"/>
      <c r="DW287" s="155"/>
      <c r="DX287" s="155"/>
      <c r="DY287" s="155"/>
      <c r="DZ287" s="155"/>
      <c r="EA287" s="155"/>
      <c r="EB287" s="155"/>
      <c r="EC287" s="155"/>
      <c r="ED287" s="155"/>
      <c r="EE287" s="155"/>
      <c r="EF287" s="155"/>
      <c r="EG287" s="155"/>
      <c r="EH287" s="155"/>
      <c r="EI287" s="155"/>
      <c r="EJ287" s="155"/>
      <c r="EK287" s="155"/>
      <c r="EL287" s="155"/>
      <c r="EM287" s="155"/>
      <c r="EN287" s="155"/>
      <c r="EO287" s="155"/>
      <c r="EP287" s="155"/>
      <c r="EQ287" s="155"/>
      <c r="ER287" s="155"/>
      <c r="ES287" s="155"/>
      <c r="ET287" s="155"/>
      <c r="EU287" s="155"/>
      <c r="EV287" s="155"/>
      <c r="EW287" s="155"/>
      <c r="EX287" s="155"/>
      <c r="EY287" s="155"/>
      <c r="EZ287" s="155"/>
      <c r="FA287" s="155"/>
      <c r="FB287" s="155"/>
      <c r="FC287" s="155"/>
      <c r="FD287" s="155"/>
      <c r="FE287" s="155"/>
      <c r="FF287" s="155"/>
      <c r="FG287" s="155"/>
      <c r="FH287" s="155"/>
      <c r="FI287" s="155"/>
      <c r="FJ287" s="155"/>
      <c r="FK287" s="155"/>
      <c r="FL287" s="155"/>
      <c r="FM287" s="155"/>
      <c r="FN287" s="155"/>
      <c r="FO287" s="155"/>
      <c r="FP287" s="155"/>
      <c r="FQ287" s="155"/>
      <c r="FR287" s="155"/>
      <c r="FS287" s="155"/>
      <c r="FT287" s="155"/>
      <c r="FU287" s="155"/>
      <c r="FV287" s="155"/>
      <c r="FW287" s="155"/>
      <c r="FX287" s="155"/>
      <c r="FY287" s="155"/>
      <c r="FZ287" s="155"/>
      <c r="GA287" s="155"/>
      <c r="GB287" s="155"/>
      <c r="GC287" s="155"/>
      <c r="GD287" s="155"/>
      <c r="GE287" s="155"/>
      <c r="GF287" s="155"/>
      <c r="GG287" s="155"/>
      <c r="GH287" s="155"/>
      <c r="GI287" s="155"/>
      <c r="GJ287" s="155"/>
      <c r="GK287" s="155"/>
      <c r="GL287" s="155"/>
      <c r="GM287" s="155"/>
      <c r="GN287" s="155"/>
      <c r="GO287" s="155"/>
      <c r="GP287" s="155"/>
      <c r="GQ287" s="155"/>
      <c r="GR287" s="155"/>
      <c r="GS287" s="155"/>
      <c r="GT287" s="155"/>
      <c r="GU287" s="155"/>
      <c r="GV287" s="155"/>
      <c r="GW287" s="155"/>
      <c r="GX287" s="155"/>
      <c r="GY287" s="155"/>
      <c r="GZ287" s="155"/>
      <c r="HA287" s="155"/>
      <c r="HB287" s="155"/>
      <c r="HC287" s="155"/>
      <c r="HD287" s="155"/>
      <c r="HE287" s="155"/>
      <c r="HF287" s="155"/>
      <c r="HG287" s="155"/>
      <c r="HH287" s="155"/>
      <c r="HI287" s="155"/>
      <c r="HJ287" s="155"/>
      <c r="HK287" s="155"/>
      <c r="HL287" s="155"/>
      <c r="HM287" s="155"/>
      <c r="HN287" s="155"/>
      <c r="HO287" s="155"/>
      <c r="HP287" s="155"/>
      <c r="HQ287" s="155"/>
      <c r="HR287" s="155"/>
      <c r="HS287" s="155"/>
      <c r="HT287" s="155"/>
      <c r="HU287" s="155"/>
      <c r="HV287" s="155"/>
      <c r="HW287" s="155"/>
      <c r="HX287" s="155"/>
      <c r="HY287" s="155"/>
      <c r="HZ287" s="155"/>
      <c r="IA287" s="155"/>
      <c r="IB287" s="155"/>
      <c r="IC287" s="155"/>
      <c r="ID287" s="155"/>
      <c r="IE287" s="155"/>
      <c r="IF287" s="155"/>
      <c r="IG287" s="155"/>
      <c r="IH287" s="155"/>
      <c r="II287" s="155"/>
      <c r="IJ287" s="155"/>
      <c r="IK287" s="155"/>
      <c r="IL287" s="155"/>
      <c r="IM287" s="155"/>
      <c r="IN287" s="155"/>
      <c r="IO287" s="155"/>
      <c r="IP287" s="155"/>
      <c r="IQ287" s="155"/>
      <c r="IR287" s="155"/>
      <c r="IS287" s="155"/>
      <c r="IT287" s="155"/>
    </row>
    <row r="288" spans="1:254" s="157" customFormat="1" ht="12.75">
      <c r="A288" s="556" t="s">
        <v>316</v>
      </c>
      <c r="B288" s="154">
        <f>'Saimnieciskas pamatdarbibas NP'!B58+'Saimnieciskas pamatdarbibas NP'!B62</f>
        <v>1349.04</v>
      </c>
      <c r="C288" s="154">
        <f>'Saimnieciskas pamatdarbibas NP'!C58+'Saimnieciskas pamatdarbibas NP'!C62</f>
        <v>1389.5112</v>
      </c>
      <c r="D288" s="154">
        <f>'Saimnieciskas pamatdarbibas NP'!D58+'Saimnieciskas pamatdarbibas NP'!D62</f>
        <v>1443.4728</v>
      </c>
      <c r="E288" s="154">
        <f>'Saimnieciskas pamatdarbibas NP'!E58+'Saimnieciskas pamatdarbibas NP'!E62</f>
        <v>1617.8844000000004</v>
      </c>
      <c r="F288" s="635">
        <f>'Saimnieciskas pamatdarbibas NP'!F58+'Saimnieciskas pamatdarbibas NP'!F62</f>
        <v>1681.482</v>
      </c>
      <c r="G288" s="154">
        <f>'Saimnieciskas pamatdarbibas NP'!G58+'Saimnieciskas pamatdarbibas NP'!G62</f>
        <v>1724.3622</v>
      </c>
      <c r="H288" s="154">
        <f>'Saimnieciskas pamatdarbibas NP'!H58+'Saimnieciskas pamatdarbibas NP'!H62</f>
        <v>1767.2424</v>
      </c>
      <c r="I288" s="154">
        <f>'Saimnieciskas pamatdarbibas NP'!I58+'Saimnieciskas pamatdarbibas NP'!I62</f>
        <v>1810.1226000000001</v>
      </c>
      <c r="J288" s="154">
        <f>'Saimnieciskas pamatdarbibas NP'!J58+'Saimnieciskas pamatdarbibas NP'!J62</f>
        <v>1853.0028</v>
      </c>
      <c r="K288" s="154">
        <f>'Saimnieciskas pamatdarbibas NP'!K58+'Saimnieciskas pamatdarbibas NP'!K62</f>
        <v>1895.883</v>
      </c>
      <c r="L288" s="154">
        <f>'Saimnieciskas pamatdarbibas NP'!L58+'Saimnieciskas pamatdarbibas NP'!L62</f>
        <v>1938.7631999999999</v>
      </c>
      <c r="M288" s="154">
        <f>'Saimnieciskas pamatdarbibas NP'!M58+'Saimnieciskas pamatdarbibas NP'!M62</f>
        <v>1981.6434000000004</v>
      </c>
      <c r="N288" s="154">
        <f>'Saimnieciskas pamatdarbibas NP'!N58+'Saimnieciskas pamatdarbibas NP'!N62</f>
        <v>2024.5235999999998</v>
      </c>
      <c r="O288" s="154">
        <f>'Saimnieciskas pamatdarbibas NP'!O58+'Saimnieciskas pamatdarbibas NP'!O62</f>
        <v>2067.4038</v>
      </c>
      <c r="P288" s="154">
        <f>'Saimnieciskas pamatdarbibas NP'!P58+'Saimnieciskas pamatdarbibas NP'!P62</f>
        <v>2111.4885000000004</v>
      </c>
      <c r="Q288" s="154">
        <f>'Saimnieciskas pamatdarbibas NP'!Q58+'Saimnieciskas pamatdarbibas NP'!Q62</f>
        <v>2155.5732</v>
      </c>
      <c r="R288" s="154">
        <f>'Saimnieciskas pamatdarbibas NP'!R58+'Saimnieciskas pamatdarbibas NP'!R62</f>
        <v>2199.6579</v>
      </c>
      <c r="S288" s="154">
        <f>'Saimnieciskas pamatdarbibas NP'!S58+'Saimnieciskas pamatdarbibas NP'!S62</f>
        <v>2243.7426</v>
      </c>
      <c r="T288" s="154">
        <f>'Saimnieciskas pamatdarbibas NP'!T58+'Saimnieciskas pamatdarbibas NP'!T62</f>
        <v>2287.8273</v>
      </c>
      <c r="U288" s="154">
        <f>'Saimnieciskas pamatdarbibas NP'!U58+'Saimnieciskas pamatdarbibas NP'!U62</f>
        <v>2331.912</v>
      </c>
      <c r="V288" s="154">
        <f>'Saimnieciskas pamatdarbibas NP'!V58+'Saimnieciskas pamatdarbibas NP'!V62</f>
        <v>2389.4871</v>
      </c>
      <c r="W288" s="154">
        <f>'Saimnieciskas pamatdarbibas NP'!W58+'Saimnieciskas pamatdarbibas NP'!W62</f>
        <v>2447.0622000000003</v>
      </c>
      <c r="X288" s="154">
        <f>'Saimnieciskas pamatdarbibas NP'!X58+'Saimnieciskas pamatdarbibas NP'!X62</f>
        <v>2504.6373000000003</v>
      </c>
      <c r="Y288" s="154">
        <f>'Saimnieciskas pamatdarbibas NP'!Y58+'Saimnieciskas pamatdarbibas NP'!Y62</f>
        <v>2562.2124</v>
      </c>
      <c r="Z288" s="154">
        <f>'Saimnieciskas pamatdarbibas NP'!Z58+'Saimnieciskas pamatdarbibas NP'!Z62</f>
        <v>2619.7875</v>
      </c>
      <c r="AA288" s="154">
        <f>'Saimnieciskas pamatdarbibas NP'!AA58+'Saimnieciskas pamatdarbibas NP'!AA62</f>
        <v>2677.3626</v>
      </c>
      <c r="AB288" s="154">
        <f>'Saimnieciskas pamatdarbibas NP'!AB58+'Saimnieciskas pamatdarbibas NP'!AB62</f>
        <v>2734.9376999999995</v>
      </c>
      <c r="AC288" s="154">
        <f>'Saimnieciskas pamatdarbibas NP'!AC58+'Saimnieciskas pamatdarbibas NP'!AC62</f>
        <v>2792.5128</v>
      </c>
      <c r="AD288" s="154">
        <f>'Saimnieciskas pamatdarbibas NP'!AD58+'Saimnieciskas pamatdarbibas NP'!AD62</f>
        <v>2850.0879000000004</v>
      </c>
      <c r="AE288" s="154">
        <f>'Saimnieciskas pamatdarbibas NP'!AE58+'Saimnieciskas pamatdarbibas NP'!AE62</f>
        <v>2907.6630000000005</v>
      </c>
      <c r="AF288" s="154">
        <f>'Saimnieciskas pamatdarbibas NP'!AF58+'Saimnieciskas pamatdarbibas NP'!AF62</f>
        <v>2965.2381</v>
      </c>
      <c r="AG288" s="154">
        <f>'Saimnieciskas pamatdarbibas NP'!AG58+'Saimnieciskas pamatdarbibas NP'!AG62</f>
        <v>3024.0177</v>
      </c>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c r="BB288" s="155"/>
      <c r="BC288" s="155"/>
      <c r="BD288" s="155"/>
      <c r="BE288" s="155"/>
      <c r="BF288" s="155"/>
      <c r="BG288" s="155"/>
      <c r="BH288" s="155"/>
      <c r="BI288" s="155"/>
      <c r="BJ288" s="155"/>
      <c r="BK288" s="15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c r="CS288" s="155"/>
      <c r="CT288" s="155"/>
      <c r="CU288" s="155"/>
      <c r="CV288" s="155"/>
      <c r="CW288" s="155"/>
      <c r="CX288" s="155"/>
      <c r="CY288" s="155"/>
      <c r="CZ288" s="155"/>
      <c r="DA288" s="155"/>
      <c r="DB288" s="155"/>
      <c r="DC288" s="155"/>
      <c r="DD288" s="155"/>
      <c r="DE288" s="155"/>
      <c r="DF288" s="155"/>
      <c r="DG288" s="155"/>
      <c r="DH288" s="155"/>
      <c r="DI288" s="155"/>
      <c r="DJ288" s="155"/>
      <c r="DK288" s="155"/>
      <c r="DL288" s="155"/>
      <c r="DM288" s="155"/>
      <c r="DN288" s="155"/>
      <c r="DO288" s="155"/>
      <c r="DP288" s="155"/>
      <c r="DQ288" s="155"/>
      <c r="DR288" s="155"/>
      <c r="DS288" s="155"/>
      <c r="DT288" s="155"/>
      <c r="DU288" s="155"/>
      <c r="DV288" s="155"/>
      <c r="DW288" s="155"/>
      <c r="DX288" s="155"/>
      <c r="DY288" s="155"/>
      <c r="DZ288" s="155"/>
      <c r="EA288" s="155"/>
      <c r="EB288" s="155"/>
      <c r="EC288" s="155"/>
      <c r="ED288" s="155"/>
      <c r="EE288" s="155"/>
      <c r="EF288" s="155"/>
      <c r="EG288" s="155"/>
      <c r="EH288" s="155"/>
      <c r="EI288" s="155"/>
      <c r="EJ288" s="155"/>
      <c r="EK288" s="155"/>
      <c r="EL288" s="155"/>
      <c r="EM288" s="155"/>
      <c r="EN288" s="155"/>
      <c r="EO288" s="155"/>
      <c r="EP288" s="155"/>
      <c r="EQ288" s="155"/>
      <c r="ER288" s="155"/>
      <c r="ES288" s="155"/>
      <c r="ET288" s="155"/>
      <c r="EU288" s="155"/>
      <c r="EV288" s="155"/>
      <c r="EW288" s="155"/>
      <c r="EX288" s="155"/>
      <c r="EY288" s="155"/>
      <c r="EZ288" s="155"/>
      <c r="FA288" s="155"/>
      <c r="FB288" s="155"/>
      <c r="FC288" s="155"/>
      <c r="FD288" s="155"/>
      <c r="FE288" s="155"/>
      <c r="FF288" s="155"/>
      <c r="FG288" s="155"/>
      <c r="FH288" s="155"/>
      <c r="FI288" s="155"/>
      <c r="FJ288" s="155"/>
      <c r="FK288" s="155"/>
      <c r="FL288" s="155"/>
      <c r="FM288" s="155"/>
      <c r="FN288" s="155"/>
      <c r="FO288" s="155"/>
      <c r="FP288" s="155"/>
      <c r="FQ288" s="155"/>
      <c r="FR288" s="155"/>
      <c r="FS288" s="155"/>
      <c r="FT288" s="155"/>
      <c r="FU288" s="155"/>
      <c r="FV288" s="155"/>
      <c r="FW288" s="155"/>
      <c r="FX288" s="155"/>
      <c r="FY288" s="155"/>
      <c r="FZ288" s="155"/>
      <c r="GA288" s="155"/>
      <c r="GB288" s="155"/>
      <c r="GC288" s="155"/>
      <c r="GD288" s="155"/>
      <c r="GE288" s="155"/>
      <c r="GF288" s="155"/>
      <c r="GG288" s="155"/>
      <c r="GH288" s="155"/>
      <c r="GI288" s="155"/>
      <c r="GJ288" s="155"/>
      <c r="GK288" s="155"/>
      <c r="GL288" s="155"/>
      <c r="GM288" s="155"/>
      <c r="GN288" s="155"/>
      <c r="GO288" s="155"/>
      <c r="GP288" s="155"/>
      <c r="GQ288" s="155"/>
      <c r="GR288" s="155"/>
      <c r="GS288" s="155"/>
      <c r="GT288" s="155"/>
      <c r="GU288" s="155"/>
      <c r="GV288" s="155"/>
      <c r="GW288" s="155"/>
      <c r="GX288" s="155"/>
      <c r="GY288" s="155"/>
      <c r="GZ288" s="155"/>
      <c r="HA288" s="155"/>
      <c r="HB288" s="155"/>
      <c r="HC288" s="155"/>
      <c r="HD288" s="155"/>
      <c r="HE288" s="155"/>
      <c r="HF288" s="155"/>
      <c r="HG288" s="155"/>
      <c r="HH288" s="155"/>
      <c r="HI288" s="155"/>
      <c r="HJ288" s="155"/>
      <c r="HK288" s="155"/>
      <c r="HL288" s="155"/>
      <c r="HM288" s="155"/>
      <c r="HN288" s="155"/>
      <c r="HO288" s="155"/>
      <c r="HP288" s="155"/>
      <c r="HQ288" s="155"/>
      <c r="HR288" s="155"/>
      <c r="HS288" s="155"/>
      <c r="HT288" s="155"/>
      <c r="HU288" s="155"/>
      <c r="HV288" s="155"/>
      <c r="HW288" s="155"/>
      <c r="HX288" s="155"/>
      <c r="HY288" s="155"/>
      <c r="HZ288" s="155"/>
      <c r="IA288" s="155"/>
      <c r="IB288" s="155"/>
      <c r="IC288" s="155"/>
      <c r="ID288" s="155"/>
      <c r="IE288" s="155"/>
      <c r="IF288" s="155"/>
      <c r="IG288" s="155"/>
      <c r="IH288" s="155"/>
      <c r="II288" s="155"/>
      <c r="IJ288" s="155"/>
      <c r="IK288" s="155"/>
      <c r="IL288" s="155"/>
      <c r="IM288" s="155"/>
      <c r="IN288" s="155"/>
      <c r="IO288" s="155"/>
      <c r="IP288" s="155"/>
      <c r="IQ288" s="155"/>
      <c r="IR288" s="155"/>
      <c r="IS288" s="155"/>
      <c r="IT288" s="155"/>
    </row>
    <row r="289" spans="1:254" s="157" customFormat="1" ht="12.75">
      <c r="A289" s="556" t="s">
        <v>317</v>
      </c>
      <c r="B289" s="154">
        <f>'Saimnieciskas pamatdarbibas NP'!B59+'Saimnieciskas pamatdarbibas NP'!B63</f>
        <v>0</v>
      </c>
      <c r="C289" s="154">
        <f>'Saimnieciskas pamatdarbibas NP'!C59+'Saimnieciskas pamatdarbibas NP'!C63</f>
        <v>0</v>
      </c>
      <c r="D289" s="154">
        <f>'Saimnieciskas pamatdarbibas NP'!D59+'Saimnieciskas pamatdarbibas NP'!D63</f>
        <v>0</v>
      </c>
      <c r="E289" s="154">
        <f>'Saimnieciskas pamatdarbibas NP'!E59+'Saimnieciskas pamatdarbibas NP'!E63</f>
        <v>0</v>
      </c>
      <c r="F289" s="635">
        <f>'Saimnieciskas pamatdarbibas NP'!F59+'Saimnieciskas pamatdarbibas NP'!F63</f>
        <v>0</v>
      </c>
      <c r="G289" s="154">
        <f>'Saimnieciskas pamatdarbibas NP'!G59+'Saimnieciskas pamatdarbibas NP'!G63</f>
        <v>0</v>
      </c>
      <c r="H289" s="154">
        <f>'Saimnieciskas pamatdarbibas NP'!H59+'Saimnieciskas pamatdarbibas NP'!H63</f>
        <v>0</v>
      </c>
      <c r="I289" s="154">
        <f>'Saimnieciskas pamatdarbibas NP'!I59+'Saimnieciskas pamatdarbibas NP'!I63</f>
        <v>0</v>
      </c>
      <c r="J289" s="154">
        <f>'Saimnieciskas pamatdarbibas NP'!J59+'Saimnieciskas pamatdarbibas NP'!J63</f>
        <v>0</v>
      </c>
      <c r="K289" s="154">
        <f>'Saimnieciskas pamatdarbibas NP'!K59+'Saimnieciskas pamatdarbibas NP'!K63</f>
        <v>0</v>
      </c>
      <c r="L289" s="154">
        <f>'Saimnieciskas pamatdarbibas NP'!L59+'Saimnieciskas pamatdarbibas NP'!L63</f>
        <v>0</v>
      </c>
      <c r="M289" s="154">
        <f>'Saimnieciskas pamatdarbibas NP'!M59+'Saimnieciskas pamatdarbibas NP'!M63</f>
        <v>0</v>
      </c>
      <c r="N289" s="154">
        <f>'Saimnieciskas pamatdarbibas NP'!N59+'Saimnieciskas pamatdarbibas NP'!N63</f>
        <v>0</v>
      </c>
      <c r="O289" s="154">
        <f>'Saimnieciskas pamatdarbibas NP'!O59+'Saimnieciskas pamatdarbibas NP'!O63</f>
        <v>0</v>
      </c>
      <c r="P289" s="154">
        <f>'Saimnieciskas pamatdarbibas NP'!P59+'Saimnieciskas pamatdarbibas NP'!P63</f>
        <v>0</v>
      </c>
      <c r="Q289" s="154">
        <f>'Saimnieciskas pamatdarbibas NP'!Q59+'Saimnieciskas pamatdarbibas NP'!Q63</f>
        <v>0</v>
      </c>
      <c r="R289" s="154">
        <f>'Saimnieciskas pamatdarbibas NP'!R59+'Saimnieciskas pamatdarbibas NP'!R63</f>
        <v>0</v>
      </c>
      <c r="S289" s="154">
        <f>'Saimnieciskas pamatdarbibas NP'!S59+'Saimnieciskas pamatdarbibas NP'!S63</f>
        <v>0</v>
      </c>
      <c r="T289" s="154">
        <f>'Saimnieciskas pamatdarbibas NP'!T59+'Saimnieciskas pamatdarbibas NP'!T63</f>
        <v>0</v>
      </c>
      <c r="U289" s="154">
        <f>'Saimnieciskas pamatdarbibas NP'!U59+'Saimnieciskas pamatdarbibas NP'!U63</f>
        <v>0</v>
      </c>
      <c r="V289" s="154">
        <f>'Saimnieciskas pamatdarbibas NP'!V59+'Saimnieciskas pamatdarbibas NP'!V63</f>
        <v>0</v>
      </c>
      <c r="W289" s="154">
        <f>'Saimnieciskas pamatdarbibas NP'!W59+'Saimnieciskas pamatdarbibas NP'!W63</f>
        <v>0</v>
      </c>
      <c r="X289" s="154">
        <f>'Saimnieciskas pamatdarbibas NP'!X59+'Saimnieciskas pamatdarbibas NP'!X63</f>
        <v>0</v>
      </c>
      <c r="Y289" s="154">
        <f>'Saimnieciskas pamatdarbibas NP'!Y59+'Saimnieciskas pamatdarbibas NP'!Y63</f>
        <v>0</v>
      </c>
      <c r="Z289" s="154">
        <f>'Saimnieciskas pamatdarbibas NP'!Z59+'Saimnieciskas pamatdarbibas NP'!Z63</f>
        <v>0</v>
      </c>
      <c r="AA289" s="154">
        <f>'Saimnieciskas pamatdarbibas NP'!AA59+'Saimnieciskas pamatdarbibas NP'!AA63</f>
        <v>0</v>
      </c>
      <c r="AB289" s="154">
        <f>'Saimnieciskas pamatdarbibas NP'!AB59+'Saimnieciskas pamatdarbibas NP'!AB63</f>
        <v>0</v>
      </c>
      <c r="AC289" s="154">
        <f>'Saimnieciskas pamatdarbibas NP'!AC59+'Saimnieciskas pamatdarbibas NP'!AC63</f>
        <v>0</v>
      </c>
      <c r="AD289" s="154">
        <f>'Saimnieciskas pamatdarbibas NP'!AD59+'Saimnieciskas pamatdarbibas NP'!AD63</f>
        <v>0</v>
      </c>
      <c r="AE289" s="154">
        <f>'Saimnieciskas pamatdarbibas NP'!AE59+'Saimnieciskas pamatdarbibas NP'!AE63</f>
        <v>0</v>
      </c>
      <c r="AF289" s="154">
        <f>'Saimnieciskas pamatdarbibas NP'!AF59+'Saimnieciskas pamatdarbibas NP'!AF63</f>
        <v>0</v>
      </c>
      <c r="AG289" s="154">
        <f>'Saimnieciskas pamatdarbibas NP'!AG59+'Saimnieciskas pamatdarbibas NP'!AG63</f>
        <v>0</v>
      </c>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c r="BB289" s="155"/>
      <c r="BC289" s="155"/>
      <c r="BD289" s="155"/>
      <c r="BE289" s="155"/>
      <c r="BF289" s="155"/>
      <c r="BG289" s="155"/>
      <c r="BH289" s="155"/>
      <c r="BI289" s="155"/>
      <c r="BJ289" s="155"/>
      <c r="BK289" s="155"/>
      <c r="BL289" s="155"/>
      <c r="BM289" s="155"/>
      <c r="BN289" s="155"/>
      <c r="BO289" s="155"/>
      <c r="BP289" s="155"/>
      <c r="BQ289" s="155"/>
      <c r="BR289" s="155"/>
      <c r="BS289" s="155"/>
      <c r="BT289" s="155"/>
      <c r="BU289" s="155"/>
      <c r="BV289" s="155"/>
      <c r="BW289" s="155"/>
      <c r="BX289" s="155"/>
      <c r="BY289" s="155"/>
      <c r="BZ289" s="155"/>
      <c r="CA289" s="155"/>
      <c r="CB289" s="155"/>
      <c r="CC289" s="155"/>
      <c r="CD289" s="155"/>
      <c r="CE289" s="155"/>
      <c r="CF289" s="155"/>
      <c r="CG289" s="155"/>
      <c r="CH289" s="155"/>
      <c r="CI289" s="155"/>
      <c r="CJ289" s="155"/>
      <c r="CK289" s="155"/>
      <c r="CL289" s="155"/>
      <c r="CM289" s="155"/>
      <c r="CN289" s="155"/>
      <c r="CO289" s="155"/>
      <c r="CP289" s="155"/>
      <c r="CQ289" s="155"/>
      <c r="CR289" s="155"/>
      <c r="CS289" s="155"/>
      <c r="CT289" s="155"/>
      <c r="CU289" s="155"/>
      <c r="CV289" s="155"/>
      <c r="CW289" s="155"/>
      <c r="CX289" s="155"/>
      <c r="CY289" s="155"/>
      <c r="CZ289" s="155"/>
      <c r="DA289" s="155"/>
      <c r="DB289" s="155"/>
      <c r="DC289" s="155"/>
      <c r="DD289" s="155"/>
      <c r="DE289" s="155"/>
      <c r="DF289" s="155"/>
      <c r="DG289" s="155"/>
      <c r="DH289" s="155"/>
      <c r="DI289" s="155"/>
      <c r="DJ289" s="155"/>
      <c r="DK289" s="155"/>
      <c r="DL289" s="155"/>
      <c r="DM289" s="155"/>
      <c r="DN289" s="155"/>
      <c r="DO289" s="155"/>
      <c r="DP289" s="155"/>
      <c r="DQ289" s="155"/>
      <c r="DR289" s="155"/>
      <c r="DS289" s="155"/>
      <c r="DT289" s="155"/>
      <c r="DU289" s="155"/>
      <c r="DV289" s="155"/>
      <c r="DW289" s="155"/>
      <c r="DX289" s="155"/>
      <c r="DY289" s="155"/>
      <c r="DZ289" s="155"/>
      <c r="EA289" s="155"/>
      <c r="EB289" s="155"/>
      <c r="EC289" s="155"/>
      <c r="ED289" s="155"/>
      <c r="EE289" s="155"/>
      <c r="EF289" s="155"/>
      <c r="EG289" s="155"/>
      <c r="EH289" s="155"/>
      <c r="EI289" s="155"/>
      <c r="EJ289" s="155"/>
      <c r="EK289" s="155"/>
      <c r="EL289" s="155"/>
      <c r="EM289" s="155"/>
      <c r="EN289" s="155"/>
      <c r="EO289" s="155"/>
      <c r="EP289" s="155"/>
      <c r="EQ289" s="155"/>
      <c r="ER289" s="155"/>
      <c r="ES289" s="155"/>
      <c r="ET289" s="155"/>
      <c r="EU289" s="155"/>
      <c r="EV289" s="155"/>
      <c r="EW289" s="155"/>
      <c r="EX289" s="155"/>
      <c r="EY289" s="155"/>
      <c r="EZ289" s="155"/>
      <c r="FA289" s="155"/>
      <c r="FB289" s="155"/>
      <c r="FC289" s="155"/>
      <c r="FD289" s="155"/>
      <c r="FE289" s="155"/>
      <c r="FF289" s="155"/>
      <c r="FG289" s="155"/>
      <c r="FH289" s="155"/>
      <c r="FI289" s="155"/>
      <c r="FJ289" s="155"/>
      <c r="FK289" s="155"/>
      <c r="FL289" s="155"/>
      <c r="FM289" s="155"/>
      <c r="FN289" s="155"/>
      <c r="FO289" s="155"/>
      <c r="FP289" s="155"/>
      <c r="FQ289" s="155"/>
      <c r="FR289" s="155"/>
      <c r="FS289" s="155"/>
      <c r="FT289" s="155"/>
      <c r="FU289" s="155"/>
      <c r="FV289" s="155"/>
      <c r="FW289" s="155"/>
      <c r="FX289" s="155"/>
      <c r="FY289" s="155"/>
      <c r="FZ289" s="155"/>
      <c r="GA289" s="155"/>
      <c r="GB289" s="155"/>
      <c r="GC289" s="155"/>
      <c r="GD289" s="155"/>
      <c r="GE289" s="155"/>
      <c r="GF289" s="155"/>
      <c r="GG289" s="155"/>
      <c r="GH289" s="155"/>
      <c r="GI289" s="155"/>
      <c r="GJ289" s="155"/>
      <c r="GK289" s="155"/>
      <c r="GL289" s="155"/>
      <c r="GM289" s="155"/>
      <c r="GN289" s="155"/>
      <c r="GO289" s="155"/>
      <c r="GP289" s="155"/>
      <c r="GQ289" s="155"/>
      <c r="GR289" s="155"/>
      <c r="GS289" s="155"/>
      <c r="GT289" s="155"/>
      <c r="GU289" s="155"/>
      <c r="GV289" s="155"/>
      <c r="GW289" s="155"/>
      <c r="GX289" s="155"/>
      <c r="GY289" s="155"/>
      <c r="GZ289" s="155"/>
      <c r="HA289" s="155"/>
      <c r="HB289" s="155"/>
      <c r="HC289" s="155"/>
      <c r="HD289" s="155"/>
      <c r="HE289" s="155"/>
      <c r="HF289" s="155"/>
      <c r="HG289" s="155"/>
      <c r="HH289" s="155"/>
      <c r="HI289" s="155"/>
      <c r="HJ289" s="155"/>
      <c r="HK289" s="155"/>
      <c r="HL289" s="155"/>
      <c r="HM289" s="155"/>
      <c r="HN289" s="155"/>
      <c r="HO289" s="155"/>
      <c r="HP289" s="155"/>
      <c r="HQ289" s="155"/>
      <c r="HR289" s="155"/>
      <c r="HS289" s="155"/>
      <c r="HT289" s="155"/>
      <c r="HU289" s="155"/>
      <c r="HV289" s="155"/>
      <c r="HW289" s="155"/>
      <c r="HX289" s="155"/>
      <c r="HY289" s="155"/>
      <c r="HZ289" s="155"/>
      <c r="IA289" s="155"/>
      <c r="IB289" s="155"/>
      <c r="IC289" s="155"/>
      <c r="ID289" s="155"/>
      <c r="IE289" s="155"/>
      <c r="IF289" s="155"/>
      <c r="IG289" s="155"/>
      <c r="IH289" s="155"/>
      <c r="II289" s="155"/>
      <c r="IJ289" s="155"/>
      <c r="IK289" s="155"/>
      <c r="IL289" s="155"/>
      <c r="IM289" s="155"/>
      <c r="IN289" s="155"/>
      <c r="IO289" s="155"/>
      <c r="IP289" s="155"/>
      <c r="IQ289" s="155"/>
      <c r="IR289" s="155"/>
      <c r="IS289" s="155"/>
      <c r="IT289" s="155"/>
    </row>
    <row r="290" spans="1:254" s="209" customFormat="1" ht="12.75">
      <c r="A290" s="324" t="s">
        <v>318</v>
      </c>
      <c r="B290" s="325">
        <f aca="true" t="shared" si="100" ref="B290:AG290">B268-B279</f>
        <v>1890.1599999999962</v>
      </c>
      <c r="C290" s="325">
        <f t="shared" si="100"/>
        <v>1274.2887999999948</v>
      </c>
      <c r="D290" s="325">
        <f t="shared" si="100"/>
        <v>7278.779700000006</v>
      </c>
      <c r="E290" s="325">
        <f t="shared" si="100"/>
        <v>36598.37379052233</v>
      </c>
      <c r="F290" s="636">
        <f t="shared" si="100"/>
        <v>37239.318690522334</v>
      </c>
      <c r="G290" s="325">
        <f t="shared" si="100"/>
        <v>37154.00099052233</v>
      </c>
      <c r="H290" s="325">
        <f t="shared" si="100"/>
        <v>37256.57579052234</v>
      </c>
      <c r="I290" s="325">
        <f t="shared" si="100"/>
        <v>37600.688090522344</v>
      </c>
      <c r="J290" s="325">
        <f t="shared" si="100"/>
        <v>37622.66039052233</v>
      </c>
      <c r="K290" s="325">
        <f t="shared" si="100"/>
        <v>37725.23519052233</v>
      </c>
      <c r="L290" s="325">
        <f t="shared" si="100"/>
        <v>38096.12499052233</v>
      </c>
      <c r="M290" s="325">
        <f t="shared" si="100"/>
        <v>38359.72479052234</v>
      </c>
      <c r="N290" s="325">
        <f t="shared" si="100"/>
        <v>38703.83709052233</v>
      </c>
      <c r="O290" s="325">
        <f t="shared" si="100"/>
        <v>37597.118477261625</v>
      </c>
      <c r="P290" s="325">
        <f t="shared" si="100"/>
        <v>37667.301277261635</v>
      </c>
      <c r="Q290" s="325">
        <f t="shared" si="100"/>
        <v>37898.50907726163</v>
      </c>
      <c r="R290" s="325">
        <f t="shared" si="100"/>
        <v>38183.40687726162</v>
      </c>
      <c r="S290" s="325">
        <f t="shared" si="100"/>
        <v>38897.68967726164</v>
      </c>
      <c r="T290" s="325">
        <f t="shared" si="100"/>
        <v>35864.92682024195</v>
      </c>
      <c r="U290" s="325">
        <f t="shared" si="100"/>
        <v>35639.83712024195</v>
      </c>
      <c r="V290" s="325">
        <f t="shared" si="100"/>
        <v>35747.90952024195</v>
      </c>
      <c r="W290" s="325">
        <f t="shared" si="100"/>
        <v>35507.01942024195</v>
      </c>
      <c r="X290" s="325">
        <f t="shared" si="100"/>
        <v>35266.129320241955</v>
      </c>
      <c r="Y290" s="325">
        <f t="shared" si="100"/>
        <v>35105.751720241955</v>
      </c>
      <c r="Z290" s="325">
        <f t="shared" si="100"/>
        <v>34864.86162024196</v>
      </c>
      <c r="AA290" s="325">
        <f t="shared" si="100"/>
        <v>34650.794020241956</v>
      </c>
      <c r="AB290" s="325">
        <f t="shared" si="100"/>
        <v>34731.953920241955</v>
      </c>
      <c r="AC290" s="325">
        <f t="shared" si="100"/>
        <v>34571.57632024196</v>
      </c>
      <c r="AD290" s="325">
        <f t="shared" si="100"/>
        <v>34008.63622024197</v>
      </c>
      <c r="AE290" s="325">
        <f t="shared" si="100"/>
        <v>34170.30862024195</v>
      </c>
      <c r="AF290" s="325">
        <f t="shared" si="100"/>
        <v>34538.05102024196</v>
      </c>
      <c r="AG290" s="325">
        <f t="shared" si="100"/>
        <v>34506.35142024194</v>
      </c>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c r="CO290" s="208"/>
      <c r="CP290" s="208"/>
      <c r="CQ290" s="208"/>
      <c r="CR290" s="208"/>
      <c r="CS290" s="208"/>
      <c r="CT290" s="208"/>
      <c r="CU290" s="208"/>
      <c r="CV290" s="208"/>
      <c r="CW290" s="208"/>
      <c r="CX290" s="208"/>
      <c r="CY290" s="208"/>
      <c r="CZ290" s="208"/>
      <c r="DA290" s="208"/>
      <c r="DB290" s="208"/>
      <c r="DC290" s="208"/>
      <c r="DD290" s="208"/>
      <c r="DE290" s="208"/>
      <c r="DF290" s="208"/>
      <c r="DG290" s="208"/>
      <c r="DH290" s="208"/>
      <c r="DI290" s="208"/>
      <c r="DJ290" s="208"/>
      <c r="DK290" s="208"/>
      <c r="DL290" s="208"/>
      <c r="DM290" s="208"/>
      <c r="DN290" s="208"/>
      <c r="DO290" s="208"/>
      <c r="DP290" s="208"/>
      <c r="DQ290" s="208"/>
      <c r="DR290" s="208"/>
      <c r="DS290" s="208"/>
      <c r="DT290" s="208"/>
      <c r="DU290" s="208"/>
      <c r="DV290" s="208"/>
      <c r="DW290" s="208"/>
      <c r="DX290" s="208"/>
      <c r="DY290" s="208"/>
      <c r="DZ290" s="208"/>
      <c r="EA290" s="208"/>
      <c r="EB290" s="208"/>
      <c r="EC290" s="208"/>
      <c r="ED290" s="208"/>
      <c r="EE290" s="208"/>
      <c r="EF290" s="208"/>
      <c r="EG290" s="208"/>
      <c r="EH290" s="208"/>
      <c r="EI290" s="208"/>
      <c r="EJ290" s="208"/>
      <c r="EK290" s="208"/>
      <c r="EL290" s="208"/>
      <c r="EM290" s="208"/>
      <c r="EN290" s="208"/>
      <c r="EO290" s="208"/>
      <c r="EP290" s="208"/>
      <c r="EQ290" s="208"/>
      <c r="ER290" s="208"/>
      <c r="ES290" s="208"/>
      <c r="ET290" s="208"/>
      <c r="EU290" s="208"/>
      <c r="EV290" s="208"/>
      <c r="EW290" s="208"/>
      <c r="EX290" s="208"/>
      <c r="EY290" s="208"/>
      <c r="EZ290" s="208"/>
      <c r="FA290" s="208"/>
      <c r="FB290" s="208"/>
      <c r="FC290" s="208"/>
      <c r="FD290" s="208"/>
      <c r="FE290" s="208"/>
      <c r="FF290" s="208"/>
      <c r="FG290" s="208"/>
      <c r="FH290" s="208"/>
      <c r="FI290" s="208"/>
      <c r="FJ290" s="208"/>
      <c r="FK290" s="208"/>
      <c r="FL290" s="208"/>
      <c r="FM290" s="208"/>
      <c r="FN290" s="208"/>
      <c r="FO290" s="208"/>
      <c r="FP290" s="208"/>
      <c r="FQ290" s="208"/>
      <c r="FR290" s="208"/>
      <c r="FS290" s="208"/>
      <c r="FT290" s="208"/>
      <c r="FU290" s="208"/>
      <c r="FV290" s="208"/>
      <c r="FW290" s="208"/>
      <c r="FX290" s="208"/>
      <c r="FY290" s="208"/>
      <c r="FZ290" s="208"/>
      <c r="GA290" s="208"/>
      <c r="GB290" s="208"/>
      <c r="GC290" s="208"/>
      <c r="GD290" s="208"/>
      <c r="GE290" s="208"/>
      <c r="GF290" s="208"/>
      <c r="GG290" s="208"/>
      <c r="GH290" s="208"/>
      <c r="GI290" s="208"/>
      <c r="GJ290" s="208"/>
      <c r="GK290" s="208"/>
      <c r="GL290" s="208"/>
      <c r="GM290" s="208"/>
      <c r="GN290" s="208"/>
      <c r="GO290" s="208"/>
      <c r="GP290" s="208"/>
      <c r="GQ290" s="208"/>
      <c r="GR290" s="208"/>
      <c r="GS290" s="208"/>
      <c r="GT290" s="208"/>
      <c r="GU290" s="208"/>
      <c r="GV290" s="208"/>
      <c r="GW290" s="208"/>
      <c r="GX290" s="208"/>
      <c r="GY290" s="208"/>
      <c r="GZ290" s="208"/>
      <c r="HA290" s="208"/>
      <c r="HB290" s="208"/>
      <c r="HC290" s="208"/>
      <c r="HD290" s="208"/>
      <c r="HE290" s="208"/>
      <c r="HF290" s="208"/>
      <c r="HG290" s="208"/>
      <c r="HH290" s="208"/>
      <c r="HI290" s="208"/>
      <c r="HJ290" s="208"/>
      <c r="HK290" s="208"/>
      <c r="HL290" s="208"/>
      <c r="HM290" s="208"/>
      <c r="HN290" s="208"/>
      <c r="HO290" s="208"/>
      <c r="HP290" s="208"/>
      <c r="HQ290" s="208"/>
      <c r="HR290" s="208"/>
      <c r="HS290" s="208"/>
      <c r="HT290" s="208"/>
      <c r="HU290" s="208"/>
      <c r="HV290" s="208"/>
      <c r="HW290" s="208"/>
      <c r="HX290" s="208"/>
      <c r="HY290" s="208"/>
      <c r="HZ290" s="208"/>
      <c r="IA290" s="208"/>
      <c r="IB290" s="208"/>
      <c r="IC290" s="208"/>
      <c r="ID290" s="208"/>
      <c r="IE290" s="208"/>
      <c r="IF290" s="208"/>
      <c r="IG290" s="208"/>
      <c r="IH290" s="208"/>
      <c r="II290" s="208"/>
      <c r="IJ290" s="208"/>
      <c r="IK290" s="208"/>
      <c r="IL290" s="208"/>
      <c r="IM290" s="208"/>
      <c r="IN290" s="208"/>
      <c r="IO290" s="208"/>
      <c r="IP290" s="208"/>
      <c r="IQ290" s="208"/>
      <c r="IR290" s="208"/>
      <c r="IS290" s="208"/>
      <c r="IT290" s="208"/>
    </row>
    <row r="291" spans="1:254" ht="12.75">
      <c r="A291" s="114" t="s">
        <v>319</v>
      </c>
      <c r="B291" s="116">
        <f>Aprekini!B252+Aprekini!B260</f>
        <v>0</v>
      </c>
      <c r="C291" s="116">
        <f>Aprekini!C252+Aprekini!C260</f>
        <v>0</v>
      </c>
      <c r="D291" s="116">
        <f>Aprekini!D252+Aprekini!D260</f>
        <v>3622.8561682988006</v>
      </c>
      <c r="E291" s="116">
        <f>Aprekini!E252+Aprekini!E260</f>
        <v>19471.347126</v>
      </c>
      <c r="F291" s="635">
        <f>Aprekini!F252+Aprekini!F260</f>
        <v>19471.347126</v>
      </c>
      <c r="G291" s="116">
        <f>Aprekini!G252+Aprekini!G260</f>
        <v>18692.49324096</v>
      </c>
      <c r="H291" s="116">
        <f>Aprekini!H252+Aprekini!H260</f>
        <v>17913.63935592</v>
      </c>
      <c r="I291" s="116">
        <f>Aprekini!I252+Aprekini!I260</f>
        <v>17134.78547088</v>
      </c>
      <c r="J291" s="116">
        <f>Aprekini!J252+Aprekini!J260</f>
        <v>16355.931585839999</v>
      </c>
      <c r="K291" s="116">
        <f>Aprekini!K252+Aprekini!K260</f>
        <v>15577.077700799999</v>
      </c>
      <c r="L291" s="116">
        <f>Aprekini!L252+Aprekini!L260</f>
        <v>14798.223815759997</v>
      </c>
      <c r="M291" s="116">
        <f>Aprekini!M252+Aprekini!M260</f>
        <v>14019.369930719997</v>
      </c>
      <c r="N291" s="116">
        <f>Aprekini!N252+Aprekini!N260</f>
        <v>13240.516045679997</v>
      </c>
      <c r="O291" s="116">
        <f>Aprekini!O252+Aprekini!O260</f>
        <v>12461.662160639995</v>
      </c>
      <c r="P291" s="116">
        <f>Aprekini!P252+Aprekini!P260</f>
        <v>11682.808275599995</v>
      </c>
      <c r="Q291" s="116">
        <f>Aprekini!Q252+Aprekini!Q260</f>
        <v>10903.954390559995</v>
      </c>
      <c r="R291" s="116">
        <f>Aprekini!R252+Aprekini!R260</f>
        <v>10125.100505519993</v>
      </c>
      <c r="S291" s="116">
        <f>Aprekini!S252+Aprekini!S260</f>
        <v>9346.246620479993</v>
      </c>
      <c r="T291" s="116">
        <f>Aprekini!T252+Aprekini!T260</f>
        <v>8567.392735439993</v>
      </c>
      <c r="U291" s="116">
        <f>Aprekini!U252+Aprekini!U260</f>
        <v>7788.538850399992</v>
      </c>
      <c r="V291" s="116">
        <f>Aprekini!V252+Aprekini!V260</f>
        <v>7009.684965359992</v>
      </c>
      <c r="W291" s="116">
        <f>Aprekini!W252+Aprekini!W260</f>
        <v>6230.831080319991</v>
      </c>
      <c r="X291" s="116">
        <f>Aprekini!X252+Aprekini!X260</f>
        <v>5451.977195279991</v>
      </c>
      <c r="Y291" s="116">
        <f>Aprekini!Y252+Aprekini!Y260</f>
        <v>4673.123310239991</v>
      </c>
      <c r="Z291" s="116">
        <f>Aprekini!Z252+Aprekini!Z260</f>
        <v>3894.2694251999915</v>
      </c>
      <c r="AA291" s="116">
        <f>Aprekini!AA252+Aprekini!AA260</f>
        <v>3115.4155401599915</v>
      </c>
      <c r="AB291" s="116">
        <f>Aprekini!AB252+Aprekini!AB260</f>
        <v>2336.5616551199914</v>
      </c>
      <c r="AC291" s="116">
        <f>Aprekini!AC252+Aprekini!AC260</f>
        <v>1557.7077700799916</v>
      </c>
      <c r="AD291" s="116">
        <f>Aprekini!AD252+Aprekini!AD260</f>
        <v>778.8538850399916</v>
      </c>
      <c r="AE291" s="116">
        <f>Aprekini!AE252+Aprekini!AE260</f>
        <v>-8.443748811259866E-12</v>
      </c>
      <c r="AF291" s="116">
        <f>Aprekini!AF252+Aprekini!AF260</f>
        <v>-8.443748811259866E-12</v>
      </c>
      <c r="AG291" s="116">
        <f>Aprekini!AG252+Aprekini!AG260</f>
        <v>-8.443748811259866E-12</v>
      </c>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row>
    <row r="292" spans="1:254" s="209" customFormat="1" ht="12.75">
      <c r="A292" s="206" t="s">
        <v>320</v>
      </c>
      <c r="B292" s="207">
        <f>Aprekini!B79+Aprekini!B85+Aprekini!B91+Aprekini!B19+Aprekini!B20+Aprekini!B21+Aprekini!B22+Aprekini!B24+Aprekini!B25+Aprekini!B26+Aprekini!B27</f>
        <v>3600</v>
      </c>
      <c r="C292" s="207">
        <f>Aprekini!C79+Aprekini!C85+Aprekini!C91+Aprekini!C19+Aprekini!C20+Aprekini!C21+Aprekini!C22+Aprekini!C24+Aprekini!C25+Aprekini!C26+Aprekini!C27</f>
        <v>3600</v>
      </c>
      <c r="D292" s="207">
        <f>Aprekini!D79+Aprekini!D85+Aprekini!D91+Aprekini!D19+Aprekini!D20+Aprekini!D21+Aprekini!D22+Aprekini!D24+Aprekini!D25+Aprekini!D26+Aprekini!D27</f>
        <v>3600</v>
      </c>
      <c r="E292" s="207">
        <f>Aprekini!E79+Aprekini!E85+Aprekini!E91+Aprekini!E19+Aprekini!E20+Aprekini!E21+Aprekini!E22+Aprekini!E24+Aprekini!E25+Aprekini!E26+Aprekini!E27</f>
        <v>25610.8</v>
      </c>
      <c r="F292" s="635">
        <f>Aprekini!F79+Aprekini!F85+Aprekini!F91+Aprekini!F19+Aprekini!F20+Aprekini!F21+Aprekini!F22+Aprekini!F24+Aprekini!F25+Aprekini!F26+Aprekini!F27</f>
        <v>25610.8</v>
      </c>
      <c r="G292" s="207">
        <f>Aprekini!G79+Aprekini!G85+Aprekini!G91+Aprekini!G19+Aprekini!G20+Aprekini!G21+Aprekini!G22+Aprekini!G24+Aprekini!G25+Aprekini!G26+Aprekini!G27</f>
        <v>25610.8</v>
      </c>
      <c r="H292" s="207">
        <f>Aprekini!H79+Aprekini!H85+Aprekini!H91+Aprekini!H19+Aprekini!H20+Aprekini!H21+Aprekini!H22+Aprekini!H24+Aprekini!H25+Aprekini!H26+Aprekini!H27</f>
        <v>25610.8</v>
      </c>
      <c r="I292" s="207">
        <f>Aprekini!I79+Aprekini!I85+Aprekini!I91+Aprekini!I19+Aprekini!I20+Aprekini!I21+Aprekini!I22+Aprekini!I24+Aprekini!I25+Aprekini!I26+Aprekini!I27</f>
        <v>25610.8</v>
      </c>
      <c r="J292" s="207">
        <f>Aprekini!J79+Aprekini!J85+Aprekini!J91+Aprekini!J19+Aprekini!J20+Aprekini!J21+Aprekini!J22+Aprekini!J24+Aprekini!J25+Aprekini!J26+Aprekini!J27</f>
        <v>25260.8</v>
      </c>
      <c r="K292" s="207">
        <f>Aprekini!K79+Aprekini!K85+Aprekini!K91+Aprekini!K19+Aprekini!K20+Aprekini!K21+Aprekini!K22+Aprekini!K24+Aprekini!K25+Aprekini!K26+Aprekini!K27</f>
        <v>25010.8</v>
      </c>
      <c r="L292" s="207">
        <f>Aprekini!L79+Aprekini!L85+Aprekini!L91+Aprekini!L19+Aprekini!L20+Aprekini!L21+Aprekini!L22+Aprekini!L24+Aprekini!L25+Aprekini!L26+Aprekini!L27</f>
        <v>23510.8</v>
      </c>
      <c r="M292" s="207">
        <f>Aprekini!M79+Aprekini!M85+Aprekini!M91+Aprekini!M19+Aprekini!M20+Aprekini!M21+Aprekini!M22+Aprekini!M24+Aprekini!M25+Aprekini!M26+Aprekini!M27</f>
        <v>23510.8</v>
      </c>
      <c r="N292" s="207">
        <f>Aprekini!N79+Aprekini!N85+Aprekini!N91+Aprekini!N19+Aprekini!N20+Aprekini!N21+Aprekini!N22+Aprekini!N24+Aprekini!N25+Aprekini!N26+Aprekini!N27</f>
        <v>23510.8</v>
      </c>
      <c r="O292" s="207">
        <f>Aprekini!O79+Aprekini!O85+Aprekini!O91+Aprekini!O19+Aprekini!O20+Aprekini!O21+Aprekini!O22+Aprekini!O24+Aprekini!O25+Aprekini!O26+Aprekini!O27</f>
        <v>21269.6</v>
      </c>
      <c r="P292" s="207">
        <f>Aprekini!P79+Aprekini!P85+Aprekini!P91+Aprekini!P19+Aprekini!P20+Aprekini!P21+Aprekini!P22+Aprekini!P24+Aprekini!P25+Aprekini!P26+Aprekini!P27</f>
        <v>21269.6</v>
      </c>
      <c r="Q292" s="207">
        <f>Aprekini!Q79+Aprekini!Q85+Aprekini!Q91+Aprekini!Q19+Aprekini!Q20+Aprekini!Q21+Aprekini!Q22+Aprekini!Q24+Aprekini!Q25+Aprekini!Q26+Aprekini!Q27</f>
        <v>21269.6</v>
      </c>
      <c r="R292" s="207">
        <f>Aprekini!R79+Aprekini!R85+Aprekini!R91+Aprekini!R19+Aprekini!R20+Aprekini!R21+Aprekini!R22+Aprekini!R24+Aprekini!R25+Aprekini!R26+Aprekini!R27</f>
        <v>20769.6</v>
      </c>
      <c r="S292" s="207">
        <f>Aprekini!S79+Aprekini!S85+Aprekini!S91+Aprekini!S19+Aprekini!S20+Aprekini!S21+Aprekini!S22+Aprekini!S24+Aprekini!S25+Aprekini!S26+Aprekini!S27</f>
        <v>19769.6</v>
      </c>
      <c r="T292" s="207">
        <f>Aprekini!T79+Aprekini!T85+Aprekini!T91+Aprekini!T19+Aprekini!T20+Aprekini!T21+Aprekini!T22+Aprekini!T24+Aprekini!T25+Aprekini!T26+Aprekini!T27</f>
        <v>11405.6</v>
      </c>
      <c r="U292" s="207">
        <f>Aprekini!U79+Aprekini!U85+Aprekini!U91+Aprekini!U19+Aprekini!U20+Aprekini!U21+Aprekini!U22+Aprekini!U24+Aprekini!U25+Aprekini!U26+Aprekini!U27</f>
        <v>11405.6</v>
      </c>
      <c r="V292" s="207">
        <f>Aprekini!V79+Aprekini!V85+Aprekini!V91+Aprekini!V19+Aprekini!V20+Aprekini!V21+Aprekini!V22+Aprekini!V24+Aprekini!V25+Aprekini!V26+Aprekini!V27</f>
        <v>11405.6</v>
      </c>
      <c r="W292" s="207">
        <f>Aprekini!W79+Aprekini!W85+Aprekini!W91+Aprekini!W19+Aprekini!W20+Aprekini!W21+Aprekini!W22+Aprekini!W24+Aprekini!W25+Aprekini!W26+Aprekini!W27</f>
        <v>11405.6</v>
      </c>
      <c r="X292" s="207">
        <f>Aprekini!X79+Aprekini!X85+Aprekini!X91+Aprekini!X19+Aprekini!X20+Aprekini!X21+Aprekini!X22+Aprekini!X24+Aprekini!X25+Aprekini!X26+Aprekini!X27</f>
        <v>11405.6</v>
      </c>
      <c r="Y292" s="207">
        <f>Aprekini!Y79+Aprekini!Y85+Aprekini!Y91+Aprekini!Y19+Aprekini!Y20+Aprekini!Y21+Aprekini!Y22+Aprekini!Y24+Aprekini!Y25+Aprekini!Y26+Aprekini!Y27</f>
        <v>11405.6</v>
      </c>
      <c r="Z292" s="207">
        <f>Aprekini!Z79+Aprekini!Z85+Aprekini!Z91+Aprekini!Z19+Aprekini!Z20+Aprekini!Z21+Aprekini!Z22+Aprekini!Z24+Aprekini!Z25+Aprekini!Z26+Aprekini!Z27</f>
        <v>11405.6</v>
      </c>
      <c r="AA292" s="207">
        <f>Aprekini!AA79+Aprekini!AA85+Aprekini!AA91+Aprekini!AA19+Aprekini!AA20+Aprekini!AA21+Aprekini!AA22+Aprekini!AA24+Aprekini!AA25+Aprekini!AA26+Aprekini!AA27</f>
        <v>11405.6</v>
      </c>
      <c r="AB292" s="207">
        <f>Aprekini!AB79+Aprekini!AB85+Aprekini!AB91+Aprekini!AB19+Aprekini!AB20+Aprekini!AB21+Aprekini!AB22+Aprekini!AB24+Aprekini!AB25+Aprekini!AB26+Aprekini!AB27</f>
        <v>11405.6</v>
      </c>
      <c r="AC292" s="207">
        <f>Aprekini!AC79+Aprekini!AC85+Aprekini!AC91+Aprekini!AC19+Aprekini!AC20+Aprekini!AC21+Aprekini!AC22+Aprekini!AC24+Aprekini!AC25+Aprekini!AC26+Aprekini!AC27</f>
        <v>11405.6</v>
      </c>
      <c r="AD292" s="207">
        <f>Aprekini!AD79+Aprekini!AD85+Aprekini!AD91+Aprekini!AD19+Aprekini!AD20+Aprekini!AD21+Aprekini!AD22+Aprekini!AD24+Aprekini!AD25+Aprekini!AD26+Aprekini!AD27</f>
        <v>11405.6</v>
      </c>
      <c r="AE292" s="207">
        <f>Aprekini!AE79+Aprekini!AE85+Aprekini!AE91+Aprekini!AE19+Aprekini!AE20+Aprekini!AE21+Aprekini!AE22+Aprekini!AE24+Aprekini!AE25+Aprekini!AE26+Aprekini!AE27</f>
        <v>11405.6</v>
      </c>
      <c r="AF292" s="207">
        <f>Aprekini!AF79+Aprekini!AF85+Aprekini!AF91+Aprekini!AF19+Aprekini!AF20+Aprekini!AF21+Aprekini!AF22+Aprekini!AF24+Aprekini!AF25+Aprekini!AF26+Aprekini!AF27</f>
        <v>11405.6</v>
      </c>
      <c r="AG292" s="207">
        <f>Aprekini!AG79+Aprekini!AG85+Aprekini!AG91+Aprekini!AG19+Aprekini!AG20+Aprekini!AG21+Aprekini!AG22+Aprekini!AG24+Aprekini!AG25+Aprekini!AG26+Aprekini!AG27</f>
        <v>11405.6</v>
      </c>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c r="BL292" s="208"/>
      <c r="BM292" s="208"/>
      <c r="BN292" s="208"/>
      <c r="BO292" s="208"/>
      <c r="BP292" s="208"/>
      <c r="BQ292" s="208"/>
      <c r="BR292" s="208"/>
      <c r="BS292" s="208"/>
      <c r="BT292" s="208"/>
      <c r="BU292" s="208"/>
      <c r="BV292" s="208"/>
      <c r="BW292" s="208"/>
      <c r="BX292" s="208"/>
      <c r="BY292" s="208"/>
      <c r="BZ292" s="208"/>
      <c r="CA292" s="208"/>
      <c r="CB292" s="208"/>
      <c r="CC292" s="208"/>
      <c r="CD292" s="208"/>
      <c r="CE292" s="208"/>
      <c r="CF292" s="208"/>
      <c r="CG292" s="208"/>
      <c r="CH292" s="208"/>
      <c r="CI292" s="208"/>
      <c r="CJ292" s="208"/>
      <c r="CK292" s="208"/>
      <c r="CL292" s="208"/>
      <c r="CM292" s="208"/>
      <c r="CN292" s="208"/>
      <c r="CO292" s="208"/>
      <c r="CP292" s="208"/>
      <c r="CQ292" s="208"/>
      <c r="CR292" s="208"/>
      <c r="CS292" s="208"/>
      <c r="CT292" s="208"/>
      <c r="CU292" s="208"/>
      <c r="CV292" s="208"/>
      <c r="CW292" s="208"/>
      <c r="CX292" s="208"/>
      <c r="CY292" s="208"/>
      <c r="CZ292" s="208"/>
      <c r="DA292" s="208"/>
      <c r="DB292" s="208"/>
      <c r="DC292" s="208"/>
      <c r="DD292" s="208"/>
      <c r="DE292" s="208"/>
      <c r="DF292" s="208"/>
      <c r="DG292" s="208"/>
      <c r="DH292" s="208"/>
      <c r="DI292" s="208"/>
      <c r="DJ292" s="208"/>
      <c r="DK292" s="208"/>
      <c r="DL292" s="208"/>
      <c r="DM292" s="208"/>
      <c r="DN292" s="208"/>
      <c r="DO292" s="208"/>
      <c r="DP292" s="208"/>
      <c r="DQ292" s="208"/>
      <c r="DR292" s="208"/>
      <c r="DS292" s="208"/>
      <c r="DT292" s="208"/>
      <c r="DU292" s="208"/>
      <c r="DV292" s="208"/>
      <c r="DW292" s="208"/>
      <c r="DX292" s="208"/>
      <c r="DY292" s="208"/>
      <c r="DZ292" s="208"/>
      <c r="EA292" s="208"/>
      <c r="EB292" s="208"/>
      <c r="EC292" s="208"/>
      <c r="ED292" s="208"/>
      <c r="EE292" s="208"/>
      <c r="EF292" s="208"/>
      <c r="EG292" s="208"/>
      <c r="EH292" s="208"/>
      <c r="EI292" s="208"/>
      <c r="EJ292" s="208"/>
      <c r="EK292" s="208"/>
      <c r="EL292" s="208"/>
      <c r="EM292" s="208"/>
      <c r="EN292" s="208"/>
      <c r="EO292" s="208"/>
      <c r="EP292" s="208"/>
      <c r="EQ292" s="208"/>
      <c r="ER292" s="208"/>
      <c r="ES292" s="208"/>
      <c r="ET292" s="208"/>
      <c r="EU292" s="208"/>
      <c r="EV292" s="208"/>
      <c r="EW292" s="208"/>
      <c r="EX292" s="208"/>
      <c r="EY292" s="208"/>
      <c r="EZ292" s="208"/>
      <c r="FA292" s="208"/>
      <c r="FB292" s="208"/>
      <c r="FC292" s="208"/>
      <c r="FD292" s="208"/>
      <c r="FE292" s="208"/>
      <c r="FF292" s="208"/>
      <c r="FG292" s="208"/>
      <c r="FH292" s="208"/>
      <c r="FI292" s="208"/>
      <c r="FJ292" s="208"/>
      <c r="FK292" s="208"/>
      <c r="FL292" s="208"/>
      <c r="FM292" s="208"/>
      <c r="FN292" s="208"/>
      <c r="FO292" s="208"/>
      <c r="FP292" s="208"/>
      <c r="FQ292" s="208"/>
      <c r="FR292" s="208"/>
      <c r="FS292" s="208"/>
      <c r="FT292" s="208"/>
      <c r="FU292" s="208"/>
      <c r="FV292" s="208"/>
      <c r="FW292" s="208"/>
      <c r="FX292" s="208"/>
      <c r="FY292" s="208"/>
      <c r="FZ292" s="208"/>
      <c r="GA292" s="208"/>
      <c r="GB292" s="208"/>
      <c r="GC292" s="208"/>
      <c r="GD292" s="208"/>
      <c r="GE292" s="208"/>
      <c r="GF292" s="208"/>
      <c r="GG292" s="208"/>
      <c r="GH292" s="208"/>
      <c r="GI292" s="208"/>
      <c r="GJ292" s="208"/>
      <c r="GK292" s="208"/>
      <c r="GL292" s="208"/>
      <c r="GM292" s="208"/>
      <c r="GN292" s="208"/>
      <c r="GO292" s="208"/>
      <c r="GP292" s="208"/>
      <c r="GQ292" s="208"/>
      <c r="GR292" s="208"/>
      <c r="GS292" s="208"/>
      <c r="GT292" s="208"/>
      <c r="GU292" s="208"/>
      <c r="GV292" s="208"/>
      <c r="GW292" s="208"/>
      <c r="GX292" s="208"/>
      <c r="GY292" s="208"/>
      <c r="GZ292" s="208"/>
      <c r="HA292" s="208"/>
      <c r="HB292" s="208"/>
      <c r="HC292" s="208"/>
      <c r="HD292" s="208"/>
      <c r="HE292" s="208"/>
      <c r="HF292" s="208"/>
      <c r="HG292" s="208"/>
      <c r="HH292" s="208"/>
      <c r="HI292" s="208"/>
      <c r="HJ292" s="208"/>
      <c r="HK292" s="208"/>
      <c r="HL292" s="208"/>
      <c r="HM292" s="208"/>
      <c r="HN292" s="208"/>
      <c r="HO292" s="208"/>
      <c r="HP292" s="208"/>
      <c r="HQ292" s="208"/>
      <c r="HR292" s="208"/>
      <c r="HS292" s="208"/>
      <c r="HT292" s="208"/>
      <c r="HU292" s="208"/>
      <c r="HV292" s="208"/>
      <c r="HW292" s="208"/>
      <c r="HX292" s="208"/>
      <c r="HY292" s="208"/>
      <c r="HZ292" s="208"/>
      <c r="IA292" s="208"/>
      <c r="IB292" s="208"/>
      <c r="IC292" s="208"/>
      <c r="ID292" s="208"/>
      <c r="IE292" s="208"/>
      <c r="IF292" s="208"/>
      <c r="IG292" s="208"/>
      <c r="IH292" s="208"/>
      <c r="II292" s="208"/>
      <c r="IJ292" s="208"/>
      <c r="IK292" s="208"/>
      <c r="IL292" s="208"/>
      <c r="IM292" s="208"/>
      <c r="IN292" s="208"/>
      <c r="IO292" s="208"/>
      <c r="IP292" s="208"/>
      <c r="IQ292" s="208"/>
      <c r="IR292" s="208"/>
      <c r="IS292" s="208"/>
      <c r="IT292" s="208"/>
    </row>
    <row r="293" spans="1:254" ht="12.75">
      <c r="A293" s="117" t="s">
        <v>321</v>
      </c>
      <c r="B293" s="94">
        <f aca="true" t="shared" si="101" ref="B293:AG293">B290-B291-B292</f>
        <v>-1709.8400000000038</v>
      </c>
      <c r="C293" s="94">
        <f t="shared" si="101"/>
        <v>-2325.711200000005</v>
      </c>
      <c r="D293" s="94">
        <f t="shared" si="101"/>
        <v>55.923531701205775</v>
      </c>
      <c r="E293" s="94">
        <f t="shared" si="101"/>
        <v>-8483.773335477668</v>
      </c>
      <c r="F293" s="636">
        <f t="shared" si="101"/>
        <v>-7842.828435477666</v>
      </c>
      <c r="G293" s="94">
        <f t="shared" si="101"/>
        <v>-7149.292250437673</v>
      </c>
      <c r="H293" s="94">
        <f t="shared" si="101"/>
        <v>-6267.863565397656</v>
      </c>
      <c r="I293" s="94">
        <f t="shared" si="101"/>
        <v>-5144.8973803576555</v>
      </c>
      <c r="J293" s="94">
        <f t="shared" si="101"/>
        <v>-3994.0711953176688</v>
      </c>
      <c r="K293" s="94">
        <f t="shared" si="101"/>
        <v>-2862.6425102776666</v>
      </c>
      <c r="L293" s="94">
        <f t="shared" si="101"/>
        <v>-212.89882523766573</v>
      </c>
      <c r="M293" s="94">
        <f t="shared" si="101"/>
        <v>829.5548598023452</v>
      </c>
      <c r="N293" s="94">
        <f t="shared" si="101"/>
        <v>1952.5210448423313</v>
      </c>
      <c r="O293" s="94">
        <f t="shared" si="101"/>
        <v>3865.8563166216336</v>
      </c>
      <c r="P293" s="94">
        <f t="shared" si="101"/>
        <v>4714.893001661643</v>
      </c>
      <c r="Q293" s="94">
        <f t="shared" si="101"/>
        <v>5724.95468670164</v>
      </c>
      <c r="R293" s="94">
        <f t="shared" si="101"/>
        <v>7288.706371741631</v>
      </c>
      <c r="S293" s="94">
        <f t="shared" si="101"/>
        <v>9781.843056781647</v>
      </c>
      <c r="T293" s="94">
        <f t="shared" si="101"/>
        <v>15891.934084801955</v>
      </c>
      <c r="U293" s="94">
        <f t="shared" si="101"/>
        <v>16445.69826984196</v>
      </c>
      <c r="V293" s="94">
        <f t="shared" si="101"/>
        <v>17332.624554881957</v>
      </c>
      <c r="W293" s="94">
        <f t="shared" si="101"/>
        <v>17870.58833992196</v>
      </c>
      <c r="X293" s="94">
        <f t="shared" si="101"/>
        <v>18408.552124961963</v>
      </c>
      <c r="Y293" s="94">
        <f t="shared" si="101"/>
        <v>19027.028410001963</v>
      </c>
      <c r="Z293" s="94">
        <f t="shared" si="101"/>
        <v>19564.992195041967</v>
      </c>
      <c r="AA293" s="94">
        <f t="shared" si="101"/>
        <v>20129.778480081965</v>
      </c>
      <c r="AB293" s="94">
        <f t="shared" si="101"/>
        <v>20989.792265121963</v>
      </c>
      <c r="AC293" s="94">
        <f t="shared" si="101"/>
        <v>21608.26855016197</v>
      </c>
      <c r="AD293" s="94">
        <f t="shared" si="101"/>
        <v>21824.18233520198</v>
      </c>
      <c r="AE293" s="94">
        <f t="shared" si="101"/>
        <v>22764.70862024196</v>
      </c>
      <c r="AF293" s="94">
        <f t="shared" si="101"/>
        <v>23132.45102024197</v>
      </c>
      <c r="AG293" s="94">
        <f t="shared" si="101"/>
        <v>23100.751420241948</v>
      </c>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row>
    <row r="296" spans="1:33" s="157" customFormat="1" ht="18.75">
      <c r="A296" s="445" t="s">
        <v>397</v>
      </c>
      <c r="B296" s="446"/>
      <c r="C296" s="446"/>
      <c r="D296" s="446"/>
      <c r="E296" s="446"/>
      <c r="F296" s="631"/>
      <c r="G296" s="446"/>
      <c r="H296" s="446"/>
      <c r="I296" s="446"/>
      <c r="J296" s="446"/>
      <c r="K296" s="446"/>
      <c r="L296" s="446"/>
      <c r="M296" s="446"/>
      <c r="N296" s="446"/>
      <c r="O296" s="446"/>
      <c r="P296" s="446"/>
      <c r="Q296" s="446"/>
      <c r="R296" s="446"/>
      <c r="S296" s="446"/>
      <c r="T296" s="446"/>
      <c r="U296" s="446"/>
      <c r="V296" s="446"/>
      <c r="W296" s="446"/>
      <c r="X296" s="446"/>
      <c r="Y296" s="446"/>
      <c r="Z296" s="446"/>
      <c r="AA296" s="446"/>
      <c r="AB296" s="446"/>
      <c r="AC296" s="446"/>
      <c r="AD296" s="446"/>
      <c r="AE296" s="446"/>
      <c r="AF296" s="446"/>
      <c r="AG296" s="446"/>
    </row>
    <row r="297" spans="1:33" s="157" customFormat="1" ht="12.75">
      <c r="A297" s="562"/>
      <c r="B297" s="446"/>
      <c r="C297" s="446"/>
      <c r="D297" s="446"/>
      <c r="E297" s="446"/>
      <c r="F297" s="631"/>
      <c r="G297" s="446"/>
      <c r="H297" s="446"/>
      <c r="I297" s="446"/>
      <c r="J297" s="446"/>
      <c r="K297" s="446"/>
      <c r="L297" s="446"/>
      <c r="M297" s="446"/>
      <c r="N297" s="446"/>
      <c r="O297" s="446"/>
      <c r="P297" s="446"/>
      <c r="Q297" s="446" t="s">
        <v>25</v>
      </c>
      <c r="R297" s="446"/>
      <c r="S297" s="446"/>
      <c r="T297" s="446"/>
      <c r="U297" s="446"/>
      <c r="V297" s="446"/>
      <c r="W297" s="446"/>
      <c r="X297" s="446"/>
      <c r="Y297" s="446"/>
      <c r="Z297" s="446"/>
      <c r="AA297" s="446"/>
      <c r="AB297" s="446"/>
      <c r="AC297" s="446"/>
      <c r="AD297" s="446"/>
      <c r="AE297" s="446"/>
      <c r="AF297" s="446"/>
      <c r="AG297" s="446"/>
    </row>
    <row r="298" spans="1:33" s="157" customFormat="1" ht="12.75">
      <c r="A298" s="562"/>
      <c r="B298" s="563">
        <f>Aprekini!B5</f>
        <v>2011</v>
      </c>
      <c r="C298" s="563">
        <f aca="true" t="shared" si="102" ref="C298:AG298">B298+1</f>
        <v>2012</v>
      </c>
      <c r="D298" s="563">
        <f t="shared" si="102"/>
        <v>2013</v>
      </c>
      <c r="E298" s="563">
        <f t="shared" si="102"/>
        <v>2014</v>
      </c>
      <c r="F298" s="637">
        <f t="shared" si="102"/>
        <v>2015</v>
      </c>
      <c r="G298" s="563">
        <f t="shared" si="102"/>
        <v>2016</v>
      </c>
      <c r="H298" s="563">
        <f t="shared" si="102"/>
        <v>2017</v>
      </c>
      <c r="I298" s="563">
        <f t="shared" si="102"/>
        <v>2018</v>
      </c>
      <c r="J298" s="563">
        <f t="shared" si="102"/>
        <v>2019</v>
      </c>
      <c r="K298" s="563">
        <f t="shared" si="102"/>
        <v>2020</v>
      </c>
      <c r="L298" s="563">
        <f t="shared" si="102"/>
        <v>2021</v>
      </c>
      <c r="M298" s="563">
        <f t="shared" si="102"/>
        <v>2022</v>
      </c>
      <c r="N298" s="563">
        <f t="shared" si="102"/>
        <v>2023</v>
      </c>
      <c r="O298" s="563">
        <f t="shared" si="102"/>
        <v>2024</v>
      </c>
      <c r="P298" s="563">
        <f t="shared" si="102"/>
        <v>2025</v>
      </c>
      <c r="Q298" s="563">
        <f t="shared" si="102"/>
        <v>2026</v>
      </c>
      <c r="R298" s="563">
        <f t="shared" si="102"/>
        <v>2027</v>
      </c>
      <c r="S298" s="563">
        <f t="shared" si="102"/>
        <v>2028</v>
      </c>
      <c r="T298" s="563">
        <f t="shared" si="102"/>
        <v>2029</v>
      </c>
      <c r="U298" s="564">
        <f t="shared" si="102"/>
        <v>2030</v>
      </c>
      <c r="V298" s="564">
        <f t="shared" si="102"/>
        <v>2031</v>
      </c>
      <c r="W298" s="564">
        <f t="shared" si="102"/>
        <v>2032</v>
      </c>
      <c r="X298" s="564">
        <f t="shared" si="102"/>
        <v>2033</v>
      </c>
      <c r="Y298" s="564">
        <f t="shared" si="102"/>
        <v>2034</v>
      </c>
      <c r="Z298" s="564">
        <f t="shared" si="102"/>
        <v>2035</v>
      </c>
      <c r="AA298" s="564">
        <f t="shared" si="102"/>
        <v>2036</v>
      </c>
      <c r="AB298" s="564">
        <f t="shared" si="102"/>
        <v>2037</v>
      </c>
      <c r="AC298" s="564">
        <f t="shared" si="102"/>
        <v>2038</v>
      </c>
      <c r="AD298" s="564">
        <f t="shared" si="102"/>
        <v>2039</v>
      </c>
      <c r="AE298" s="564">
        <f t="shared" si="102"/>
        <v>2040</v>
      </c>
      <c r="AF298" s="564">
        <f t="shared" si="102"/>
        <v>2041</v>
      </c>
      <c r="AG298" s="564">
        <f t="shared" si="102"/>
        <v>2042</v>
      </c>
    </row>
    <row r="299" spans="1:33" s="157" customFormat="1" ht="12.75">
      <c r="A299" s="565" t="s">
        <v>322</v>
      </c>
      <c r="B299" s="566"/>
      <c r="C299" s="566"/>
      <c r="D299" s="566"/>
      <c r="E299" s="566"/>
      <c r="F299" s="65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c r="AF299" s="566"/>
      <c r="AG299" s="566"/>
    </row>
    <row r="300" spans="1:33" s="157" customFormat="1" ht="12.75">
      <c r="A300" s="567" t="s">
        <v>323</v>
      </c>
      <c r="B300" s="118">
        <f>SUM(B301:B303)</f>
        <v>41450</v>
      </c>
      <c r="C300" s="118">
        <f>SUM(C301:C303)</f>
        <v>171470</v>
      </c>
      <c r="D300" s="118">
        <f aca="true" t="shared" si="103" ref="D300:AG300">SUM(D301:D303)</f>
        <v>752402</v>
      </c>
      <c r="E300" s="118">
        <f t="shared" si="103"/>
        <v>726791</v>
      </c>
      <c r="F300" s="118">
        <f t="shared" si="103"/>
        <v>701181</v>
      </c>
      <c r="G300" s="118">
        <f t="shared" si="103"/>
        <v>675569</v>
      </c>
      <c r="H300" s="118">
        <f t="shared" si="103"/>
        <v>649959</v>
      </c>
      <c r="I300" s="118">
        <f t="shared" si="103"/>
        <v>624348</v>
      </c>
      <c r="J300" s="118">
        <f t="shared" si="103"/>
        <v>599087</v>
      </c>
      <c r="K300" s="118">
        <f t="shared" si="103"/>
        <v>574077</v>
      </c>
      <c r="L300" s="118">
        <f t="shared" si="103"/>
        <v>550565</v>
      </c>
      <c r="M300" s="118">
        <f t="shared" si="103"/>
        <v>527055</v>
      </c>
      <c r="N300" s="118">
        <f t="shared" si="103"/>
        <v>503544</v>
      </c>
      <c r="O300" s="118">
        <f t="shared" si="103"/>
        <v>482274</v>
      </c>
      <c r="P300" s="118">
        <f t="shared" si="103"/>
        <v>461005</v>
      </c>
      <c r="Q300" s="118">
        <f t="shared" si="103"/>
        <v>439735</v>
      </c>
      <c r="R300" s="118">
        <f t="shared" si="103"/>
        <v>418966</v>
      </c>
      <c r="S300" s="118">
        <f t="shared" si="103"/>
        <v>399196</v>
      </c>
      <c r="T300" s="118">
        <f t="shared" si="103"/>
        <v>387790</v>
      </c>
      <c r="U300" s="118">
        <f t="shared" si="103"/>
        <v>376385</v>
      </c>
      <c r="V300" s="118">
        <f t="shared" si="103"/>
        <v>364979</v>
      </c>
      <c r="W300" s="118">
        <f t="shared" si="103"/>
        <v>353574</v>
      </c>
      <c r="X300" s="118">
        <f t="shared" si="103"/>
        <v>342168</v>
      </c>
      <c r="Y300" s="118">
        <f t="shared" si="103"/>
        <v>330762</v>
      </c>
      <c r="Z300" s="118">
        <f t="shared" si="103"/>
        <v>319357</v>
      </c>
      <c r="AA300" s="118">
        <f t="shared" si="103"/>
        <v>307951</v>
      </c>
      <c r="AB300" s="118">
        <f t="shared" si="103"/>
        <v>296546</v>
      </c>
      <c r="AC300" s="118">
        <f t="shared" si="103"/>
        <v>285140</v>
      </c>
      <c r="AD300" s="118">
        <f t="shared" si="103"/>
        <v>273734</v>
      </c>
      <c r="AE300" s="118">
        <f t="shared" si="103"/>
        <v>262329</v>
      </c>
      <c r="AF300" s="118">
        <f t="shared" si="103"/>
        <v>250923</v>
      </c>
      <c r="AG300" s="118">
        <f t="shared" si="103"/>
        <v>239518</v>
      </c>
    </row>
    <row r="301" spans="1:33" s="157" customFormat="1" ht="12.75">
      <c r="A301" s="556" t="s">
        <v>324</v>
      </c>
      <c r="B301" s="154">
        <f>Aprekini!B81+Aprekini!B8+Aprekini!B13</f>
        <v>34750</v>
      </c>
      <c r="C301" s="154">
        <f>Aprekini!C81+Aprekini!C8+Aprekini!C13</f>
        <v>119720</v>
      </c>
      <c r="D301" s="154">
        <f>Aprekini!D81+Aprekini!D8+Aprekini!D13</f>
        <v>599530</v>
      </c>
      <c r="E301" s="154">
        <f>Aprekini!E81+Aprekini!E8+Aprekini!E13</f>
        <v>585374</v>
      </c>
      <c r="F301" s="154">
        <f>Aprekini!F81+Aprekini!F8+Aprekini!F13</f>
        <v>571219</v>
      </c>
      <c r="G301" s="154">
        <f>Aprekini!G81+Aprekini!G8+Aprekini!G13</f>
        <v>557063</v>
      </c>
      <c r="H301" s="154">
        <f>Aprekini!H81+Aprekini!H8+Aprekini!H13</f>
        <v>542908</v>
      </c>
      <c r="I301" s="154">
        <f>Aprekini!I81+Aprekini!I8+Aprekini!I13</f>
        <v>528752</v>
      </c>
      <c r="J301" s="154">
        <f>Aprekini!J81+Aprekini!J8+Aprekini!J13</f>
        <v>514596</v>
      </c>
      <c r="K301" s="154">
        <f>Aprekini!K81+Aprekini!K8+Aprekini!K13</f>
        <v>500441</v>
      </c>
      <c r="L301" s="154">
        <f>Aprekini!L81+Aprekini!L8+Aprekini!L13</f>
        <v>487535</v>
      </c>
      <c r="M301" s="154">
        <f>Aprekini!M81+Aprekini!M8+Aprekini!M13</f>
        <v>474630</v>
      </c>
      <c r="N301" s="154">
        <f>Aprekini!N81+Aprekini!N8+Aprekini!N13</f>
        <v>461724</v>
      </c>
      <c r="O301" s="154">
        <f>Aprekini!O81+Aprekini!O8+Aprekini!O13</f>
        <v>448818</v>
      </c>
      <c r="P301" s="154">
        <f>Aprekini!P81+Aprekini!P8+Aprekini!P13</f>
        <v>435913</v>
      </c>
      <c r="Q301" s="154">
        <f>Aprekini!Q81+Aprekini!Q8+Aprekini!Q13</f>
        <v>423007</v>
      </c>
      <c r="R301" s="154">
        <f>Aprekini!R81+Aprekini!R8+Aprekini!R13</f>
        <v>410602</v>
      </c>
      <c r="S301" s="154">
        <f>Aprekini!S81+Aprekini!S8+Aprekini!S13</f>
        <v>399196</v>
      </c>
      <c r="T301" s="154">
        <f>Aprekini!T81+Aprekini!T8+Aprekini!T13</f>
        <v>387790</v>
      </c>
      <c r="U301" s="154">
        <f>Aprekini!U81+Aprekini!U8+Aprekini!U13</f>
        <v>376385</v>
      </c>
      <c r="V301" s="154">
        <f>Aprekini!V81+Aprekini!V8+Aprekini!V13</f>
        <v>364979</v>
      </c>
      <c r="W301" s="154">
        <f>Aprekini!W81+Aprekini!W8+Aprekini!W13</f>
        <v>353574</v>
      </c>
      <c r="X301" s="154">
        <f>Aprekini!X81+Aprekini!X8+Aprekini!X13</f>
        <v>342168</v>
      </c>
      <c r="Y301" s="154">
        <f>Aprekini!Y81+Aprekini!Y8+Aprekini!Y13</f>
        <v>330762</v>
      </c>
      <c r="Z301" s="154">
        <f>Aprekini!Z81+Aprekini!Z8+Aprekini!Z13</f>
        <v>319357</v>
      </c>
      <c r="AA301" s="154">
        <f>Aprekini!AA81+Aprekini!AA8+Aprekini!AA13</f>
        <v>307951</v>
      </c>
      <c r="AB301" s="154">
        <f>Aprekini!AB81+Aprekini!AB8+Aprekini!AB13</f>
        <v>296546</v>
      </c>
      <c r="AC301" s="154">
        <f>Aprekini!AC81+Aprekini!AC8+Aprekini!AC13</f>
        <v>285140</v>
      </c>
      <c r="AD301" s="154">
        <f>Aprekini!AD81+Aprekini!AD8+Aprekini!AD13</f>
        <v>273734</v>
      </c>
      <c r="AE301" s="154">
        <f>Aprekini!AE81+Aprekini!AE8+Aprekini!AE13</f>
        <v>262329</v>
      </c>
      <c r="AF301" s="154">
        <f>Aprekini!AF81+Aprekini!AF8+Aprekini!AF13</f>
        <v>250923</v>
      </c>
      <c r="AG301" s="154">
        <f>Aprekini!AG81+Aprekini!AG8+Aprekini!AG13</f>
        <v>239518</v>
      </c>
    </row>
    <row r="302" spans="1:33" s="157" customFormat="1" ht="12.75">
      <c r="A302" s="556" t="s">
        <v>325</v>
      </c>
      <c r="B302" s="154">
        <f>Aprekini!B87+Aprekini!B9+Aprekini!B14</f>
        <v>6700</v>
      </c>
      <c r="C302" s="154">
        <f>Aprekini!C87+Aprekini!C9+Aprekini!C14</f>
        <v>38490</v>
      </c>
      <c r="D302" s="154">
        <f>Aprekini!D87+Aprekini!D9+Aprekini!D14</f>
        <v>130460</v>
      </c>
      <c r="E302" s="154">
        <f>Aprekini!E87+Aprekini!E9+Aprekini!E14</f>
        <v>121246</v>
      </c>
      <c r="F302" s="154">
        <f>Aprekini!F87+Aprekini!F9+Aprekini!F14</f>
        <v>112032</v>
      </c>
      <c r="G302" s="154">
        <f>Aprekini!G87+Aprekini!G9+Aprekini!G14</f>
        <v>102818</v>
      </c>
      <c r="H302" s="154">
        <f>Aprekini!H87+Aprekini!H9+Aprekini!H14</f>
        <v>93604</v>
      </c>
      <c r="I302" s="154">
        <f>Aprekini!I87+Aprekini!I9+Aprekini!I14</f>
        <v>84390</v>
      </c>
      <c r="J302" s="154">
        <f>Aprekini!J87+Aprekini!J9+Aprekini!J14</f>
        <v>75526</v>
      </c>
      <c r="K302" s="154">
        <f>Aprekini!K87+Aprekini!K9+Aprekini!K14</f>
        <v>66912</v>
      </c>
      <c r="L302" s="154">
        <f>Aprekini!L87+Aprekini!L9+Aprekini!L14</f>
        <v>58548</v>
      </c>
      <c r="M302" s="154">
        <f>Aprekini!M87+Aprekini!M9+Aprekini!M14</f>
        <v>50184</v>
      </c>
      <c r="N302" s="154">
        <f>Aprekini!N87+Aprekini!N9+Aprekini!N14</f>
        <v>41820</v>
      </c>
      <c r="O302" s="154">
        <f>Aprekini!O87+Aprekini!O9+Aprekini!O14</f>
        <v>33456</v>
      </c>
      <c r="P302" s="154">
        <f>Aprekini!P87+Aprekini!P9+Aprekini!P14</f>
        <v>25092</v>
      </c>
      <c r="Q302" s="154">
        <f>Aprekini!Q87+Aprekini!Q9+Aprekini!Q14</f>
        <v>16728</v>
      </c>
      <c r="R302" s="154">
        <f>Aprekini!R87+Aprekini!R9+Aprekini!R14</f>
        <v>8364</v>
      </c>
      <c r="S302" s="154">
        <f>Aprekini!S87+Aprekini!S9+Aprekini!S14</f>
        <v>0</v>
      </c>
      <c r="T302" s="154">
        <f>Aprekini!T87+Aprekini!T9+Aprekini!T14</f>
        <v>0</v>
      </c>
      <c r="U302" s="154">
        <f>Aprekini!U87+Aprekini!U9+Aprekini!U14</f>
        <v>0</v>
      </c>
      <c r="V302" s="154">
        <f>Aprekini!V87+Aprekini!V9+Aprekini!V14</f>
        <v>0</v>
      </c>
      <c r="W302" s="154">
        <f>Aprekini!W87+Aprekini!W9+Aprekini!W14</f>
        <v>0</v>
      </c>
      <c r="X302" s="154">
        <f>Aprekini!X87+Aprekini!X9+Aprekini!X14</f>
        <v>0</v>
      </c>
      <c r="Y302" s="154">
        <f>Aprekini!Y87+Aprekini!Y9+Aprekini!Y14</f>
        <v>0</v>
      </c>
      <c r="Z302" s="154">
        <f>Aprekini!Z87+Aprekini!Z9+Aprekini!Z14</f>
        <v>0</v>
      </c>
      <c r="AA302" s="154">
        <f>Aprekini!AA87+Aprekini!AA9+Aprekini!AA14</f>
        <v>0</v>
      </c>
      <c r="AB302" s="154">
        <f>Aprekini!AB87+Aprekini!AB9+Aprekini!AB14</f>
        <v>0</v>
      </c>
      <c r="AC302" s="154">
        <f>Aprekini!AC87+Aprekini!AC9+Aprekini!AC14</f>
        <v>0</v>
      </c>
      <c r="AD302" s="154">
        <f>Aprekini!AD87+Aprekini!AD9+Aprekini!AD14</f>
        <v>0</v>
      </c>
      <c r="AE302" s="154">
        <f>Aprekini!AE87+Aprekini!AE9+Aprekini!AE14</f>
        <v>0</v>
      </c>
      <c r="AF302" s="154">
        <f>Aprekini!AF87+Aprekini!AF9+Aprekini!AF14</f>
        <v>0</v>
      </c>
      <c r="AG302" s="154">
        <f>Aprekini!AG87+Aprekini!AG9+Aprekini!AG14</f>
        <v>0</v>
      </c>
    </row>
    <row r="303" spans="1:33" s="633" customFormat="1" ht="12.75">
      <c r="A303" s="746" t="s">
        <v>326</v>
      </c>
      <c r="B303" s="635">
        <f>Aprekini!B93+Aprekini!B10+Aprekini!B15</f>
        <v>0</v>
      </c>
      <c r="C303" s="635">
        <f>Aprekini!C93+Aprekini!C10+Aprekini!C15</f>
        <v>13260</v>
      </c>
      <c r="D303" s="635">
        <f>Aprekini!D93+Aprekini!D10+Aprekini!D15</f>
        <v>22412</v>
      </c>
      <c r="E303" s="635">
        <f>Aprekini!E93+Aprekini!E10+Aprekini!E15</f>
        <v>20171</v>
      </c>
      <c r="F303" s="635">
        <f>Aprekini!F93+Aprekini!F10+Aprekini!F15</f>
        <v>17930</v>
      </c>
      <c r="G303" s="635">
        <f>Aprekini!G93+Aprekini!G10+Aprekini!G15</f>
        <v>15688</v>
      </c>
      <c r="H303" s="635">
        <f>Aprekini!H93+Aprekini!H10+Aprekini!H15</f>
        <v>13447</v>
      </c>
      <c r="I303" s="635">
        <f>Aprekini!I93+Aprekini!I10+Aprekini!I15</f>
        <v>11206</v>
      </c>
      <c r="J303" s="635">
        <f>Aprekini!J93+Aprekini!J10+Aprekini!J15</f>
        <v>8965</v>
      </c>
      <c r="K303" s="635">
        <f>Aprekini!K93+Aprekini!K10+Aprekini!K15</f>
        <v>6724</v>
      </c>
      <c r="L303" s="635">
        <f>Aprekini!L93+Aprekini!L10+Aprekini!L15</f>
        <v>4482</v>
      </c>
      <c r="M303" s="635">
        <f>Aprekini!M93+Aprekini!M10+Aprekini!M15</f>
        <v>2241</v>
      </c>
      <c r="N303" s="635">
        <f>Aprekini!N93+Aprekini!N10+Aprekini!N15</f>
        <v>0</v>
      </c>
      <c r="O303" s="635">
        <f>Aprekini!O93+Aprekini!O10+Aprekini!O15</f>
        <v>0</v>
      </c>
      <c r="P303" s="635">
        <f>Aprekini!P93+Aprekini!P10+Aprekini!P15</f>
        <v>0</v>
      </c>
      <c r="Q303" s="635">
        <f>Aprekini!Q93+Aprekini!Q10+Aprekini!Q15</f>
        <v>0</v>
      </c>
      <c r="R303" s="635">
        <f>Aprekini!R93+Aprekini!R10+Aprekini!R15</f>
        <v>0</v>
      </c>
      <c r="S303" s="635">
        <f>Aprekini!S93+Aprekini!S10+Aprekini!S15</f>
        <v>0</v>
      </c>
      <c r="T303" s="635">
        <f>Aprekini!T93+Aprekini!T10+Aprekini!T15</f>
        <v>0</v>
      </c>
      <c r="U303" s="635">
        <f>Aprekini!U93+Aprekini!U10+Aprekini!U15</f>
        <v>0</v>
      </c>
      <c r="V303" s="635">
        <f>Aprekini!V93+Aprekini!V10+Aprekini!V15</f>
        <v>0</v>
      </c>
      <c r="W303" s="635">
        <f>Aprekini!W93+Aprekini!W10+Aprekini!W15</f>
        <v>0</v>
      </c>
      <c r="X303" s="635">
        <f>Aprekini!X93+Aprekini!X10+Aprekini!X15</f>
        <v>0</v>
      </c>
      <c r="Y303" s="635">
        <f>Aprekini!Y93+Aprekini!Y10+Aprekini!Y15</f>
        <v>0</v>
      </c>
      <c r="Z303" s="635">
        <f>Aprekini!Z93+Aprekini!Z10+Aprekini!Z15</f>
        <v>0</v>
      </c>
      <c r="AA303" s="635">
        <f>Aprekini!AA93+Aprekini!AA10+Aprekini!AA15</f>
        <v>0</v>
      </c>
      <c r="AB303" s="635">
        <f>Aprekini!AB93+Aprekini!AB10+Aprekini!AB15</f>
        <v>0</v>
      </c>
      <c r="AC303" s="635">
        <f>Aprekini!AC93+Aprekini!AC10+Aprekini!AC15</f>
        <v>0</v>
      </c>
      <c r="AD303" s="635">
        <f>Aprekini!AD93+Aprekini!AD10+Aprekini!AD15</f>
        <v>0</v>
      </c>
      <c r="AE303" s="635">
        <f>Aprekini!AE93+Aprekini!AE10+Aprekini!AE15</f>
        <v>0</v>
      </c>
      <c r="AF303" s="635">
        <f>Aprekini!AF93+Aprekini!AF10+Aprekini!AF15</f>
        <v>0</v>
      </c>
      <c r="AG303" s="635">
        <f>Aprekini!AG93+Aprekini!AG10+Aprekini!AG15</f>
        <v>0</v>
      </c>
    </row>
    <row r="304" spans="1:33" s="157" customFormat="1" ht="12.75">
      <c r="A304" s="567" t="s">
        <v>327</v>
      </c>
      <c r="B304" s="118">
        <f>SUM(B305:B306)</f>
        <v>21890.159999999996</v>
      </c>
      <c r="C304" s="118">
        <f>SUM(C305:C306)</f>
        <v>43164.4488</v>
      </c>
      <c r="D304" s="118">
        <f aca="true" t="shared" si="104" ref="D304:AG304">SUM(D305:D306)</f>
        <v>61820.3723317012</v>
      </c>
      <c r="E304" s="118">
        <f t="shared" si="104"/>
        <v>69792.73080570118</v>
      </c>
      <c r="F304" s="118">
        <f t="shared" si="104"/>
        <v>61627.62217970118</v>
      </c>
      <c r="G304" s="118">
        <f t="shared" si="104"/>
        <v>54156.049738741174</v>
      </c>
      <c r="H304" s="118">
        <f t="shared" si="104"/>
        <v>47565.905982821176</v>
      </c>
      <c r="I304" s="118">
        <f t="shared" si="104"/>
        <v>42098.72841194118</v>
      </c>
      <c r="J304" s="118">
        <f t="shared" si="104"/>
        <v>37432.377026101174</v>
      </c>
      <c r="K304" s="118">
        <f t="shared" si="104"/>
        <v>33647.454325301165</v>
      </c>
      <c r="L304" s="118">
        <f t="shared" si="104"/>
        <v>31012.275309541164</v>
      </c>
      <c r="M304" s="118">
        <f t="shared" si="104"/>
        <v>29419.54997882117</v>
      </c>
      <c r="N304" s="118">
        <f t="shared" si="104"/>
        <v>28949.790833141164</v>
      </c>
      <c r="O304" s="118">
        <f t="shared" si="104"/>
        <v>29084.32037250116</v>
      </c>
      <c r="P304" s="118">
        <f t="shared" si="104"/>
        <v>30067.886596901164</v>
      </c>
      <c r="Q304" s="118">
        <f t="shared" si="104"/>
        <v>32061.514506341166</v>
      </c>
      <c r="R304" s="118">
        <f t="shared" si="104"/>
        <v>35118.894100821155</v>
      </c>
      <c r="S304" s="118">
        <f t="shared" si="104"/>
        <v>39669.41038034117</v>
      </c>
      <c r="T304" s="118">
        <f t="shared" si="104"/>
        <v>45444.74834490116</v>
      </c>
      <c r="U304" s="118">
        <f t="shared" si="104"/>
        <v>51773.850494501174</v>
      </c>
      <c r="V304" s="118">
        <f t="shared" si="104"/>
        <v>58989.87892914118</v>
      </c>
      <c r="W304" s="118">
        <f t="shared" si="104"/>
        <v>66743.87114882118</v>
      </c>
      <c r="X304" s="118">
        <f t="shared" si="104"/>
        <v>75035.8271535412</v>
      </c>
      <c r="Y304" s="118">
        <f t="shared" si="104"/>
        <v>83946.25944330121</v>
      </c>
      <c r="Z304" s="118">
        <f t="shared" si="104"/>
        <v>93394.65551810121</v>
      </c>
      <c r="AA304" s="118">
        <f t="shared" si="104"/>
        <v>103407.83787794123</v>
      </c>
      <c r="AB304" s="118">
        <f t="shared" si="104"/>
        <v>114281.03402282123</v>
      </c>
      <c r="AC304" s="118">
        <f t="shared" si="104"/>
        <v>125772.70645274124</v>
      </c>
      <c r="AD304" s="118">
        <f t="shared" si="104"/>
        <v>137480.29266770126</v>
      </c>
      <c r="AE304" s="118">
        <f t="shared" si="104"/>
        <v>166906.81716770126</v>
      </c>
      <c r="AF304" s="118">
        <f t="shared" si="104"/>
        <v>196701.08406770127</v>
      </c>
      <c r="AG304" s="118">
        <f t="shared" si="104"/>
        <v>226463.65136770127</v>
      </c>
    </row>
    <row r="305" spans="1:33" s="157" customFormat="1" ht="12.75">
      <c r="A305" s="556" t="s">
        <v>328</v>
      </c>
      <c r="B305" s="154">
        <f>'Naudas plusma'!B29</f>
        <v>21013.884</v>
      </c>
      <c r="C305" s="154">
        <f>'Naudas plusma'!C29</f>
        <v>41411.896799999995</v>
      </c>
      <c r="D305" s="154">
        <f>'Naudas plusma'!D29</f>
        <v>58741.8582317012</v>
      </c>
      <c r="E305" s="154">
        <f>'Naudas plusma'!E29</f>
        <v>64807.425105701186</v>
      </c>
      <c r="F305" s="154">
        <f>'Naudas plusma'!F29</f>
        <v>54715.12717970118</v>
      </c>
      <c r="G305" s="154">
        <f>'Naudas plusma'!G29</f>
        <v>45302.40693874117</v>
      </c>
      <c r="H305" s="154">
        <f>'Naudas plusma'!H29</f>
        <v>36749.64118282118</v>
      </c>
      <c r="I305" s="154">
        <f>'Naudas plusma'!I29</f>
        <v>29288.705911941182</v>
      </c>
      <c r="J305" s="154">
        <f>'Naudas plusma'!J29</f>
        <v>22610.346726101176</v>
      </c>
      <c r="K305" s="154">
        <f>'Naudas plusma'!K29</f>
        <v>16791.94202530117</v>
      </c>
      <c r="L305" s="154">
        <f>'Naudas plusma'!L29</f>
        <v>12607.496409541167</v>
      </c>
      <c r="M305" s="154">
        <f>'Naudas plusma'!M29</f>
        <v>9444.568078821172</v>
      </c>
      <c r="N305" s="154">
        <f>'Naudas plusma'!N29</f>
        <v>7381.254158141164</v>
      </c>
      <c r="O305" s="154">
        <f>'Naudas plusma'!O29</f>
        <v>5915.787472501161</v>
      </c>
      <c r="P305" s="154">
        <f>'Naudas plusma'!P29</f>
        <v>5280.836446901165</v>
      </c>
      <c r="Q305" s="154">
        <f>'Naudas plusma'!Q29</f>
        <v>5632.5953313411665</v>
      </c>
      <c r="R305" s="154">
        <f>'Naudas plusma'!R29</f>
        <v>7023.143425821159</v>
      </c>
      <c r="S305" s="154">
        <f>'Naudas plusma'!S29</f>
        <v>9868.98418034117</v>
      </c>
      <c r="T305" s="154">
        <f>'Naudas plusma'!T29</f>
        <v>13909.85204490117</v>
      </c>
      <c r="U305" s="154">
        <f>'Naudas plusma'!U29</f>
        <v>18494.821244501174</v>
      </c>
      <c r="V305" s="154">
        <f>'Naudas plusma'!V29</f>
        <v>23944.97430414118</v>
      </c>
      <c r="W305" s="154">
        <f>'Naudas plusma'!W29</f>
        <v>29921.817598821184</v>
      </c>
      <c r="X305" s="154">
        <f>'Naudas plusma'!X29</f>
        <v>36425.351128541195</v>
      </c>
      <c r="Y305" s="154">
        <f>'Naudas plusma'!Y29</f>
        <v>43533.6720183012</v>
      </c>
      <c r="Z305" s="154">
        <f>'Naudas plusma'!Z29</f>
        <v>51168.68314310121</v>
      </c>
      <c r="AA305" s="154">
        <f>'Naudas plusma'!AA29</f>
        <v>59356.40232794122</v>
      </c>
      <c r="AB305" s="154">
        <f>'Naudas plusma'!AB29</f>
        <v>68383.20024782122</v>
      </c>
      <c r="AC305" s="154">
        <f>'Naudas plusma'!AC29</f>
        <v>78014.78552774125</v>
      </c>
      <c r="AD305" s="154">
        <f>'Naudas plusma'!AD29</f>
        <v>87860.67254270127</v>
      </c>
      <c r="AE305" s="154">
        <f>'Naudas plusma'!AE29</f>
        <v>115402.14741770127</v>
      </c>
      <c r="AF305" s="154">
        <f>'Naudas plusma'!AF29</f>
        <v>143283.18216770128</v>
      </c>
      <c r="AG305" s="154">
        <f>'Naudas plusma'!AG29</f>
        <v>171111.58091770127</v>
      </c>
    </row>
    <row r="306" spans="1:33" s="157" customFormat="1" ht="12.75">
      <c r="A306" s="556" t="s">
        <v>329</v>
      </c>
      <c r="B306" s="154">
        <f>'Saimnieciskas pamatdarbibas NP'!B74*'Datu ievade'!E295</f>
        <v>876.2759999999998</v>
      </c>
      <c r="C306" s="154">
        <f>'Saimnieciskas pamatdarbibas NP'!C74*'Datu ievade'!F295+B306</f>
        <v>1752.5519999999997</v>
      </c>
      <c r="D306" s="154">
        <f>'Saimnieciskas pamatdarbibas NP'!D74*'Datu ievade'!G295+C306</f>
        <v>3078.5141</v>
      </c>
      <c r="E306" s="154">
        <f>'Saimnieciskas pamatdarbibas NP'!E74*'Datu ievade'!H295+D306</f>
        <v>4985.3057</v>
      </c>
      <c r="F306" s="154">
        <f>'Saimnieciskas pamatdarbibas NP'!F74*'Datu ievade'!I295+E306</f>
        <v>6912.495</v>
      </c>
      <c r="G306" s="154">
        <f>'Saimnieciskas pamatdarbibas NP'!G74*'Datu ievade'!J295+F306</f>
        <v>8853.6428</v>
      </c>
      <c r="H306" s="154">
        <f>'Saimnieciskas pamatdarbibas NP'!H74*'Datu ievade'!K295+G306</f>
        <v>10816.264799999999</v>
      </c>
      <c r="I306" s="154">
        <f>'Saimnieciskas pamatdarbibas NP'!I74*'Datu ievade'!L295+H306</f>
        <v>12810.0225</v>
      </c>
      <c r="J306" s="154">
        <f>'Saimnieciskas pamatdarbibas NP'!J74*'Datu ievade'!M295+I306</f>
        <v>14822.030299999999</v>
      </c>
      <c r="K306" s="154">
        <f>'Saimnieciskas pamatdarbibas NP'!K74*'Datu ievade'!N295+J306</f>
        <v>16855.5123</v>
      </c>
      <c r="L306" s="154">
        <f>'Saimnieciskas pamatdarbibas NP'!L74*'Datu ievade'!O295+K306</f>
        <v>18404.778899999998</v>
      </c>
      <c r="M306" s="154">
        <f>'Saimnieciskas pamatdarbibas NP'!M74*'Datu ievade'!P295+L306</f>
        <v>19974.9819</v>
      </c>
      <c r="N306" s="154">
        <f>'Saimnieciskas pamatdarbibas NP'!N74*'Datu ievade'!Q295+M306</f>
        <v>21568.536675</v>
      </c>
      <c r="O306" s="154">
        <f>'Saimnieciskas pamatdarbibas NP'!O74*'Datu ievade'!R295+N306</f>
        <v>23168.5329</v>
      </c>
      <c r="P306" s="154">
        <f>'Saimnieciskas pamatdarbibas NP'!P74*'Datu ievade'!S295+O306</f>
        <v>24787.05015</v>
      </c>
      <c r="Q306" s="154">
        <f>'Saimnieciskas pamatdarbibas NP'!Q74*'Datu ievade'!T295+P306</f>
        <v>26428.919175</v>
      </c>
      <c r="R306" s="154">
        <f>'Saimnieciskas pamatdarbibas NP'!R74*'Datu ievade'!U295+Q306</f>
        <v>28095.750675</v>
      </c>
      <c r="S306" s="154">
        <f>'Saimnieciskas pamatdarbibas NP'!S74*'Datu ievade'!V295+R306</f>
        <v>29800.426199999998</v>
      </c>
      <c r="T306" s="154">
        <f>'Saimnieciskas pamatdarbibas NP'!T74*'Datu ievade'!W295+S306</f>
        <v>31534.896299999997</v>
      </c>
      <c r="U306" s="154">
        <f>'Saimnieciskas pamatdarbibas NP'!U74*'Datu ievade'!X295+T306</f>
        <v>33279.02925</v>
      </c>
      <c r="V306" s="154">
        <f>'Saimnieciskas pamatdarbibas NP'!V74*'Datu ievade'!Y295+U306</f>
        <v>35044.904625</v>
      </c>
      <c r="W306" s="154">
        <f>'Saimnieciskas pamatdarbibas NP'!W74*'Datu ievade'!Z295+V306</f>
        <v>36822.053550000004</v>
      </c>
      <c r="X306" s="154">
        <f>'Saimnieciskas pamatdarbibas NP'!X74*'Datu ievade'!AA295+W306</f>
        <v>38610.476025</v>
      </c>
      <c r="Y306" s="154">
        <f>'Saimnieciskas pamatdarbibas NP'!Y74*'Datu ievade'!AB295+X306</f>
        <v>40412.587425000005</v>
      </c>
      <c r="Z306" s="154">
        <f>'Saimnieciskas pamatdarbibas NP'!Z74*'Datu ievade'!AC295+Y306</f>
        <v>42225.972375000005</v>
      </c>
      <c r="AA306" s="154">
        <f>'Saimnieciskas pamatdarbibas NP'!AA74*'Datu ievade'!AD295+Z306</f>
        <v>44051.43555</v>
      </c>
      <c r="AB306" s="154">
        <f>'Saimnieciskas pamatdarbibas NP'!AB74*'Datu ievade'!AE295+AA306</f>
        <v>45897.833775</v>
      </c>
      <c r="AC306" s="154">
        <f>'Saimnieciskas pamatdarbibas NP'!AC74*'Datu ievade'!AF295+AB306</f>
        <v>47757.920925</v>
      </c>
      <c r="AD306" s="154">
        <f>'Saimnieciskas pamatdarbibas NP'!AD74*'Datu ievade'!AG295+AC306</f>
        <v>49619.620125</v>
      </c>
      <c r="AE306" s="154">
        <f>'Saimnieciskas pamatdarbibas NP'!AE74*'Datu ievade'!AH295+AD306</f>
        <v>51504.66975</v>
      </c>
      <c r="AF306" s="154">
        <f>'Saimnieciskas pamatdarbibas NP'!AF74*'Datu ievade'!AI295+AE306</f>
        <v>53417.901900000004</v>
      </c>
      <c r="AG306" s="154">
        <f>'Saimnieciskas pamatdarbibas NP'!AG74*'Datu ievade'!AJ295+AF306</f>
        <v>55352.07045000001</v>
      </c>
    </row>
    <row r="307" spans="1:33" s="157" customFormat="1" ht="12.75">
      <c r="A307" s="567" t="s">
        <v>330</v>
      </c>
      <c r="B307" s="118">
        <f>B300+B304</f>
        <v>63340.159999999996</v>
      </c>
      <c r="C307" s="118">
        <f>C300+C304</f>
        <v>214634.4488</v>
      </c>
      <c r="D307" s="118">
        <f aca="true" t="shared" si="105" ref="D307:AG307">D300+D304</f>
        <v>814222.3723317012</v>
      </c>
      <c r="E307" s="118">
        <f t="shared" si="105"/>
        <v>796583.7308057012</v>
      </c>
      <c r="F307" s="118">
        <f t="shared" si="105"/>
        <v>762808.6221797012</v>
      </c>
      <c r="G307" s="118">
        <f t="shared" si="105"/>
        <v>729725.0497387411</v>
      </c>
      <c r="H307" s="118">
        <f t="shared" si="105"/>
        <v>697524.9059828211</v>
      </c>
      <c r="I307" s="118">
        <f t="shared" si="105"/>
        <v>666446.7284119412</v>
      </c>
      <c r="J307" s="118">
        <f t="shared" si="105"/>
        <v>636519.3770261012</v>
      </c>
      <c r="K307" s="118">
        <f t="shared" si="105"/>
        <v>607724.4543253011</v>
      </c>
      <c r="L307" s="118">
        <f t="shared" si="105"/>
        <v>581577.2753095411</v>
      </c>
      <c r="M307" s="118">
        <f t="shared" si="105"/>
        <v>556474.5499788212</v>
      </c>
      <c r="N307" s="118">
        <f t="shared" si="105"/>
        <v>532493.7908331412</v>
      </c>
      <c r="O307" s="118">
        <f t="shared" si="105"/>
        <v>511358.32037250116</v>
      </c>
      <c r="P307" s="118">
        <f t="shared" si="105"/>
        <v>491072.88659690117</v>
      </c>
      <c r="Q307" s="118">
        <f t="shared" si="105"/>
        <v>471796.5145063412</v>
      </c>
      <c r="R307" s="118">
        <f t="shared" si="105"/>
        <v>454084.89410082117</v>
      </c>
      <c r="S307" s="118">
        <f t="shared" si="105"/>
        <v>438865.41038034117</v>
      </c>
      <c r="T307" s="118">
        <f t="shared" si="105"/>
        <v>433234.74834490113</v>
      </c>
      <c r="U307" s="118">
        <f t="shared" si="105"/>
        <v>428158.8504945012</v>
      </c>
      <c r="V307" s="118">
        <f t="shared" si="105"/>
        <v>423968.8789291412</v>
      </c>
      <c r="W307" s="118">
        <f t="shared" si="105"/>
        <v>420317.8711488212</v>
      </c>
      <c r="X307" s="118">
        <f t="shared" si="105"/>
        <v>417203.8271535412</v>
      </c>
      <c r="Y307" s="118">
        <f t="shared" si="105"/>
        <v>414708.25944330124</v>
      </c>
      <c r="Z307" s="118">
        <f t="shared" si="105"/>
        <v>412751.6555181012</v>
      </c>
      <c r="AA307" s="118">
        <f t="shared" si="105"/>
        <v>411358.8378779412</v>
      </c>
      <c r="AB307" s="118">
        <f t="shared" si="105"/>
        <v>410827.03402282123</v>
      </c>
      <c r="AC307" s="118">
        <f t="shared" si="105"/>
        <v>410912.70645274123</v>
      </c>
      <c r="AD307" s="118">
        <f t="shared" si="105"/>
        <v>411214.29266770126</v>
      </c>
      <c r="AE307" s="118">
        <f t="shared" si="105"/>
        <v>429235.81716770126</v>
      </c>
      <c r="AF307" s="118">
        <f t="shared" si="105"/>
        <v>447624.08406770125</v>
      </c>
      <c r="AG307" s="118">
        <f t="shared" si="105"/>
        <v>465981.65136770124</v>
      </c>
    </row>
    <row r="308" spans="1:33" s="157" customFormat="1" ht="12.75">
      <c r="A308" s="567" t="s">
        <v>331</v>
      </c>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row>
    <row r="309" spans="1:33" s="157" customFormat="1" ht="12.75">
      <c r="A309" s="567" t="s">
        <v>332</v>
      </c>
      <c r="B309" s="118">
        <f>SUM(B310:B311)</f>
        <v>63340.159999999996</v>
      </c>
      <c r="C309" s="118">
        <f>SUM(C310:C311)</f>
        <v>81014.44879999998</v>
      </c>
      <c r="D309" s="118">
        <f aca="true" t="shared" si="106" ref="D309:AG309">SUM(D310:D311)</f>
        <v>96070.37233170119</v>
      </c>
      <c r="E309" s="118">
        <f t="shared" si="106"/>
        <v>87586.59899622353</v>
      </c>
      <c r="F309" s="118">
        <f t="shared" si="106"/>
        <v>79743.77056074586</v>
      </c>
      <c r="G309" s="118">
        <f t="shared" si="106"/>
        <v>72594.47831030819</v>
      </c>
      <c r="H309" s="118">
        <f t="shared" si="106"/>
        <v>66326.61474491053</v>
      </c>
      <c r="I309" s="118">
        <f t="shared" si="106"/>
        <v>61181.71736455288</v>
      </c>
      <c r="J309" s="118">
        <f t="shared" si="106"/>
        <v>57187.64616923522</v>
      </c>
      <c r="K309" s="118">
        <f t="shared" si="106"/>
        <v>54325.00365895755</v>
      </c>
      <c r="L309" s="118">
        <f t="shared" si="106"/>
        <v>54112.10483371988</v>
      </c>
      <c r="M309" s="118">
        <f t="shared" si="106"/>
        <v>54941.659693522226</v>
      </c>
      <c r="N309" s="118">
        <f t="shared" si="106"/>
        <v>56894.18073836456</v>
      </c>
      <c r="O309" s="118">
        <f t="shared" si="106"/>
        <v>60760.03705498619</v>
      </c>
      <c r="P309" s="118">
        <f t="shared" si="106"/>
        <v>65474.930056647834</v>
      </c>
      <c r="Q309" s="118">
        <f t="shared" si="106"/>
        <v>71199.88474334948</v>
      </c>
      <c r="R309" s="118">
        <f t="shared" si="106"/>
        <v>78488.59111509111</v>
      </c>
      <c r="S309" s="118">
        <f t="shared" si="106"/>
        <v>88270.43417187275</v>
      </c>
      <c r="T309" s="118">
        <f t="shared" si="106"/>
        <v>104162.3682566747</v>
      </c>
      <c r="U309" s="118">
        <f t="shared" si="106"/>
        <v>120608.06652651666</v>
      </c>
      <c r="V309" s="118">
        <f t="shared" si="106"/>
        <v>137940.69108139863</v>
      </c>
      <c r="W309" s="118">
        <f t="shared" si="106"/>
        <v>155811.2794213206</v>
      </c>
      <c r="X309" s="118">
        <f t="shared" si="106"/>
        <v>174219.83154628254</v>
      </c>
      <c r="Y309" s="118">
        <f t="shared" si="106"/>
        <v>193246.85995628452</v>
      </c>
      <c r="Z309" s="118">
        <f t="shared" si="106"/>
        <v>212811.8521513265</v>
      </c>
      <c r="AA309" s="118">
        <f t="shared" si="106"/>
        <v>232941.63063140842</v>
      </c>
      <c r="AB309" s="118">
        <f t="shared" si="106"/>
        <v>253931.4228965304</v>
      </c>
      <c r="AC309" s="118">
        <f t="shared" si="106"/>
        <v>275539.69144669233</v>
      </c>
      <c r="AD309" s="118">
        <f t="shared" si="106"/>
        <v>297363.87378189433</v>
      </c>
      <c r="AE309" s="118">
        <f t="shared" si="106"/>
        <v>320128.5824021363</v>
      </c>
      <c r="AF309" s="118">
        <f t="shared" si="106"/>
        <v>343261.03342237824</v>
      </c>
      <c r="AG309" s="118">
        <f t="shared" si="106"/>
        <v>366361.7848426202</v>
      </c>
    </row>
    <row r="310" spans="1:33" s="157" customFormat="1" ht="12.75">
      <c r="A310" s="556" t="s">
        <v>333</v>
      </c>
      <c r="B310" s="154">
        <f>'Datu ievade'!E298+'Saimnieciskas pamatdarbibas NP'!B117</f>
        <v>65050</v>
      </c>
      <c r="C310" s="154">
        <f>'Datu ievade'!F298+'Saimnieciskas pamatdarbibas NP'!C117+B310</f>
        <v>85050</v>
      </c>
      <c r="D310" s="154">
        <f>'Datu ievade'!G298+'Saimnieciskas pamatdarbibas NP'!D117+C310</f>
        <v>100050</v>
      </c>
      <c r="E310" s="154">
        <f>'Datu ievade'!H298+'Saimnieciskas pamatdarbibas NP'!E117+D310</f>
        <v>100050</v>
      </c>
      <c r="F310" s="154">
        <f>'Datu ievade'!I298+'Saimnieciskas pamatdarbibas NP'!F117+E310</f>
        <v>100050</v>
      </c>
      <c r="G310" s="154">
        <f>'Datu ievade'!J298+'Saimnieciskas pamatdarbibas NP'!G117+F310</f>
        <v>100050</v>
      </c>
      <c r="H310" s="154">
        <f>'Datu ievade'!K298+'Saimnieciskas pamatdarbibas NP'!H117+G310</f>
        <v>100050</v>
      </c>
      <c r="I310" s="154">
        <f>'Datu ievade'!L298+'Saimnieciskas pamatdarbibas NP'!I117+H310</f>
        <v>100050</v>
      </c>
      <c r="J310" s="154">
        <f>'Datu ievade'!M298+'Saimnieciskas pamatdarbibas NP'!J117+I310</f>
        <v>100050</v>
      </c>
      <c r="K310" s="154">
        <f>'Datu ievade'!N298+'Saimnieciskas pamatdarbibas NP'!K117+J310</f>
        <v>100050</v>
      </c>
      <c r="L310" s="154">
        <f>'Datu ievade'!O298+'Saimnieciskas pamatdarbibas NP'!L117+K310</f>
        <v>100050</v>
      </c>
      <c r="M310" s="154">
        <f>'Datu ievade'!P298+'Saimnieciskas pamatdarbibas NP'!M117+L310</f>
        <v>100050</v>
      </c>
      <c r="N310" s="154">
        <f>'Datu ievade'!Q298+'Saimnieciskas pamatdarbibas NP'!N117+M310</f>
        <v>100050</v>
      </c>
      <c r="O310" s="154">
        <f>'Datu ievade'!R298+'Saimnieciskas pamatdarbibas NP'!O117+N310</f>
        <v>100050</v>
      </c>
      <c r="P310" s="154">
        <f>'Datu ievade'!S298+'Saimnieciskas pamatdarbibas NP'!P117+O310</f>
        <v>100050</v>
      </c>
      <c r="Q310" s="154">
        <f>'Datu ievade'!T298+'Saimnieciskas pamatdarbibas NP'!Q117+P310</f>
        <v>100050</v>
      </c>
      <c r="R310" s="154">
        <f>'Datu ievade'!U298+'Saimnieciskas pamatdarbibas NP'!R117+Q310</f>
        <v>100050</v>
      </c>
      <c r="S310" s="154">
        <f>'Datu ievade'!V298+'Saimnieciskas pamatdarbibas NP'!S117+R310</f>
        <v>100050</v>
      </c>
      <c r="T310" s="154">
        <f>'Datu ievade'!W298+'Saimnieciskas pamatdarbibas NP'!T117+S310</f>
        <v>100050</v>
      </c>
      <c r="U310" s="154">
        <f>'Datu ievade'!X298+'Saimnieciskas pamatdarbibas NP'!U117+T310</f>
        <v>100050</v>
      </c>
      <c r="V310" s="154">
        <f>'Datu ievade'!Y298+'Saimnieciskas pamatdarbibas NP'!V117+U310</f>
        <v>100050</v>
      </c>
      <c r="W310" s="154">
        <f>'Datu ievade'!Z298+'Saimnieciskas pamatdarbibas NP'!W117+V310</f>
        <v>100050</v>
      </c>
      <c r="X310" s="154">
        <f>'Datu ievade'!AA298+'Saimnieciskas pamatdarbibas NP'!X117+W310</f>
        <v>100050</v>
      </c>
      <c r="Y310" s="154">
        <f>'Datu ievade'!AB298+'Saimnieciskas pamatdarbibas NP'!Y117+X310</f>
        <v>100050</v>
      </c>
      <c r="Z310" s="154">
        <f>'Datu ievade'!AC298+'Saimnieciskas pamatdarbibas NP'!Z117+Y310</f>
        <v>100050</v>
      </c>
      <c r="AA310" s="154">
        <f>'Datu ievade'!AD298+'Saimnieciskas pamatdarbibas NP'!AA117+Z310</f>
        <v>100050</v>
      </c>
      <c r="AB310" s="154">
        <f>'Datu ievade'!AE298+'Saimnieciskas pamatdarbibas NP'!AB117+AA310</f>
        <v>100050</v>
      </c>
      <c r="AC310" s="154">
        <f>'Datu ievade'!AF298+'Saimnieciskas pamatdarbibas NP'!AC117+AB310</f>
        <v>100050</v>
      </c>
      <c r="AD310" s="154">
        <f>'Datu ievade'!AG298+'Saimnieciskas pamatdarbibas NP'!AD117+AC310</f>
        <v>100050</v>
      </c>
      <c r="AE310" s="154">
        <f>'Datu ievade'!AH298+'Saimnieciskas pamatdarbibas NP'!AE117+AD310</f>
        <v>100050</v>
      </c>
      <c r="AF310" s="154">
        <f>'Datu ievade'!AI298+'Saimnieciskas pamatdarbibas NP'!AF117+AE310</f>
        <v>100050</v>
      </c>
      <c r="AG310" s="154">
        <f>'Datu ievade'!AJ298+'Saimnieciskas pamatdarbibas NP'!AG117+AF310</f>
        <v>100050</v>
      </c>
    </row>
    <row r="311" spans="1:33" s="157" customFormat="1" ht="12.75">
      <c r="A311" s="556" t="s">
        <v>334</v>
      </c>
      <c r="B311" s="154">
        <f>B312+B313</f>
        <v>-1709.8400000000038</v>
      </c>
      <c r="C311" s="154">
        <f>C312+C313</f>
        <v>-4035.551200000009</v>
      </c>
      <c r="D311" s="154">
        <f aca="true" t="shared" si="107" ref="D311:AG311">D312+D313</f>
        <v>-3979.627668298803</v>
      </c>
      <c r="E311" s="154">
        <f t="shared" si="107"/>
        <v>-12463.401003776471</v>
      </c>
      <c r="F311" s="154">
        <f t="shared" si="107"/>
        <v>-20306.229439254137</v>
      </c>
      <c r="G311" s="154">
        <f t="shared" si="107"/>
        <v>-27455.52168969181</v>
      </c>
      <c r="H311" s="154">
        <f t="shared" si="107"/>
        <v>-33723.385255089466</v>
      </c>
      <c r="I311" s="154">
        <f t="shared" si="107"/>
        <v>-38868.28263544712</v>
      </c>
      <c r="J311" s="154">
        <f t="shared" si="107"/>
        <v>-42862.35383076478</v>
      </c>
      <c r="K311" s="154">
        <f t="shared" si="107"/>
        <v>-45724.99634104245</v>
      </c>
      <c r="L311" s="154">
        <f t="shared" si="107"/>
        <v>-45937.89516628012</v>
      </c>
      <c r="M311" s="154">
        <f t="shared" si="107"/>
        <v>-45108.340306477774</v>
      </c>
      <c r="N311" s="154">
        <f t="shared" si="107"/>
        <v>-43155.81926163544</v>
      </c>
      <c r="O311" s="154">
        <f t="shared" si="107"/>
        <v>-39289.96294501381</v>
      </c>
      <c r="P311" s="154">
        <f t="shared" si="107"/>
        <v>-34575.069943352166</v>
      </c>
      <c r="Q311" s="154">
        <f t="shared" si="107"/>
        <v>-28850.115256650526</v>
      </c>
      <c r="R311" s="154">
        <f t="shared" si="107"/>
        <v>-21561.408884908895</v>
      </c>
      <c r="S311" s="154">
        <f t="shared" si="107"/>
        <v>-11779.565828127248</v>
      </c>
      <c r="T311" s="154">
        <f t="shared" si="107"/>
        <v>4112.368256674707</v>
      </c>
      <c r="U311" s="154">
        <f t="shared" si="107"/>
        <v>20558.066526516668</v>
      </c>
      <c r="V311" s="154">
        <f t="shared" si="107"/>
        <v>37890.691081398625</v>
      </c>
      <c r="W311" s="154">
        <f t="shared" si="107"/>
        <v>55761.279421320585</v>
      </c>
      <c r="X311" s="154">
        <f t="shared" si="107"/>
        <v>74169.83154628254</v>
      </c>
      <c r="Y311" s="154">
        <f t="shared" si="107"/>
        <v>93196.8599562845</v>
      </c>
      <c r="Z311" s="154">
        <f t="shared" si="107"/>
        <v>112761.85215132647</v>
      </c>
      <c r="AA311" s="154">
        <f t="shared" si="107"/>
        <v>132891.63063140842</v>
      </c>
      <c r="AB311" s="154">
        <f t="shared" si="107"/>
        <v>153881.4228965304</v>
      </c>
      <c r="AC311" s="154">
        <f t="shared" si="107"/>
        <v>175489.69144669236</v>
      </c>
      <c r="AD311" s="154">
        <f t="shared" si="107"/>
        <v>197313.87378189433</v>
      </c>
      <c r="AE311" s="154">
        <f t="shared" si="107"/>
        <v>220078.5824021363</v>
      </c>
      <c r="AF311" s="154">
        <f t="shared" si="107"/>
        <v>243211.03342237827</v>
      </c>
      <c r="AG311" s="154">
        <f t="shared" si="107"/>
        <v>266311.7848426202</v>
      </c>
    </row>
    <row r="312" spans="1:33" s="157" customFormat="1" ht="12.75">
      <c r="A312" s="568" t="s">
        <v>335</v>
      </c>
      <c r="B312" s="154">
        <f>Aprekini!B293</f>
        <v>-1709.8400000000038</v>
      </c>
      <c r="C312" s="154">
        <f>Aprekini!C293</f>
        <v>-2325.711200000005</v>
      </c>
      <c r="D312" s="154">
        <f>Aprekini!D293</f>
        <v>55.923531701205775</v>
      </c>
      <c r="E312" s="154">
        <f>Aprekini!E293</f>
        <v>-8483.773335477668</v>
      </c>
      <c r="F312" s="154">
        <f>Aprekini!F293</f>
        <v>-7842.828435477666</v>
      </c>
      <c r="G312" s="154">
        <f>Aprekini!G293</f>
        <v>-7149.292250437673</v>
      </c>
      <c r="H312" s="154">
        <f>Aprekini!H293</f>
        <v>-6267.863565397656</v>
      </c>
      <c r="I312" s="154">
        <f>Aprekini!I293</f>
        <v>-5144.8973803576555</v>
      </c>
      <c r="J312" s="154">
        <f>Aprekini!J293</f>
        <v>-3994.0711953176688</v>
      </c>
      <c r="K312" s="154">
        <f>Aprekini!K293</f>
        <v>-2862.6425102776666</v>
      </c>
      <c r="L312" s="154">
        <f>Aprekini!L293</f>
        <v>-212.89882523766573</v>
      </c>
      <c r="M312" s="154">
        <f>Aprekini!M293</f>
        <v>829.5548598023452</v>
      </c>
      <c r="N312" s="154">
        <f>Aprekini!N293</f>
        <v>1952.5210448423313</v>
      </c>
      <c r="O312" s="154">
        <f>Aprekini!O293</f>
        <v>3865.8563166216336</v>
      </c>
      <c r="P312" s="154">
        <f>Aprekini!P293</f>
        <v>4714.893001661643</v>
      </c>
      <c r="Q312" s="154">
        <f>Aprekini!Q293</f>
        <v>5724.95468670164</v>
      </c>
      <c r="R312" s="154">
        <f>Aprekini!R293</f>
        <v>7288.706371741631</v>
      </c>
      <c r="S312" s="154">
        <f>Aprekini!S293</f>
        <v>9781.843056781647</v>
      </c>
      <c r="T312" s="154">
        <f>Aprekini!T293</f>
        <v>15891.934084801955</v>
      </c>
      <c r="U312" s="154">
        <f>Aprekini!U293</f>
        <v>16445.69826984196</v>
      </c>
      <c r="V312" s="154">
        <f>Aprekini!V293</f>
        <v>17332.624554881957</v>
      </c>
      <c r="W312" s="154">
        <f>Aprekini!W293</f>
        <v>17870.58833992196</v>
      </c>
      <c r="X312" s="154">
        <f>Aprekini!X293</f>
        <v>18408.552124961963</v>
      </c>
      <c r="Y312" s="154">
        <f>Aprekini!Y293</f>
        <v>19027.028410001963</v>
      </c>
      <c r="Z312" s="154">
        <f>Aprekini!Z293</f>
        <v>19564.992195041967</v>
      </c>
      <c r="AA312" s="154">
        <f>Aprekini!AA293</f>
        <v>20129.778480081965</v>
      </c>
      <c r="AB312" s="154">
        <f>Aprekini!AB293</f>
        <v>20989.792265121963</v>
      </c>
      <c r="AC312" s="154">
        <f>Aprekini!AC293</f>
        <v>21608.26855016197</v>
      </c>
      <c r="AD312" s="154">
        <f>Aprekini!AD293</f>
        <v>21824.18233520198</v>
      </c>
      <c r="AE312" s="154">
        <f>Aprekini!AE293</f>
        <v>22764.70862024196</v>
      </c>
      <c r="AF312" s="154">
        <f>Aprekini!AF293</f>
        <v>23132.45102024197</v>
      </c>
      <c r="AG312" s="154">
        <f>Aprekini!AG293</f>
        <v>23100.751420241948</v>
      </c>
    </row>
    <row r="313" spans="1:33" s="157" customFormat="1" ht="12.75">
      <c r="A313" s="568" t="s">
        <v>336</v>
      </c>
      <c r="B313" s="154">
        <v>0</v>
      </c>
      <c r="C313" s="154">
        <f>B312+B313</f>
        <v>-1709.8400000000038</v>
      </c>
      <c r="D313" s="154">
        <f aca="true" t="shared" si="108" ref="D313:AG313">C312+C313</f>
        <v>-4035.551200000009</v>
      </c>
      <c r="E313" s="154">
        <f t="shared" si="108"/>
        <v>-3979.627668298803</v>
      </c>
      <c r="F313" s="154">
        <f t="shared" si="108"/>
        <v>-12463.401003776471</v>
      </c>
      <c r="G313" s="154">
        <f t="shared" si="108"/>
        <v>-20306.229439254137</v>
      </c>
      <c r="H313" s="154">
        <f t="shared" si="108"/>
        <v>-27455.52168969181</v>
      </c>
      <c r="I313" s="154">
        <f t="shared" si="108"/>
        <v>-33723.385255089466</v>
      </c>
      <c r="J313" s="154">
        <f t="shared" si="108"/>
        <v>-38868.28263544712</v>
      </c>
      <c r="K313" s="154">
        <f t="shared" si="108"/>
        <v>-42862.35383076478</v>
      </c>
      <c r="L313" s="154">
        <f t="shared" si="108"/>
        <v>-45724.99634104245</v>
      </c>
      <c r="M313" s="154">
        <f t="shared" si="108"/>
        <v>-45937.89516628012</v>
      </c>
      <c r="N313" s="154">
        <f t="shared" si="108"/>
        <v>-45108.340306477774</v>
      </c>
      <c r="O313" s="154">
        <f t="shared" si="108"/>
        <v>-43155.81926163544</v>
      </c>
      <c r="P313" s="154">
        <f t="shared" si="108"/>
        <v>-39289.96294501381</v>
      </c>
      <c r="Q313" s="154">
        <f t="shared" si="108"/>
        <v>-34575.069943352166</v>
      </c>
      <c r="R313" s="154">
        <f t="shared" si="108"/>
        <v>-28850.115256650526</v>
      </c>
      <c r="S313" s="154">
        <f t="shared" si="108"/>
        <v>-21561.408884908895</v>
      </c>
      <c r="T313" s="154">
        <f t="shared" si="108"/>
        <v>-11779.565828127248</v>
      </c>
      <c r="U313" s="154">
        <f t="shared" si="108"/>
        <v>4112.368256674707</v>
      </c>
      <c r="V313" s="154">
        <f t="shared" si="108"/>
        <v>20558.066526516668</v>
      </c>
      <c r="W313" s="154">
        <f t="shared" si="108"/>
        <v>37890.691081398625</v>
      </c>
      <c r="X313" s="154">
        <f t="shared" si="108"/>
        <v>55761.279421320585</v>
      </c>
      <c r="Y313" s="154">
        <f t="shared" si="108"/>
        <v>74169.83154628254</v>
      </c>
      <c r="Z313" s="154">
        <f t="shared" si="108"/>
        <v>93196.8599562845</v>
      </c>
      <c r="AA313" s="154">
        <f t="shared" si="108"/>
        <v>112761.85215132647</v>
      </c>
      <c r="AB313" s="154">
        <f t="shared" si="108"/>
        <v>132891.63063140842</v>
      </c>
      <c r="AC313" s="154">
        <f t="shared" si="108"/>
        <v>153881.4228965304</v>
      </c>
      <c r="AD313" s="154">
        <f t="shared" si="108"/>
        <v>175489.69144669236</v>
      </c>
      <c r="AE313" s="154">
        <f t="shared" si="108"/>
        <v>197313.87378189433</v>
      </c>
      <c r="AF313" s="154">
        <f t="shared" si="108"/>
        <v>220078.5824021363</v>
      </c>
      <c r="AG313" s="154">
        <f t="shared" si="108"/>
        <v>243211.03342237827</v>
      </c>
    </row>
    <row r="314" spans="1:33" s="157" customFormat="1" ht="12.75">
      <c r="A314" s="567" t="s">
        <v>337</v>
      </c>
      <c r="B314" s="118">
        <f>B315+B254+B262</f>
        <v>0</v>
      </c>
      <c r="C314" s="118">
        <f aca="true" t="shared" si="109" ref="C314:AG314">C315+C254+C262</f>
        <v>133620</v>
      </c>
      <c r="D314" s="118">
        <f t="shared" si="109"/>
        <v>718152</v>
      </c>
      <c r="E314" s="118">
        <f t="shared" si="109"/>
        <v>699842.6636189553</v>
      </c>
      <c r="F314" s="118">
        <f t="shared" si="109"/>
        <v>673909.5834284329</v>
      </c>
      <c r="G314" s="118">
        <f t="shared" si="109"/>
        <v>647976.5032379106</v>
      </c>
      <c r="H314" s="118">
        <f t="shared" si="109"/>
        <v>622043.4230473882</v>
      </c>
      <c r="I314" s="118">
        <f t="shared" si="109"/>
        <v>596110.3428568658</v>
      </c>
      <c r="J314" s="118">
        <f t="shared" si="109"/>
        <v>570177.2626663435</v>
      </c>
      <c r="K314" s="118">
        <f t="shared" si="109"/>
        <v>544244.1824758211</v>
      </c>
      <c r="L314" s="118">
        <f t="shared" si="109"/>
        <v>518311.1022852987</v>
      </c>
      <c r="M314" s="118">
        <f t="shared" si="109"/>
        <v>492378.02209477633</v>
      </c>
      <c r="N314" s="118">
        <f t="shared" si="109"/>
        <v>466444.94190425397</v>
      </c>
      <c r="O314" s="118">
        <f t="shared" si="109"/>
        <v>442376.168540253</v>
      </c>
      <c r="P314" s="118">
        <f t="shared" si="109"/>
        <v>417375.24176299135</v>
      </c>
      <c r="Q314" s="118">
        <f t="shared" si="109"/>
        <v>392374.3149857297</v>
      </c>
      <c r="R314" s="118">
        <f t="shared" si="109"/>
        <v>367373.38820846804</v>
      </c>
      <c r="S314" s="118">
        <f t="shared" si="109"/>
        <v>342372.4614312064</v>
      </c>
      <c r="T314" s="118">
        <f t="shared" si="109"/>
        <v>324328.9959679841</v>
      </c>
      <c r="U314" s="118">
        <f t="shared" si="109"/>
        <v>302806.7998477421</v>
      </c>
      <c r="V314" s="118">
        <f t="shared" si="109"/>
        <v>281284.6037275001</v>
      </c>
      <c r="W314" s="118">
        <f t="shared" si="109"/>
        <v>259762.40760725818</v>
      </c>
      <c r="X314" s="118">
        <f t="shared" si="109"/>
        <v>238240.2114870162</v>
      </c>
      <c r="Y314" s="118">
        <f t="shared" si="109"/>
        <v>216718.01536677423</v>
      </c>
      <c r="Z314" s="118">
        <f t="shared" si="109"/>
        <v>195195.81924653228</v>
      </c>
      <c r="AA314" s="118">
        <f t="shared" si="109"/>
        <v>173673.62312629033</v>
      </c>
      <c r="AB314" s="118">
        <f t="shared" si="109"/>
        <v>152151.42700604838</v>
      </c>
      <c r="AC314" s="118">
        <f t="shared" si="109"/>
        <v>130629.23088580645</v>
      </c>
      <c r="AD314" s="118">
        <f t="shared" si="109"/>
        <v>109107.03476556449</v>
      </c>
      <c r="AE314" s="118">
        <f t="shared" si="109"/>
        <v>104363.25064532255</v>
      </c>
      <c r="AF314" s="118">
        <f t="shared" si="109"/>
        <v>99619.46652508058</v>
      </c>
      <c r="AG314" s="118">
        <f t="shared" si="109"/>
        <v>94875.68240483865</v>
      </c>
    </row>
    <row r="315" spans="1:33" s="157" customFormat="1" ht="12.75">
      <c r="A315" s="568" t="s">
        <v>338</v>
      </c>
      <c r="B315" s="154">
        <f>B326-B327</f>
        <v>0</v>
      </c>
      <c r="C315" s="154">
        <f>C326-C327</f>
        <v>55574.84342311934</v>
      </c>
      <c r="D315" s="154">
        <f aca="true" t="shared" si="110" ref="D315:AG315">D326-D327</f>
        <v>298691.69999999995</v>
      </c>
      <c r="E315" s="154">
        <f t="shared" si="110"/>
        <v>280382.36361895525</v>
      </c>
      <c r="F315" s="154">
        <f t="shared" si="110"/>
        <v>271227.6954284329</v>
      </c>
      <c r="G315" s="154">
        <f t="shared" si="110"/>
        <v>262073.02723791054</v>
      </c>
      <c r="H315" s="154">
        <f t="shared" si="110"/>
        <v>252918.3590473882</v>
      </c>
      <c r="I315" s="154">
        <f t="shared" si="110"/>
        <v>243763.69085686584</v>
      </c>
      <c r="J315" s="154">
        <f t="shared" si="110"/>
        <v>234609.0226663435</v>
      </c>
      <c r="K315" s="154">
        <f t="shared" si="110"/>
        <v>225454.35447582114</v>
      </c>
      <c r="L315" s="154">
        <f t="shared" si="110"/>
        <v>216299.68628529878</v>
      </c>
      <c r="M315" s="154">
        <f t="shared" si="110"/>
        <v>207145.01809477643</v>
      </c>
      <c r="N315" s="154">
        <f t="shared" si="110"/>
        <v>197990.34990425408</v>
      </c>
      <c r="O315" s="154">
        <f t="shared" si="110"/>
        <v>190699.98854025314</v>
      </c>
      <c r="P315" s="154">
        <f t="shared" si="110"/>
        <v>182477.4737629915</v>
      </c>
      <c r="Q315" s="154">
        <f t="shared" si="110"/>
        <v>174254.95898572984</v>
      </c>
      <c r="R315" s="154">
        <f t="shared" si="110"/>
        <v>166032.4442084682</v>
      </c>
      <c r="S315" s="154">
        <f t="shared" si="110"/>
        <v>157809.92943120655</v>
      </c>
      <c r="T315" s="154">
        <f t="shared" si="110"/>
        <v>156544.87596798426</v>
      </c>
      <c r="U315" s="154">
        <f t="shared" si="110"/>
        <v>151801.0918477423</v>
      </c>
      <c r="V315" s="154">
        <f t="shared" si="110"/>
        <v>147057.30772750033</v>
      </c>
      <c r="W315" s="154">
        <f t="shared" si="110"/>
        <v>142313.52360725836</v>
      </c>
      <c r="X315" s="154">
        <f t="shared" si="110"/>
        <v>137569.7394870164</v>
      </c>
      <c r="Y315" s="154">
        <f t="shared" si="110"/>
        <v>132825.95536677443</v>
      </c>
      <c r="Z315" s="154">
        <f t="shared" si="110"/>
        <v>128082.17124653248</v>
      </c>
      <c r="AA315" s="154">
        <f t="shared" si="110"/>
        <v>123338.38712629053</v>
      </c>
      <c r="AB315" s="154">
        <f t="shared" si="110"/>
        <v>118594.60300604858</v>
      </c>
      <c r="AC315" s="154">
        <f t="shared" si="110"/>
        <v>113850.81888580663</v>
      </c>
      <c r="AD315" s="154">
        <f t="shared" si="110"/>
        <v>109107.03476556468</v>
      </c>
      <c r="AE315" s="154">
        <f t="shared" si="110"/>
        <v>104363.25064532273</v>
      </c>
      <c r="AF315" s="154">
        <f t="shared" si="110"/>
        <v>99619.46652508077</v>
      </c>
      <c r="AG315" s="154">
        <f t="shared" si="110"/>
        <v>94875.68240483882</v>
      </c>
    </row>
    <row r="316" spans="1:33" s="157" customFormat="1" ht="12.75">
      <c r="A316" s="567" t="s">
        <v>339</v>
      </c>
      <c r="B316" s="118">
        <f>B317</f>
        <v>0</v>
      </c>
      <c r="C316" s="118">
        <f aca="true" t="shared" si="111" ref="C316:AG316">C317</f>
        <v>0</v>
      </c>
      <c r="D316" s="118">
        <f t="shared" si="111"/>
        <v>0</v>
      </c>
      <c r="E316" s="118">
        <f t="shared" si="111"/>
        <v>9154.668190522338</v>
      </c>
      <c r="F316" s="118">
        <f t="shared" si="111"/>
        <v>9154.668190522338</v>
      </c>
      <c r="G316" s="118">
        <f t="shared" si="111"/>
        <v>9154.668190522338</v>
      </c>
      <c r="H316" s="118">
        <f t="shared" si="111"/>
        <v>9154.668190522338</v>
      </c>
      <c r="I316" s="118">
        <f t="shared" si="111"/>
        <v>9154.668190522338</v>
      </c>
      <c r="J316" s="118">
        <f t="shared" si="111"/>
        <v>9154.668190522338</v>
      </c>
      <c r="K316" s="118">
        <f t="shared" si="111"/>
        <v>9154.668190522338</v>
      </c>
      <c r="L316" s="118">
        <f t="shared" si="111"/>
        <v>9154.668190522338</v>
      </c>
      <c r="M316" s="118">
        <f t="shared" si="111"/>
        <v>9154.668190522338</v>
      </c>
      <c r="N316" s="118">
        <f t="shared" si="111"/>
        <v>9154.668190522338</v>
      </c>
      <c r="O316" s="118">
        <f t="shared" si="111"/>
        <v>8222.514777261636</v>
      </c>
      <c r="P316" s="118">
        <f t="shared" si="111"/>
        <v>8222.514777261636</v>
      </c>
      <c r="Q316" s="118">
        <f t="shared" si="111"/>
        <v>8222.514777261636</v>
      </c>
      <c r="R316" s="118">
        <f t="shared" si="111"/>
        <v>8222.514777261636</v>
      </c>
      <c r="S316" s="118">
        <f t="shared" si="111"/>
        <v>8222.514777261636</v>
      </c>
      <c r="T316" s="118">
        <f t="shared" si="111"/>
        <v>4743.784120241954</v>
      </c>
      <c r="U316" s="118">
        <f t="shared" si="111"/>
        <v>4743.784120241954</v>
      </c>
      <c r="V316" s="118">
        <f t="shared" si="111"/>
        <v>4743.784120241954</v>
      </c>
      <c r="W316" s="118">
        <f t="shared" si="111"/>
        <v>4743.784120241954</v>
      </c>
      <c r="X316" s="118">
        <f t="shared" si="111"/>
        <v>4743.784120241954</v>
      </c>
      <c r="Y316" s="118">
        <f t="shared" si="111"/>
        <v>4743.784120241954</v>
      </c>
      <c r="Z316" s="118">
        <f t="shared" si="111"/>
        <v>4743.784120241954</v>
      </c>
      <c r="AA316" s="118">
        <f t="shared" si="111"/>
        <v>4743.784120241954</v>
      </c>
      <c r="AB316" s="118">
        <f t="shared" si="111"/>
        <v>4743.784120241954</v>
      </c>
      <c r="AC316" s="118">
        <f t="shared" si="111"/>
        <v>4743.784120241954</v>
      </c>
      <c r="AD316" s="118">
        <f t="shared" si="111"/>
        <v>4743.784120241954</v>
      </c>
      <c r="AE316" s="118">
        <f t="shared" si="111"/>
        <v>4743.784120241954</v>
      </c>
      <c r="AF316" s="118">
        <f t="shared" si="111"/>
        <v>4743.784120241954</v>
      </c>
      <c r="AG316" s="118">
        <f t="shared" si="111"/>
        <v>4743.784120241954</v>
      </c>
    </row>
    <row r="317" spans="1:33" s="157" customFormat="1" ht="12.75">
      <c r="A317" s="568" t="s">
        <v>338</v>
      </c>
      <c r="B317" s="154">
        <f>B327</f>
        <v>0</v>
      </c>
      <c r="C317" s="154">
        <f>C327</f>
        <v>0</v>
      </c>
      <c r="D317" s="154">
        <f aca="true" t="shared" si="112" ref="D317:AG317">D327</f>
        <v>0</v>
      </c>
      <c r="E317" s="154">
        <f t="shared" si="112"/>
        <v>9154.668190522338</v>
      </c>
      <c r="F317" s="154">
        <f t="shared" si="112"/>
        <v>9154.668190522338</v>
      </c>
      <c r="G317" s="154">
        <f t="shared" si="112"/>
        <v>9154.668190522338</v>
      </c>
      <c r="H317" s="154">
        <f t="shared" si="112"/>
        <v>9154.668190522338</v>
      </c>
      <c r="I317" s="154">
        <f t="shared" si="112"/>
        <v>9154.668190522338</v>
      </c>
      <c r="J317" s="154">
        <f t="shared" si="112"/>
        <v>9154.668190522338</v>
      </c>
      <c r="K317" s="154">
        <f t="shared" si="112"/>
        <v>9154.668190522338</v>
      </c>
      <c r="L317" s="154">
        <f t="shared" si="112"/>
        <v>9154.668190522338</v>
      </c>
      <c r="M317" s="154">
        <f t="shared" si="112"/>
        <v>9154.668190522338</v>
      </c>
      <c r="N317" s="154">
        <f t="shared" si="112"/>
        <v>9154.668190522338</v>
      </c>
      <c r="O317" s="154">
        <f t="shared" si="112"/>
        <v>8222.514777261636</v>
      </c>
      <c r="P317" s="154">
        <f t="shared" si="112"/>
        <v>8222.514777261636</v>
      </c>
      <c r="Q317" s="154">
        <f t="shared" si="112"/>
        <v>8222.514777261636</v>
      </c>
      <c r="R317" s="154">
        <f t="shared" si="112"/>
        <v>8222.514777261636</v>
      </c>
      <c r="S317" s="154">
        <f t="shared" si="112"/>
        <v>8222.514777261636</v>
      </c>
      <c r="T317" s="154">
        <f t="shared" si="112"/>
        <v>4743.784120241954</v>
      </c>
      <c r="U317" s="154">
        <f t="shared" si="112"/>
        <v>4743.784120241954</v>
      </c>
      <c r="V317" s="154">
        <f t="shared" si="112"/>
        <v>4743.784120241954</v>
      </c>
      <c r="W317" s="154">
        <f t="shared" si="112"/>
        <v>4743.784120241954</v>
      </c>
      <c r="X317" s="154">
        <f t="shared" si="112"/>
        <v>4743.784120241954</v>
      </c>
      <c r="Y317" s="154">
        <f t="shared" si="112"/>
        <v>4743.784120241954</v>
      </c>
      <c r="Z317" s="154">
        <f t="shared" si="112"/>
        <v>4743.784120241954</v>
      </c>
      <c r="AA317" s="154">
        <f t="shared" si="112"/>
        <v>4743.784120241954</v>
      </c>
      <c r="AB317" s="154">
        <f t="shared" si="112"/>
        <v>4743.784120241954</v>
      </c>
      <c r="AC317" s="154">
        <f t="shared" si="112"/>
        <v>4743.784120241954</v>
      </c>
      <c r="AD317" s="154">
        <f t="shared" si="112"/>
        <v>4743.784120241954</v>
      </c>
      <c r="AE317" s="154">
        <f t="shared" si="112"/>
        <v>4743.784120241954</v>
      </c>
      <c r="AF317" s="154">
        <f t="shared" si="112"/>
        <v>4743.784120241954</v>
      </c>
      <c r="AG317" s="154">
        <f t="shared" si="112"/>
        <v>4743.784120241954</v>
      </c>
    </row>
    <row r="318" spans="1:33" s="157" customFormat="1" ht="12.75">
      <c r="A318" s="567" t="s">
        <v>340</v>
      </c>
      <c r="B318" s="118">
        <f>SUM(B309,B314,B316)</f>
        <v>63340.159999999996</v>
      </c>
      <c r="C318" s="118">
        <f>SUM(C309,C314,C316)</f>
        <v>214634.44879999998</v>
      </c>
      <c r="D318" s="118">
        <f aca="true" t="shared" si="113" ref="D318:AG318">SUM(D309,D314,D316)</f>
        <v>814222.3723317012</v>
      </c>
      <c r="E318" s="118">
        <f t="shared" si="113"/>
        <v>796583.9308057012</v>
      </c>
      <c r="F318" s="118">
        <f t="shared" si="113"/>
        <v>762808.0221797011</v>
      </c>
      <c r="G318" s="118">
        <f t="shared" si="113"/>
        <v>729725.6497387411</v>
      </c>
      <c r="H318" s="118">
        <f t="shared" si="113"/>
        <v>697524.7059828211</v>
      </c>
      <c r="I318" s="118">
        <f t="shared" si="113"/>
        <v>666446.7284119411</v>
      </c>
      <c r="J318" s="118">
        <f t="shared" si="113"/>
        <v>636519.5770261011</v>
      </c>
      <c r="K318" s="118">
        <f t="shared" si="113"/>
        <v>607723.854325301</v>
      </c>
      <c r="L318" s="118">
        <f t="shared" si="113"/>
        <v>581577.8753095409</v>
      </c>
      <c r="M318" s="118">
        <f t="shared" si="113"/>
        <v>556474.3499788209</v>
      </c>
      <c r="N318" s="118">
        <f t="shared" si="113"/>
        <v>532493.7908331408</v>
      </c>
      <c r="O318" s="118">
        <f t="shared" si="113"/>
        <v>511358.72037250083</v>
      </c>
      <c r="P318" s="118">
        <f t="shared" si="113"/>
        <v>491072.6865969008</v>
      </c>
      <c r="Q318" s="118">
        <f t="shared" si="113"/>
        <v>471796.7145063408</v>
      </c>
      <c r="R318" s="118">
        <f t="shared" si="113"/>
        <v>454084.4941008208</v>
      </c>
      <c r="S318" s="118">
        <f t="shared" si="113"/>
        <v>438865.41038034076</v>
      </c>
      <c r="T318" s="118">
        <f t="shared" si="113"/>
        <v>433235.14834490075</v>
      </c>
      <c r="U318" s="118">
        <f t="shared" si="113"/>
        <v>428158.6504945007</v>
      </c>
      <c r="V318" s="118">
        <f t="shared" si="113"/>
        <v>423969.0789291407</v>
      </c>
      <c r="W318" s="118">
        <f t="shared" si="113"/>
        <v>420317.4711488207</v>
      </c>
      <c r="X318" s="118">
        <f t="shared" si="113"/>
        <v>417203.8271535407</v>
      </c>
      <c r="Y318" s="118">
        <f t="shared" si="113"/>
        <v>414708.6594433007</v>
      </c>
      <c r="Z318" s="118">
        <f t="shared" si="113"/>
        <v>412751.4555181007</v>
      </c>
      <c r="AA318" s="118">
        <f t="shared" si="113"/>
        <v>411359.0378779407</v>
      </c>
      <c r="AB318" s="118">
        <f t="shared" si="113"/>
        <v>410826.6340228207</v>
      </c>
      <c r="AC318" s="118">
        <f t="shared" si="113"/>
        <v>410912.7064527407</v>
      </c>
      <c r="AD318" s="118">
        <f t="shared" si="113"/>
        <v>411214.69266770076</v>
      </c>
      <c r="AE318" s="118">
        <f t="shared" si="113"/>
        <v>429235.6171677008</v>
      </c>
      <c r="AF318" s="118">
        <f t="shared" si="113"/>
        <v>447624.2840677008</v>
      </c>
      <c r="AG318" s="118">
        <f t="shared" si="113"/>
        <v>465981.2513677008</v>
      </c>
    </row>
    <row r="319" spans="1:33" s="157" customFormat="1" ht="12.75" hidden="1" outlineLevel="1">
      <c r="A319" s="569"/>
      <c r="B319" s="570">
        <f aca="true" t="shared" si="114" ref="B319:AG319">B318/B307-1</f>
        <v>0</v>
      </c>
      <c r="C319" s="570">
        <f t="shared" si="114"/>
        <v>0</v>
      </c>
      <c r="D319" s="570">
        <f t="shared" si="114"/>
        <v>0</v>
      </c>
      <c r="E319" s="570">
        <f t="shared" si="114"/>
        <v>2.5107216261588405E-07</v>
      </c>
      <c r="F319" s="657">
        <f t="shared" si="114"/>
        <v>-7.865668827378158E-07</v>
      </c>
      <c r="G319" s="570">
        <f t="shared" si="114"/>
        <v>8.222274954228226E-07</v>
      </c>
      <c r="H319" s="570">
        <f t="shared" si="114"/>
        <v>-2.867281130303212E-07</v>
      </c>
      <c r="I319" s="570">
        <f t="shared" si="114"/>
        <v>0</v>
      </c>
      <c r="J319" s="570">
        <f t="shared" si="114"/>
        <v>3.1420881607679974E-07</v>
      </c>
      <c r="K319" s="570">
        <f t="shared" si="114"/>
        <v>-9.87289545117953E-07</v>
      </c>
      <c r="L319" s="570">
        <f t="shared" si="114"/>
        <v>1.0316771739127262E-06</v>
      </c>
      <c r="M319" s="570">
        <f t="shared" si="114"/>
        <v>-3.5940547560286973E-07</v>
      </c>
      <c r="N319" s="570">
        <f t="shared" si="114"/>
        <v>0</v>
      </c>
      <c r="O319" s="570">
        <f t="shared" si="114"/>
        <v>7.822303533799868E-07</v>
      </c>
      <c r="P319" s="570">
        <f t="shared" si="114"/>
        <v>-4.0727151884301094E-07</v>
      </c>
      <c r="Q319" s="570">
        <f t="shared" si="114"/>
        <v>4.2391156673815544E-07</v>
      </c>
      <c r="R319" s="570">
        <f t="shared" si="114"/>
        <v>-8.808925502368226E-07</v>
      </c>
      <c r="S319" s="570">
        <f t="shared" si="114"/>
        <v>-8.881784197001252E-16</v>
      </c>
      <c r="T319" s="570">
        <f t="shared" si="114"/>
        <v>9.232869735420479E-07</v>
      </c>
      <c r="U319" s="570">
        <f t="shared" si="114"/>
        <v>-4.6711635237617344E-07</v>
      </c>
      <c r="V319" s="570">
        <f t="shared" si="114"/>
        <v>4.7173273665102045E-07</v>
      </c>
      <c r="W319" s="570">
        <f t="shared" si="114"/>
        <v>-9.516607023529744E-07</v>
      </c>
      <c r="X319" s="570">
        <f t="shared" si="114"/>
        <v>-1.2212453270876722E-15</v>
      </c>
      <c r="Y319" s="570">
        <f t="shared" si="114"/>
        <v>9.645334770880254E-07</v>
      </c>
      <c r="Z319" s="570">
        <f t="shared" si="114"/>
        <v>-4.845528729369164E-07</v>
      </c>
      <c r="AA319" s="570">
        <f t="shared" si="114"/>
        <v>4.861935154476527E-07</v>
      </c>
      <c r="AB319" s="570">
        <f t="shared" si="114"/>
        <v>-9.736457619036187E-07</v>
      </c>
      <c r="AC319" s="570">
        <f t="shared" si="114"/>
        <v>-1.2212453270876722E-15</v>
      </c>
      <c r="AD319" s="570">
        <f t="shared" si="114"/>
        <v>9.727288341476736E-07</v>
      </c>
      <c r="AE319" s="570">
        <f t="shared" si="114"/>
        <v>-4.659443422205811E-07</v>
      </c>
      <c r="AF319" s="570">
        <f t="shared" si="114"/>
        <v>4.468034824345324E-07</v>
      </c>
      <c r="AG319" s="570">
        <f t="shared" si="114"/>
        <v>-8.584028989844228E-07</v>
      </c>
    </row>
    <row r="320" spans="1:33" s="157" customFormat="1" ht="12.75" hidden="1" outlineLevel="1">
      <c r="A320" s="569"/>
      <c r="B320" s="571"/>
      <c r="C320" s="571"/>
      <c r="D320" s="571"/>
      <c r="E320" s="571"/>
      <c r="F320" s="632"/>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row>
    <row r="321" spans="1:33" s="157" customFormat="1" ht="12.75" hidden="1" outlineLevel="1">
      <c r="A321" s="569"/>
      <c r="B321" s="571">
        <f aca="true" t="shared" si="115" ref="B321:AG321">B318-B307</f>
        <v>0</v>
      </c>
      <c r="C321" s="571">
        <f t="shared" si="115"/>
        <v>0</v>
      </c>
      <c r="D321" s="571">
        <f t="shared" si="115"/>
        <v>0</v>
      </c>
      <c r="E321" s="571">
        <f t="shared" si="115"/>
        <v>0.19999999995343387</v>
      </c>
      <c r="F321" s="632">
        <f t="shared" si="115"/>
        <v>-0.6000000000931323</v>
      </c>
      <c r="G321" s="571">
        <f t="shared" si="115"/>
        <v>0.5999999999767169</v>
      </c>
      <c r="H321" s="571">
        <f t="shared" si="115"/>
        <v>-0.2000000000698492</v>
      </c>
      <c r="I321" s="571">
        <f t="shared" si="115"/>
        <v>0</v>
      </c>
      <c r="J321" s="571">
        <f t="shared" si="115"/>
        <v>0.19999999983701855</v>
      </c>
      <c r="K321" s="571">
        <f t="shared" si="115"/>
        <v>-0.6000000000931323</v>
      </c>
      <c r="L321" s="571">
        <f t="shared" si="115"/>
        <v>0.5999999997438863</v>
      </c>
      <c r="M321" s="571">
        <f t="shared" si="115"/>
        <v>-0.20000000030267984</v>
      </c>
      <c r="N321" s="571">
        <f t="shared" si="115"/>
        <v>0</v>
      </c>
      <c r="O321" s="571">
        <f t="shared" si="115"/>
        <v>0.3999999996740371</v>
      </c>
      <c r="P321" s="571">
        <f t="shared" si="115"/>
        <v>-0.2000000003608875</v>
      </c>
      <c r="Q321" s="571">
        <f t="shared" si="115"/>
        <v>0.1999999996041879</v>
      </c>
      <c r="R321" s="571">
        <f t="shared" si="115"/>
        <v>-0.40000000037252903</v>
      </c>
      <c r="S321" s="571">
        <f t="shared" si="115"/>
        <v>0</v>
      </c>
      <c r="T321" s="571">
        <f t="shared" si="115"/>
        <v>0.39999999961582944</v>
      </c>
      <c r="U321" s="571">
        <f t="shared" si="115"/>
        <v>-0.20000000047730282</v>
      </c>
      <c r="V321" s="571">
        <f t="shared" si="115"/>
        <v>0.19999999948777258</v>
      </c>
      <c r="W321" s="571">
        <f t="shared" si="115"/>
        <v>-0.40000000048894435</v>
      </c>
      <c r="X321" s="571">
        <f t="shared" si="115"/>
        <v>-5.238689482212067E-10</v>
      </c>
      <c r="Y321" s="571">
        <f t="shared" si="115"/>
        <v>0.39999999944120646</v>
      </c>
      <c r="Z321" s="571">
        <f t="shared" si="115"/>
        <v>-0.20000000047730282</v>
      </c>
      <c r="AA321" s="571">
        <f t="shared" si="115"/>
        <v>0.19999999948777258</v>
      </c>
      <c r="AB321" s="571">
        <f t="shared" si="115"/>
        <v>-0.400000000547152</v>
      </c>
      <c r="AC321" s="571">
        <f t="shared" si="115"/>
        <v>-5.238689482212067E-10</v>
      </c>
      <c r="AD321" s="571">
        <f t="shared" si="115"/>
        <v>0.3999999994994141</v>
      </c>
      <c r="AE321" s="571">
        <f t="shared" si="115"/>
        <v>-0.20000000047730282</v>
      </c>
      <c r="AF321" s="571">
        <f t="shared" si="115"/>
        <v>0.19999999954598024</v>
      </c>
      <c r="AG321" s="571">
        <f t="shared" si="115"/>
        <v>-0.4000000004307367</v>
      </c>
    </row>
    <row r="322" spans="1:33" s="157" customFormat="1" ht="12.75" hidden="1" outlineLevel="1">
      <c r="A322" s="569"/>
      <c r="C322" s="571">
        <f aca="true" t="shared" si="116" ref="C322:AG322">C321-B321</f>
        <v>0</v>
      </c>
      <c r="D322" s="571">
        <f t="shared" si="116"/>
        <v>0</v>
      </c>
      <c r="E322" s="571">
        <f t="shared" si="116"/>
        <v>0.19999999995343387</v>
      </c>
      <c r="F322" s="632">
        <f t="shared" si="116"/>
        <v>-0.8000000000465661</v>
      </c>
      <c r="G322" s="571">
        <f t="shared" si="116"/>
        <v>1.2000000000698492</v>
      </c>
      <c r="H322" s="571">
        <f t="shared" si="116"/>
        <v>-0.8000000000465661</v>
      </c>
      <c r="I322" s="571">
        <f t="shared" si="116"/>
        <v>0.2000000000698492</v>
      </c>
      <c r="J322" s="571">
        <f t="shared" si="116"/>
        <v>0.19999999983701855</v>
      </c>
      <c r="K322" s="571">
        <f t="shared" si="116"/>
        <v>-0.7999999999301508</v>
      </c>
      <c r="L322" s="571">
        <f t="shared" si="116"/>
        <v>1.1999999998370185</v>
      </c>
      <c r="M322" s="571">
        <f t="shared" si="116"/>
        <v>-0.8000000000465661</v>
      </c>
      <c r="N322" s="571">
        <f t="shared" si="116"/>
        <v>0.20000000030267984</v>
      </c>
      <c r="O322" s="571">
        <f t="shared" si="116"/>
        <v>0.3999999996740371</v>
      </c>
      <c r="P322" s="571">
        <f t="shared" si="116"/>
        <v>-0.6000000000349246</v>
      </c>
      <c r="Q322" s="571">
        <f t="shared" si="116"/>
        <v>0.3999999999650754</v>
      </c>
      <c r="R322" s="571">
        <f t="shared" si="116"/>
        <v>-0.5999999999767169</v>
      </c>
      <c r="S322" s="571">
        <f t="shared" si="116"/>
        <v>0.40000000037252903</v>
      </c>
      <c r="T322" s="571">
        <f t="shared" si="116"/>
        <v>0.39999999961582944</v>
      </c>
      <c r="U322" s="571">
        <f t="shared" si="116"/>
        <v>-0.6000000000931323</v>
      </c>
      <c r="V322" s="571">
        <f t="shared" si="116"/>
        <v>0.3999999999650754</v>
      </c>
      <c r="W322" s="571">
        <f t="shared" si="116"/>
        <v>-0.5999999999767169</v>
      </c>
      <c r="X322" s="571">
        <f t="shared" si="116"/>
        <v>0.3999999999650754</v>
      </c>
      <c r="Y322" s="571">
        <f t="shared" si="116"/>
        <v>0.3999999999650754</v>
      </c>
      <c r="Z322" s="571">
        <f t="shared" si="116"/>
        <v>-0.5999999999185093</v>
      </c>
      <c r="AA322" s="571">
        <f t="shared" si="116"/>
        <v>0.3999999999650754</v>
      </c>
      <c r="AB322" s="571">
        <f t="shared" si="116"/>
        <v>-0.6000000000349246</v>
      </c>
      <c r="AC322" s="571">
        <f t="shared" si="116"/>
        <v>0.40000000002328306</v>
      </c>
      <c r="AD322" s="571">
        <f t="shared" si="116"/>
        <v>0.40000000002328306</v>
      </c>
      <c r="AE322" s="571">
        <f t="shared" si="116"/>
        <v>-0.5999999999767169</v>
      </c>
      <c r="AF322" s="571">
        <f t="shared" si="116"/>
        <v>0.40000000002328306</v>
      </c>
      <c r="AG322" s="571">
        <f t="shared" si="116"/>
        <v>-0.5999999999767169</v>
      </c>
    </row>
    <row r="323" spans="1:6" s="157" customFormat="1" ht="12.75" hidden="1" outlineLevel="1">
      <c r="A323" s="569"/>
      <c r="F323" s="633"/>
    </row>
    <row r="324" spans="1:6" s="157" customFormat="1" ht="12.75" hidden="1" outlineLevel="1">
      <c r="A324" s="569"/>
      <c r="F324" s="633"/>
    </row>
    <row r="325" spans="1:35" s="157" customFormat="1" ht="12.75" hidden="1" outlineLevel="1">
      <c r="A325" s="569" t="s">
        <v>341</v>
      </c>
      <c r="B325" s="571">
        <f>SUM(Aprekini!B148,Aprekini!B152)</f>
        <v>0</v>
      </c>
      <c r="C325" s="571">
        <f>SUM(Aprekini!C148,Aprekini!C152)</f>
        <v>55574.84342311934</v>
      </c>
      <c r="D325" s="571">
        <f>SUM(Aprekini!D148,Aprekini!D152)</f>
        <v>243116.85657688064</v>
      </c>
      <c r="E325" s="571">
        <f>SUM(Aprekini!E148,Aprekini!E152)</f>
        <v>0</v>
      </c>
      <c r="F325" s="632">
        <f>SUM(Aprekini!F148,Aprekini!F152)</f>
        <v>0</v>
      </c>
      <c r="G325" s="571">
        <f>SUM(Aprekini!G148,Aprekini!G152)</f>
        <v>0</v>
      </c>
      <c r="H325" s="571">
        <f>SUM(Aprekini!H148,Aprekini!H152)</f>
        <v>0</v>
      </c>
      <c r="I325" s="571">
        <f>SUM(Aprekini!I148,Aprekini!I152)</f>
        <v>0</v>
      </c>
      <c r="J325" s="571">
        <f>SUM(Aprekini!J148,Aprekini!J152)</f>
        <v>0</v>
      </c>
      <c r="K325" s="571">
        <f>SUM(Aprekini!K148,Aprekini!K152)</f>
        <v>0</v>
      </c>
      <c r="L325" s="571">
        <f>SUM(Aprekini!L148,Aprekini!L152)</f>
        <v>0</v>
      </c>
      <c r="M325" s="571">
        <f>SUM(Aprekini!M148,Aprekini!M152)</f>
        <v>0</v>
      </c>
      <c r="N325" s="571">
        <f>SUM(Aprekini!N148,Aprekini!N152)</f>
        <v>0</v>
      </c>
      <c r="O325" s="571">
        <f>SUM(Aprekini!O148,Aprekini!O152)</f>
        <v>0</v>
      </c>
      <c r="P325" s="571">
        <f>SUM(Aprekini!P148,Aprekini!P152)</f>
        <v>0</v>
      </c>
      <c r="Q325" s="571">
        <f>SUM(Aprekini!Q148,Aprekini!Q152)</f>
        <v>0</v>
      </c>
      <c r="R325" s="571">
        <f>SUM(Aprekini!R148,Aprekini!R152)</f>
        <v>0</v>
      </c>
      <c r="S325" s="571">
        <f>SUM(Aprekini!S148,Aprekini!S152)</f>
        <v>0</v>
      </c>
      <c r="T325" s="571">
        <f>SUM(Aprekini!T148,Aprekini!T152)</f>
        <v>0</v>
      </c>
      <c r="U325" s="571">
        <f>SUM(Aprekini!U148,Aprekini!U152)</f>
        <v>0</v>
      </c>
      <c r="V325" s="571">
        <f>SUM(Aprekini!V148,Aprekini!V152)</f>
        <v>0</v>
      </c>
      <c r="W325" s="571">
        <f>SUM(Aprekini!W148,Aprekini!W152)</f>
        <v>0</v>
      </c>
      <c r="X325" s="571">
        <f>SUM(Aprekini!X148,Aprekini!X152)</f>
        <v>0</v>
      </c>
      <c r="Y325" s="571">
        <f>SUM(Aprekini!Y148,Aprekini!Y152)</f>
        <v>0</v>
      </c>
      <c r="Z325" s="571">
        <f>SUM(Aprekini!Z148,Aprekini!Z152)</f>
        <v>0</v>
      </c>
      <c r="AA325" s="571">
        <f>SUM(Aprekini!AA148,Aprekini!AA152)</f>
        <v>0</v>
      </c>
      <c r="AB325" s="571">
        <f>SUM(Aprekini!AB148,Aprekini!AB152)</f>
        <v>0</v>
      </c>
      <c r="AC325" s="571">
        <f>SUM(Aprekini!AC148,Aprekini!AC152)</f>
        <v>0</v>
      </c>
      <c r="AD325" s="571">
        <f>SUM(Aprekini!AD148,Aprekini!AD152)</f>
        <v>0</v>
      </c>
      <c r="AE325" s="571">
        <f>SUM(Aprekini!AE148,Aprekini!AE152)</f>
        <v>0</v>
      </c>
      <c r="AF325" s="571">
        <f>SUM(Aprekini!AF148,Aprekini!AF152)</f>
        <v>0</v>
      </c>
      <c r="AG325" s="571">
        <f>SUM(Aprekini!AG148,Aprekini!AG152)</f>
        <v>0</v>
      </c>
      <c r="AH325" s="571">
        <f>SUM(Aprekini!AH148,Aprekini!AH152)</f>
        <v>0</v>
      </c>
      <c r="AI325" s="571">
        <f>SUM(Aprekini!AI148,Aprekini!AI152)</f>
        <v>0</v>
      </c>
    </row>
    <row r="326" spans="1:35" s="157" customFormat="1" ht="12.75" hidden="1" outlineLevel="1">
      <c r="A326" s="569" t="s">
        <v>342</v>
      </c>
      <c r="B326" s="571">
        <f>B325-B327</f>
        <v>0</v>
      </c>
      <c r="C326" s="571">
        <f aca="true" t="shared" si="117" ref="C326:AG326">B326+C325-C327</f>
        <v>55574.84342311934</v>
      </c>
      <c r="D326" s="571">
        <f t="shared" si="117"/>
        <v>298691.69999999995</v>
      </c>
      <c r="E326" s="571">
        <f t="shared" si="117"/>
        <v>289537.0318094776</v>
      </c>
      <c r="F326" s="632">
        <f t="shared" si="117"/>
        <v>280382.36361895525</v>
      </c>
      <c r="G326" s="571">
        <f t="shared" si="117"/>
        <v>271227.6954284329</v>
      </c>
      <c r="H326" s="571">
        <f t="shared" si="117"/>
        <v>262073.02723791054</v>
      </c>
      <c r="I326" s="571">
        <f t="shared" si="117"/>
        <v>252918.3590473882</v>
      </c>
      <c r="J326" s="571">
        <f t="shared" si="117"/>
        <v>243763.69085686584</v>
      </c>
      <c r="K326" s="571">
        <f t="shared" si="117"/>
        <v>234609.0226663435</v>
      </c>
      <c r="L326" s="571">
        <f t="shared" si="117"/>
        <v>225454.35447582114</v>
      </c>
      <c r="M326" s="571">
        <f t="shared" si="117"/>
        <v>216299.68628529878</v>
      </c>
      <c r="N326" s="571">
        <f t="shared" si="117"/>
        <v>207145.01809477643</v>
      </c>
      <c r="O326" s="571">
        <f t="shared" si="117"/>
        <v>198922.50331751478</v>
      </c>
      <c r="P326" s="571">
        <f t="shared" si="117"/>
        <v>190699.98854025314</v>
      </c>
      <c r="Q326" s="571">
        <f t="shared" si="117"/>
        <v>182477.4737629915</v>
      </c>
      <c r="R326" s="571">
        <f t="shared" si="117"/>
        <v>174254.95898572984</v>
      </c>
      <c r="S326" s="571">
        <f t="shared" si="117"/>
        <v>166032.4442084682</v>
      </c>
      <c r="T326" s="571">
        <f t="shared" si="117"/>
        <v>161288.66008822623</v>
      </c>
      <c r="U326" s="571">
        <f t="shared" si="117"/>
        <v>156544.87596798426</v>
      </c>
      <c r="V326" s="571">
        <f t="shared" si="117"/>
        <v>151801.0918477423</v>
      </c>
      <c r="W326" s="571">
        <f t="shared" si="117"/>
        <v>147057.30772750033</v>
      </c>
      <c r="X326" s="571">
        <f t="shared" si="117"/>
        <v>142313.52360725836</v>
      </c>
      <c r="Y326" s="571">
        <f t="shared" si="117"/>
        <v>137569.7394870164</v>
      </c>
      <c r="Z326" s="571">
        <f t="shared" si="117"/>
        <v>132825.95536677443</v>
      </c>
      <c r="AA326" s="571">
        <f t="shared" si="117"/>
        <v>128082.17124653248</v>
      </c>
      <c r="AB326" s="571">
        <f t="shared" si="117"/>
        <v>123338.38712629053</v>
      </c>
      <c r="AC326" s="571">
        <f t="shared" si="117"/>
        <v>118594.60300604858</v>
      </c>
      <c r="AD326" s="571">
        <f t="shared" si="117"/>
        <v>113850.81888580663</v>
      </c>
      <c r="AE326" s="571">
        <f t="shared" si="117"/>
        <v>109107.03476556468</v>
      </c>
      <c r="AF326" s="571">
        <f t="shared" si="117"/>
        <v>104363.25064532273</v>
      </c>
      <c r="AG326" s="571">
        <f t="shared" si="117"/>
        <v>99619.46652508077</v>
      </c>
      <c r="AH326" s="571">
        <f>AG326+AH325-AH327</f>
        <v>94875.68240483882</v>
      </c>
      <c r="AI326" s="571">
        <f>AH326+AI325-AI327</f>
        <v>94875.68240483882</v>
      </c>
    </row>
    <row r="327" spans="1:35" s="157" customFormat="1" ht="12.75" hidden="1" outlineLevel="1">
      <c r="A327" s="569" t="s">
        <v>343</v>
      </c>
      <c r="B327" s="571">
        <f>Aprekini!B278+Aprekini!B273</f>
        <v>0</v>
      </c>
      <c r="C327" s="571">
        <f>Aprekini!C278+Aprekini!C273</f>
        <v>0</v>
      </c>
      <c r="D327" s="571">
        <f>Aprekini!D278+Aprekini!D273</f>
        <v>0</v>
      </c>
      <c r="E327" s="571">
        <f>Aprekini!E278+Aprekini!E273</f>
        <v>9154.668190522338</v>
      </c>
      <c r="F327" s="632">
        <f>Aprekini!F278+Aprekini!F273</f>
        <v>9154.668190522338</v>
      </c>
      <c r="G327" s="571">
        <f>Aprekini!G278+Aprekini!G273</f>
        <v>9154.668190522338</v>
      </c>
      <c r="H327" s="571">
        <f>Aprekini!H278+Aprekini!H273</f>
        <v>9154.668190522338</v>
      </c>
      <c r="I327" s="571">
        <f>Aprekini!I278+Aprekini!I273</f>
        <v>9154.668190522338</v>
      </c>
      <c r="J327" s="571">
        <f>Aprekini!J278+Aprekini!J273</f>
        <v>9154.668190522338</v>
      </c>
      <c r="K327" s="571">
        <f>Aprekini!K278+Aprekini!K273</f>
        <v>9154.668190522338</v>
      </c>
      <c r="L327" s="571">
        <f>Aprekini!L278+Aprekini!L273</f>
        <v>9154.668190522338</v>
      </c>
      <c r="M327" s="571">
        <f>Aprekini!M278+Aprekini!M273</f>
        <v>9154.668190522338</v>
      </c>
      <c r="N327" s="571">
        <f>Aprekini!N278+Aprekini!N273</f>
        <v>9154.668190522338</v>
      </c>
      <c r="O327" s="571">
        <f>Aprekini!O278+Aprekini!O273</f>
        <v>8222.514777261636</v>
      </c>
      <c r="P327" s="571">
        <f>Aprekini!P278+Aprekini!P273</f>
        <v>8222.514777261636</v>
      </c>
      <c r="Q327" s="571">
        <f>Aprekini!Q278+Aprekini!Q273</f>
        <v>8222.514777261636</v>
      </c>
      <c r="R327" s="571">
        <f>Aprekini!R278+Aprekini!R273</f>
        <v>8222.514777261636</v>
      </c>
      <c r="S327" s="571">
        <f>Aprekini!S278+Aprekini!S273</f>
        <v>8222.514777261636</v>
      </c>
      <c r="T327" s="571">
        <f>Aprekini!T278+Aprekini!T273</f>
        <v>4743.784120241954</v>
      </c>
      <c r="U327" s="571">
        <f>Aprekini!U278+Aprekini!U273</f>
        <v>4743.784120241954</v>
      </c>
      <c r="V327" s="571">
        <f>Aprekini!V278+Aprekini!V273</f>
        <v>4743.784120241954</v>
      </c>
      <c r="W327" s="571">
        <f>Aprekini!W278+Aprekini!W273</f>
        <v>4743.784120241954</v>
      </c>
      <c r="X327" s="571">
        <f>Aprekini!X278+Aprekini!X273</f>
        <v>4743.784120241954</v>
      </c>
      <c r="Y327" s="571">
        <f>Aprekini!Y278+Aprekini!Y273</f>
        <v>4743.784120241954</v>
      </c>
      <c r="Z327" s="571">
        <f>Aprekini!Z278+Aprekini!Z273</f>
        <v>4743.784120241954</v>
      </c>
      <c r="AA327" s="571">
        <f>Aprekini!AA278+Aprekini!AA273</f>
        <v>4743.784120241954</v>
      </c>
      <c r="AB327" s="571">
        <f>Aprekini!AB278+Aprekini!AB273</f>
        <v>4743.784120241954</v>
      </c>
      <c r="AC327" s="571">
        <f>Aprekini!AC278+Aprekini!AC273</f>
        <v>4743.784120241954</v>
      </c>
      <c r="AD327" s="571">
        <f>Aprekini!AD278+Aprekini!AD273</f>
        <v>4743.784120241954</v>
      </c>
      <c r="AE327" s="571">
        <f>Aprekini!AE278+Aprekini!AE273</f>
        <v>4743.784120241954</v>
      </c>
      <c r="AF327" s="571">
        <f>Aprekini!AF278+Aprekini!AF273</f>
        <v>4743.784120241954</v>
      </c>
      <c r="AG327" s="571">
        <f>Aprekini!AG278+Aprekini!AG273</f>
        <v>4743.784120241954</v>
      </c>
      <c r="AH327" s="571">
        <f>Aprekini!AG278+Aprekini!AG273</f>
        <v>4743.784120241954</v>
      </c>
      <c r="AI327" s="571">
        <f>Aprekini!AI278+Aprekini!AI273</f>
        <v>0</v>
      </c>
    </row>
    <row r="328" spans="1:35" s="157" customFormat="1" ht="12.75" hidden="1" outlineLevel="1">
      <c r="A328" s="569"/>
      <c r="C328" s="571">
        <f aca="true" t="shared" si="118" ref="C328:AG328">C301+C302+C303-B301-B302-B303</f>
        <v>130020</v>
      </c>
      <c r="D328" s="571">
        <f t="shared" si="118"/>
        <v>580932</v>
      </c>
      <c r="E328" s="571">
        <f t="shared" si="118"/>
        <v>-25611</v>
      </c>
      <c r="F328" s="632">
        <f t="shared" si="118"/>
        <v>-25610</v>
      </c>
      <c r="G328" s="571">
        <f t="shared" si="118"/>
        <v>-25612</v>
      </c>
      <c r="H328" s="571">
        <f t="shared" si="118"/>
        <v>-25610</v>
      </c>
      <c r="I328" s="571">
        <f t="shared" si="118"/>
        <v>-25611</v>
      </c>
      <c r="J328" s="571">
        <f t="shared" si="118"/>
        <v>-25261</v>
      </c>
      <c r="K328" s="571">
        <f t="shared" si="118"/>
        <v>-25010</v>
      </c>
      <c r="L328" s="571">
        <f t="shared" si="118"/>
        <v>-23512</v>
      </c>
      <c r="M328" s="571">
        <f t="shared" si="118"/>
        <v>-23510</v>
      </c>
      <c r="N328" s="571">
        <f t="shared" si="118"/>
        <v>-23511</v>
      </c>
      <c r="O328" s="571">
        <f t="shared" si="118"/>
        <v>-21270</v>
      </c>
      <c r="P328" s="571">
        <f t="shared" si="118"/>
        <v>-21269</v>
      </c>
      <c r="Q328" s="571">
        <f t="shared" si="118"/>
        <v>-21270</v>
      </c>
      <c r="R328" s="571">
        <f t="shared" si="118"/>
        <v>-20769</v>
      </c>
      <c r="S328" s="571">
        <f t="shared" si="118"/>
        <v>-19770</v>
      </c>
      <c r="T328" s="571">
        <f t="shared" si="118"/>
        <v>-11406</v>
      </c>
      <c r="U328" s="571">
        <f t="shared" si="118"/>
        <v>-11405</v>
      </c>
      <c r="V328" s="571">
        <f t="shared" si="118"/>
        <v>-11406</v>
      </c>
      <c r="W328" s="571">
        <f t="shared" si="118"/>
        <v>-11405</v>
      </c>
      <c r="X328" s="571">
        <f t="shared" si="118"/>
        <v>-11406</v>
      </c>
      <c r="Y328" s="571">
        <f t="shared" si="118"/>
        <v>-11406</v>
      </c>
      <c r="Z328" s="571">
        <f t="shared" si="118"/>
        <v>-11405</v>
      </c>
      <c r="AA328" s="571">
        <f t="shared" si="118"/>
        <v>-11406</v>
      </c>
      <c r="AB328" s="571">
        <f t="shared" si="118"/>
        <v>-11405</v>
      </c>
      <c r="AC328" s="571">
        <f t="shared" si="118"/>
        <v>-11406</v>
      </c>
      <c r="AD328" s="571">
        <f t="shared" si="118"/>
        <v>-11406</v>
      </c>
      <c r="AE328" s="571">
        <f t="shared" si="118"/>
        <v>-11405</v>
      </c>
      <c r="AF328" s="571">
        <f t="shared" si="118"/>
        <v>-11406</v>
      </c>
      <c r="AG328" s="571">
        <f t="shared" si="118"/>
        <v>-11405</v>
      </c>
      <c r="AH328" s="571">
        <f>AH301+AH302+AH303-AG301-AG302-AG303</f>
        <v>-239518</v>
      </c>
      <c r="AI328" s="571">
        <f>AI301+AI302+AI303-AH301-AH302-AH303</f>
        <v>0</v>
      </c>
    </row>
    <row r="329" spans="1:35" s="157" customFormat="1" ht="12.75" hidden="1" outlineLevel="1">
      <c r="A329" s="569"/>
      <c r="C329" s="571">
        <f aca="true" t="shared" si="119" ref="C329:AG329">C314+C316-B316-B314</f>
        <v>133620</v>
      </c>
      <c r="D329" s="571">
        <f t="shared" si="119"/>
        <v>584532</v>
      </c>
      <c r="E329" s="571">
        <f t="shared" si="119"/>
        <v>-9154.668190522352</v>
      </c>
      <c r="F329" s="632">
        <f t="shared" si="119"/>
        <v>-25933.080190522363</v>
      </c>
      <c r="G329" s="571">
        <f t="shared" si="119"/>
        <v>-25933.080190522363</v>
      </c>
      <c r="H329" s="571">
        <f t="shared" si="119"/>
        <v>-25933.080190522363</v>
      </c>
      <c r="I329" s="571">
        <f t="shared" si="119"/>
        <v>-25933.080190522363</v>
      </c>
      <c r="J329" s="571">
        <f t="shared" si="119"/>
        <v>-25933.080190522363</v>
      </c>
      <c r="K329" s="571">
        <f t="shared" si="119"/>
        <v>-25933.080190522363</v>
      </c>
      <c r="L329" s="571">
        <f t="shared" si="119"/>
        <v>-25933.08019052248</v>
      </c>
      <c r="M329" s="571">
        <f t="shared" si="119"/>
        <v>-25933.080190522363</v>
      </c>
      <c r="N329" s="571">
        <f t="shared" si="119"/>
        <v>-25933.080190522363</v>
      </c>
      <c r="O329" s="571">
        <f t="shared" si="119"/>
        <v>-25000.92677726166</v>
      </c>
      <c r="P329" s="571">
        <f t="shared" si="119"/>
        <v>-25000.92677726166</v>
      </c>
      <c r="Q329" s="571">
        <f t="shared" si="119"/>
        <v>-25000.92677726166</v>
      </c>
      <c r="R329" s="571">
        <f t="shared" si="119"/>
        <v>-25000.92677726166</v>
      </c>
      <c r="S329" s="571">
        <f t="shared" si="119"/>
        <v>-25000.92677726166</v>
      </c>
      <c r="T329" s="571">
        <f t="shared" si="119"/>
        <v>-21522.196120242006</v>
      </c>
      <c r="U329" s="571">
        <f t="shared" si="119"/>
        <v>-21522.196120242006</v>
      </c>
      <c r="V329" s="571">
        <f t="shared" si="119"/>
        <v>-21522.196120241948</v>
      </c>
      <c r="W329" s="571">
        <f t="shared" si="119"/>
        <v>-21522.196120241977</v>
      </c>
      <c r="X329" s="571">
        <f t="shared" si="119"/>
        <v>-21522.196120241977</v>
      </c>
      <c r="Y329" s="571">
        <f t="shared" si="119"/>
        <v>-21522.196120241977</v>
      </c>
      <c r="Z329" s="571">
        <f t="shared" si="119"/>
        <v>-21522.196120241948</v>
      </c>
      <c r="AA329" s="571">
        <f t="shared" si="119"/>
        <v>-21522.196120241948</v>
      </c>
      <c r="AB329" s="571">
        <f t="shared" si="119"/>
        <v>-21522.196120241948</v>
      </c>
      <c r="AC329" s="571">
        <f t="shared" si="119"/>
        <v>-21522.196120241933</v>
      </c>
      <c r="AD329" s="571">
        <f t="shared" si="119"/>
        <v>-21522.196120241962</v>
      </c>
      <c r="AE329" s="571">
        <f t="shared" si="119"/>
        <v>-4743.784120241937</v>
      </c>
      <c r="AF329" s="571">
        <f t="shared" si="119"/>
        <v>-4743.784120241966</v>
      </c>
      <c r="AG329" s="571">
        <f t="shared" si="119"/>
        <v>-4743.784120241937</v>
      </c>
      <c r="AH329" s="571">
        <f>AH314+AH316-AG316-AG314</f>
        <v>-99619.4665250806</v>
      </c>
      <c r="AI329" s="571">
        <f>AI314+AI316-AH316-AH314</f>
        <v>0</v>
      </c>
    </row>
    <row r="330" ht="12.75" collapsed="1"/>
    <row r="331" ht="12" customHeight="1"/>
    <row r="348" spans="1:7" ht="12.75">
      <c r="A348"/>
      <c r="B348"/>
      <c r="C348"/>
      <c r="D348"/>
      <c r="E348"/>
      <c r="F348" s="653"/>
      <c r="G348"/>
    </row>
    <row r="349" spans="1:7" ht="12.75">
      <c r="A349"/>
      <c r="B349"/>
      <c r="C349"/>
      <c r="D349"/>
      <c r="E349"/>
      <c r="F349" s="653"/>
      <c r="G349"/>
    </row>
    <row r="350" spans="1:7" ht="12.75">
      <c r="A350"/>
      <c r="B350"/>
      <c r="C350"/>
      <c r="D350"/>
      <c r="E350"/>
      <c r="F350" s="653"/>
      <c r="G350"/>
    </row>
    <row r="351" spans="1:7" ht="12.75">
      <c r="A351"/>
      <c r="B351"/>
      <c r="C351"/>
      <c r="D351"/>
      <c r="E351"/>
      <c r="F351" s="653"/>
      <c r="G351"/>
    </row>
    <row r="352" spans="1:7" ht="12.75">
      <c r="A352"/>
      <c r="B352"/>
      <c r="C352"/>
      <c r="D352"/>
      <c r="E352"/>
      <c r="F352" s="653"/>
      <c r="G352"/>
    </row>
    <row r="353" spans="1:7" ht="12.75">
      <c r="A353"/>
      <c r="B353"/>
      <c r="C353"/>
      <c r="D353"/>
      <c r="E353"/>
      <c r="F353" s="653"/>
      <c r="G353"/>
    </row>
    <row r="354" spans="1:7" ht="12.75">
      <c r="A354"/>
      <c r="B354"/>
      <c r="C354"/>
      <c r="D354"/>
      <c r="E354"/>
      <c r="F354" s="653"/>
      <c r="G354"/>
    </row>
    <row r="355" spans="1:7" ht="12.75">
      <c r="A355"/>
      <c r="B355"/>
      <c r="C355"/>
      <c r="D355"/>
      <c r="E355"/>
      <c r="F355" s="653"/>
      <c r="G355"/>
    </row>
    <row r="356" spans="1:7" ht="12.75">
      <c r="A356"/>
      <c r="B356"/>
      <c r="C356"/>
      <c r="D356"/>
      <c r="E356"/>
      <c r="F356" s="653"/>
      <c r="G356"/>
    </row>
    <row r="357" spans="1:7" ht="12.75">
      <c r="A357"/>
      <c r="B357"/>
      <c r="C357"/>
      <c r="D357"/>
      <c r="E357"/>
      <c r="F357" s="653"/>
      <c r="G357"/>
    </row>
    <row r="358" spans="1:7" ht="12.75">
      <c r="A358"/>
      <c r="B358"/>
      <c r="C358"/>
      <c r="D358"/>
      <c r="E358"/>
      <c r="F358" s="653"/>
      <c r="G358"/>
    </row>
    <row r="359" spans="1:7" ht="12.75">
      <c r="A359"/>
      <c r="B359"/>
      <c r="C359"/>
      <c r="D359"/>
      <c r="E359"/>
      <c r="F359" s="653"/>
      <c r="G359"/>
    </row>
    <row r="360" spans="1:7" ht="12.75">
      <c r="A360"/>
      <c r="B360"/>
      <c r="C360"/>
      <c r="D360"/>
      <c r="E360"/>
      <c r="F360" s="653"/>
      <c r="G360"/>
    </row>
    <row r="361" spans="1:7" ht="12.75">
      <c r="A361"/>
      <c r="B361"/>
      <c r="C361"/>
      <c r="D361"/>
      <c r="E361"/>
      <c r="F361" s="653"/>
      <c r="G361"/>
    </row>
    <row r="362" spans="1:7" ht="12.75">
      <c r="A362"/>
      <c r="B362"/>
      <c r="C362"/>
      <c r="D362"/>
      <c r="E362"/>
      <c r="F362" s="653"/>
      <c r="G362"/>
    </row>
    <row r="363" spans="1:7" ht="12.75">
      <c r="A363"/>
      <c r="B363"/>
      <c r="C363"/>
      <c r="D363"/>
      <c r="E363"/>
      <c r="F363" s="653"/>
      <c r="G363"/>
    </row>
    <row r="364" spans="1:7" ht="12.75">
      <c r="A364"/>
      <c r="B364"/>
      <c r="C364"/>
      <c r="D364"/>
      <c r="E364"/>
      <c r="F364" s="653"/>
      <c r="G364"/>
    </row>
    <row r="365" spans="1:7" ht="12.75">
      <c r="A365"/>
      <c r="B365"/>
      <c r="C365"/>
      <c r="D365"/>
      <c r="E365"/>
      <c r="F365" s="653"/>
      <c r="G365"/>
    </row>
  </sheetData>
  <sheetProtection/>
  <dataValidations count="2">
    <dataValidation operator="equal" allowBlank="1" showErrorMessage="1" errorTitle="Jāievada pozitīvs skaitlis" error="Jāievada pozitīvs skaitlis" sqref="C19:AI27 C8:AI16 B17:AI18">
      <formula1>0</formula1>
    </dataValidation>
    <dataValidation type="decimal" operator="greaterThanOrEqual" allowBlank="1" showErrorMessage="1" errorTitle="Jāievada pozitīvs skaitlis" error="Jāievada pozitīvs skaitlis" sqref="B19:B27 B8:B16">
      <formula1>0</formula1>
    </dataValidation>
  </dataValidations>
  <printOptions horizontalCentered="1"/>
  <pageMargins left="0.5902777777777778" right="0.5902777777777778" top="1" bottom="1.1388888888888888" header="0.5118055555555555" footer="1"/>
  <pageSetup horizontalDpi="300" verticalDpi="300" orientation="landscape" pageOrder="overThenDown" paperSize="9" scale="59"/>
  <headerFooter alignWithMargins="0">
    <oddFooter>&amp;L&amp;A&amp;R&amp;P</oddFooter>
  </headerFooter>
  <rowBreaks count="4" manualBreakCount="4">
    <brk id="74" max="255" man="1"/>
    <brk id="112" max="255" man="1"/>
    <brk id="228" max="255" man="1"/>
    <brk id="264" max="255" man="1"/>
  </rowBreaks>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dimension ref="A1:AG52"/>
  <sheetViews>
    <sheetView showGridLines="0" zoomScale="120" zoomScaleNormal="120" zoomScaleSheetLayoutView="90" zoomScalePageLayoutView="0" workbookViewId="0" topLeftCell="A1">
      <selection activeCell="N3" sqref="N3"/>
    </sheetView>
  </sheetViews>
  <sheetFormatPr defaultColWidth="9.140625" defaultRowHeight="11.25"/>
  <cols>
    <col min="1" max="1" width="52.140625" style="208" customWidth="1"/>
    <col min="2" max="33" width="9.8515625" style="208" customWidth="1"/>
    <col min="34" max="16384" width="9.140625" style="208" customWidth="1"/>
  </cols>
  <sheetData>
    <row r="1" spans="1:2" ht="16.5">
      <c r="A1" s="408" t="str">
        <f>'Datu ievade'!$B$4</f>
        <v>A novada pašvaldība</v>
      </c>
      <c r="B1" s="409" t="str">
        <f>'Datu ievade'!$B$6</f>
        <v>Ūdenssaimniecības attīstība A ciemā</v>
      </c>
    </row>
    <row r="2" ht="11.25"/>
    <row r="3" spans="1:33" ht="17.25" customHeight="1">
      <c r="A3" s="421" t="s">
        <v>428</v>
      </c>
      <c r="B3" s="371"/>
      <c r="C3" s="371"/>
      <c r="D3" s="371"/>
      <c r="E3" s="371"/>
      <c r="F3" s="371"/>
      <c r="G3" s="371"/>
      <c r="H3" s="371"/>
      <c r="I3" s="371"/>
      <c r="J3" s="371"/>
      <c r="K3" s="371"/>
      <c r="L3" s="371"/>
      <c r="M3" s="371"/>
      <c r="N3" s="371"/>
      <c r="O3" s="371"/>
      <c r="P3" s="371"/>
      <c r="Q3" s="371"/>
      <c r="R3" s="371"/>
      <c r="S3" s="371"/>
      <c r="T3" s="371"/>
      <c r="U3" s="371"/>
      <c r="V3" s="317"/>
      <c r="W3" s="317"/>
      <c r="X3" s="317"/>
      <c r="Y3" s="317"/>
      <c r="Z3" s="317"/>
      <c r="AA3" s="317"/>
      <c r="AB3" s="317"/>
      <c r="AC3" s="317"/>
      <c r="AD3" s="317"/>
      <c r="AE3" s="317"/>
      <c r="AF3" s="317"/>
      <c r="AG3" s="317"/>
    </row>
    <row r="4" spans="1:33" ht="12.75">
      <c r="A4" s="422"/>
      <c r="B4" s="287"/>
      <c r="C4" s="287"/>
      <c r="D4" s="287"/>
      <c r="E4" s="287"/>
      <c r="F4" s="319"/>
      <c r="G4" s="287"/>
      <c r="H4" s="287"/>
      <c r="I4" s="287"/>
      <c r="J4" s="319" t="s">
        <v>25</v>
      </c>
      <c r="K4" s="287"/>
      <c r="L4" s="319"/>
      <c r="M4" s="287"/>
      <c r="N4" s="287"/>
      <c r="O4" s="287"/>
      <c r="P4" s="373"/>
      <c r="Q4" s="373"/>
      <c r="R4" s="373"/>
      <c r="S4" s="373"/>
      <c r="T4" s="373"/>
      <c r="U4" s="349"/>
      <c r="V4" s="349"/>
      <c r="W4" s="349"/>
      <c r="X4" s="373"/>
      <c r="Y4" s="373"/>
      <c r="Z4" s="373"/>
      <c r="AA4" s="373"/>
      <c r="AB4" s="373"/>
      <c r="AC4" s="373"/>
      <c r="AD4" s="373"/>
      <c r="AE4" s="373"/>
      <c r="AF4" s="373"/>
      <c r="AG4" s="373"/>
    </row>
    <row r="5" spans="1:33" ht="12.75">
      <c r="A5" s="423"/>
      <c r="B5" s="294">
        <f>Aprekini!B5</f>
        <v>2011</v>
      </c>
      <c r="C5" s="294">
        <f aca="true" t="shared" si="0" ref="C5:AG5">B5+1</f>
        <v>2012</v>
      </c>
      <c r="D5" s="294">
        <f t="shared" si="0"/>
        <v>2013</v>
      </c>
      <c r="E5" s="294">
        <f t="shared" si="0"/>
        <v>2014</v>
      </c>
      <c r="F5" s="294">
        <f t="shared" si="0"/>
        <v>2015</v>
      </c>
      <c r="G5" s="294">
        <f t="shared" si="0"/>
        <v>2016</v>
      </c>
      <c r="H5" s="294">
        <f t="shared" si="0"/>
        <v>2017</v>
      </c>
      <c r="I5" s="294">
        <f t="shared" si="0"/>
        <v>2018</v>
      </c>
      <c r="J5" s="294">
        <f t="shared" si="0"/>
        <v>2019</v>
      </c>
      <c r="K5" s="294">
        <f t="shared" si="0"/>
        <v>2020</v>
      </c>
      <c r="L5" s="374">
        <f t="shared" si="0"/>
        <v>2021</v>
      </c>
      <c r="M5" s="375">
        <f t="shared" si="0"/>
        <v>2022</v>
      </c>
      <c r="N5" s="375">
        <f t="shared" si="0"/>
        <v>2023</v>
      </c>
      <c r="O5" s="375">
        <f t="shared" si="0"/>
        <v>2024</v>
      </c>
      <c r="P5" s="375">
        <f t="shared" si="0"/>
        <v>2025</v>
      </c>
      <c r="Q5" s="375">
        <f t="shared" si="0"/>
        <v>2026</v>
      </c>
      <c r="R5" s="375">
        <f t="shared" si="0"/>
        <v>2027</v>
      </c>
      <c r="S5" s="375">
        <f t="shared" si="0"/>
        <v>2028</v>
      </c>
      <c r="T5" s="375">
        <f t="shared" si="0"/>
        <v>2029</v>
      </c>
      <c r="U5" s="375">
        <f t="shared" si="0"/>
        <v>2030</v>
      </c>
      <c r="V5" s="375">
        <f t="shared" si="0"/>
        <v>2031</v>
      </c>
      <c r="W5" s="375">
        <f t="shared" si="0"/>
        <v>2032</v>
      </c>
      <c r="X5" s="375">
        <f t="shared" si="0"/>
        <v>2033</v>
      </c>
      <c r="Y5" s="375">
        <f t="shared" si="0"/>
        <v>2034</v>
      </c>
      <c r="Z5" s="375">
        <f t="shared" si="0"/>
        <v>2035</v>
      </c>
      <c r="AA5" s="375">
        <f t="shared" si="0"/>
        <v>2036</v>
      </c>
      <c r="AB5" s="375">
        <f t="shared" si="0"/>
        <v>2037</v>
      </c>
      <c r="AC5" s="375">
        <f t="shared" si="0"/>
        <v>2038</v>
      </c>
      <c r="AD5" s="375">
        <f t="shared" si="0"/>
        <v>2039</v>
      </c>
      <c r="AE5" s="375">
        <f t="shared" si="0"/>
        <v>2040</v>
      </c>
      <c r="AF5" s="375">
        <f t="shared" si="0"/>
        <v>2041</v>
      </c>
      <c r="AG5" s="375">
        <f t="shared" si="0"/>
        <v>2042</v>
      </c>
    </row>
    <row r="6" spans="1:33" ht="25.5">
      <c r="A6" s="424" t="s">
        <v>182</v>
      </c>
      <c r="B6" s="376"/>
      <c r="C6" s="376"/>
      <c r="D6" s="376"/>
      <c r="E6" s="376"/>
      <c r="F6" s="376"/>
      <c r="G6" s="376"/>
      <c r="H6" s="376"/>
      <c r="I6" s="376"/>
      <c r="J6" s="376"/>
      <c r="K6" s="376"/>
      <c r="L6" s="376"/>
      <c r="M6" s="376"/>
      <c r="N6" s="376"/>
      <c r="O6" s="376"/>
      <c r="P6" s="376"/>
      <c r="Q6" s="376"/>
      <c r="R6" s="376"/>
      <c r="S6" s="376"/>
      <c r="T6" s="376"/>
      <c r="U6" s="376"/>
      <c r="V6" s="376"/>
      <c r="W6" s="376"/>
      <c r="X6" s="376"/>
      <c r="Y6" s="376"/>
      <c r="Z6" s="377"/>
      <c r="AA6" s="377"/>
      <c r="AB6" s="377"/>
      <c r="AC6" s="377"/>
      <c r="AD6" s="377"/>
      <c r="AE6" s="377"/>
      <c r="AF6" s="377"/>
      <c r="AG6" s="377"/>
    </row>
    <row r="7" spans="1:33" ht="12.75">
      <c r="A7" s="425" t="str">
        <f>'Datu ievade'!A301</f>
        <v>Atšifrēt aizņēmumu, norādot kam tas plānots</v>
      </c>
      <c r="B7" s="426">
        <f>'Datu ievade'!B301</f>
        <v>0</v>
      </c>
      <c r="C7" s="426">
        <f>'Datu ievade'!C301</f>
        <v>0</v>
      </c>
      <c r="D7" s="426">
        <f>'Datu ievade'!D301</f>
        <v>0</v>
      </c>
      <c r="E7" s="426">
        <f>'Datu ievade'!E301</f>
        <v>0</v>
      </c>
      <c r="F7" s="426">
        <f>'Datu ievade'!F301</f>
        <v>0</v>
      </c>
      <c r="G7" s="426">
        <f>'Datu ievade'!G301</f>
        <v>0</v>
      </c>
      <c r="H7" s="426">
        <f>'Datu ievade'!H301</f>
        <v>0</v>
      </c>
      <c r="I7" s="426">
        <f>'Datu ievade'!I301</f>
        <v>0</v>
      </c>
      <c r="J7" s="426">
        <f>'Datu ievade'!J301</f>
        <v>0</v>
      </c>
      <c r="K7" s="426">
        <f>'Datu ievade'!K301</f>
        <v>0</v>
      </c>
      <c r="L7" s="426">
        <f>'Datu ievade'!L301</f>
        <v>0</v>
      </c>
      <c r="M7" s="426">
        <f>'Datu ievade'!M301</f>
        <v>0</v>
      </c>
      <c r="N7" s="426">
        <f>'Datu ievade'!N301</f>
        <v>0</v>
      </c>
      <c r="O7" s="426">
        <f>'Datu ievade'!O301</f>
        <v>0</v>
      </c>
      <c r="P7" s="426">
        <f>'Datu ievade'!P301</f>
        <v>0</v>
      </c>
      <c r="Q7" s="426">
        <f>'Datu ievade'!Q301</f>
        <v>0</v>
      </c>
      <c r="R7" s="426">
        <f>'Datu ievade'!R301</f>
        <v>0</v>
      </c>
      <c r="S7" s="426">
        <f>'Datu ievade'!S301</f>
        <v>0</v>
      </c>
      <c r="T7" s="426">
        <f>'Datu ievade'!T301</f>
        <v>0</v>
      </c>
      <c r="U7" s="426">
        <f>'Datu ievade'!U301</f>
        <v>0</v>
      </c>
      <c r="V7" s="426">
        <f>'Datu ievade'!V301</f>
        <v>0</v>
      </c>
      <c r="W7" s="426">
        <f>'Datu ievade'!W301</f>
        <v>0</v>
      </c>
      <c r="X7" s="426">
        <f>'Datu ievade'!X301</f>
        <v>0</v>
      </c>
      <c r="Y7" s="426">
        <f>'Datu ievade'!Y301</f>
        <v>0</v>
      </c>
      <c r="Z7" s="426">
        <f>'Datu ievade'!Z301</f>
        <v>0</v>
      </c>
      <c r="AA7" s="426">
        <f>'Datu ievade'!AA301</f>
        <v>0</v>
      </c>
      <c r="AB7" s="426">
        <f>'Datu ievade'!AB301</f>
        <v>0</v>
      </c>
      <c r="AC7" s="426">
        <f>'Datu ievade'!AC301</f>
        <v>0</v>
      </c>
      <c r="AD7" s="426">
        <f>'Datu ievade'!AD301</f>
        <v>0</v>
      </c>
      <c r="AE7" s="426">
        <f>'Datu ievade'!AE301</f>
        <v>0</v>
      </c>
      <c r="AF7" s="426">
        <f>'Datu ievade'!AF301</f>
        <v>0</v>
      </c>
      <c r="AG7" s="426">
        <f>'Datu ievade'!AG301</f>
        <v>0</v>
      </c>
    </row>
    <row r="8" spans="1:33" ht="12.75">
      <c r="A8" s="425">
        <f>'Datu ievade'!A302</f>
        <v>0</v>
      </c>
      <c r="B8" s="426">
        <f>'Datu ievade'!B302</f>
        <v>0</v>
      </c>
      <c r="C8" s="426">
        <f>'Datu ievade'!C302</f>
        <v>0</v>
      </c>
      <c r="D8" s="426">
        <f>'Datu ievade'!D302</f>
        <v>0</v>
      </c>
      <c r="E8" s="426">
        <f>'Datu ievade'!E302</f>
        <v>0</v>
      </c>
      <c r="F8" s="426">
        <f>'Datu ievade'!F302</f>
        <v>0</v>
      </c>
      <c r="G8" s="426">
        <f>'Datu ievade'!G302</f>
        <v>0</v>
      </c>
      <c r="H8" s="426">
        <f>'Datu ievade'!H302</f>
        <v>0</v>
      </c>
      <c r="I8" s="426">
        <f>'Datu ievade'!I302</f>
        <v>0</v>
      </c>
      <c r="J8" s="426">
        <f>'Datu ievade'!J302</f>
        <v>0</v>
      </c>
      <c r="K8" s="426">
        <f>'Datu ievade'!K302</f>
        <v>0</v>
      </c>
      <c r="L8" s="426">
        <f>'Datu ievade'!L302</f>
        <v>0</v>
      </c>
      <c r="M8" s="426">
        <f>'Datu ievade'!M302</f>
        <v>0</v>
      </c>
      <c r="N8" s="426">
        <f>'Datu ievade'!N302</f>
        <v>0</v>
      </c>
      <c r="O8" s="426">
        <f>'Datu ievade'!O302</f>
        <v>0</v>
      </c>
      <c r="P8" s="426">
        <f>'Datu ievade'!P302</f>
        <v>0</v>
      </c>
      <c r="Q8" s="426">
        <f>'Datu ievade'!Q302</f>
        <v>0</v>
      </c>
      <c r="R8" s="426">
        <f>'Datu ievade'!R302</f>
        <v>0</v>
      </c>
      <c r="S8" s="426">
        <f>'Datu ievade'!S302</f>
        <v>0</v>
      </c>
      <c r="T8" s="426">
        <f>'Datu ievade'!T302</f>
        <v>0</v>
      </c>
      <c r="U8" s="426">
        <f>'Datu ievade'!U302</f>
        <v>0</v>
      </c>
      <c r="V8" s="426">
        <f>'Datu ievade'!V302</f>
        <v>0</v>
      </c>
      <c r="W8" s="426">
        <f>'Datu ievade'!W302</f>
        <v>0</v>
      </c>
      <c r="X8" s="426">
        <f>'Datu ievade'!X302</f>
        <v>0</v>
      </c>
      <c r="Y8" s="426">
        <f>'Datu ievade'!Y302</f>
        <v>0</v>
      </c>
      <c r="Z8" s="426">
        <f>'Datu ievade'!Z302</f>
        <v>0</v>
      </c>
      <c r="AA8" s="426">
        <f>'Datu ievade'!AA302</f>
        <v>0</v>
      </c>
      <c r="AB8" s="426">
        <f>'Datu ievade'!AB302</f>
        <v>0</v>
      </c>
      <c r="AC8" s="426">
        <f>'Datu ievade'!AC302</f>
        <v>0</v>
      </c>
      <c r="AD8" s="426">
        <f>'Datu ievade'!AD302</f>
        <v>0</v>
      </c>
      <c r="AE8" s="426">
        <f>'Datu ievade'!AE302</f>
        <v>0</v>
      </c>
      <c r="AF8" s="426">
        <f>'Datu ievade'!AF302</f>
        <v>0</v>
      </c>
      <c r="AG8" s="426">
        <f>'Datu ievade'!AG302</f>
        <v>0</v>
      </c>
    </row>
    <row r="9" spans="1:33" ht="12.75">
      <c r="A9" s="425">
        <f>'Datu ievade'!A303</f>
        <v>0</v>
      </c>
      <c r="B9" s="426">
        <f>'Datu ievade'!B303</f>
        <v>0</v>
      </c>
      <c r="C9" s="426">
        <f>'Datu ievade'!C303</f>
        <v>0</v>
      </c>
      <c r="D9" s="426">
        <f>'Datu ievade'!D303</f>
        <v>0</v>
      </c>
      <c r="E9" s="426">
        <f>'Datu ievade'!E303</f>
        <v>0</v>
      </c>
      <c r="F9" s="426">
        <f>'Datu ievade'!F303</f>
        <v>0</v>
      </c>
      <c r="G9" s="426">
        <f>'Datu ievade'!G303</f>
        <v>0</v>
      </c>
      <c r="H9" s="426">
        <f>'Datu ievade'!H303</f>
        <v>0</v>
      </c>
      <c r="I9" s="426">
        <f>'Datu ievade'!I303</f>
        <v>0</v>
      </c>
      <c r="J9" s="426">
        <f>'Datu ievade'!J303</f>
        <v>0</v>
      </c>
      <c r="K9" s="426">
        <f>'Datu ievade'!K303</f>
        <v>0</v>
      </c>
      <c r="L9" s="426">
        <f>'Datu ievade'!L303</f>
        <v>0</v>
      </c>
      <c r="M9" s="426">
        <f>'Datu ievade'!M303</f>
        <v>0</v>
      </c>
      <c r="N9" s="426">
        <f>'Datu ievade'!N303</f>
        <v>0</v>
      </c>
      <c r="O9" s="426">
        <f>'Datu ievade'!O303</f>
        <v>0</v>
      </c>
      <c r="P9" s="426">
        <f>'Datu ievade'!P303</f>
        <v>0</v>
      </c>
      <c r="Q9" s="426">
        <f>'Datu ievade'!Q303</f>
        <v>0</v>
      </c>
      <c r="R9" s="426">
        <f>'Datu ievade'!R303</f>
        <v>0</v>
      </c>
      <c r="S9" s="426">
        <f>'Datu ievade'!S303</f>
        <v>0</v>
      </c>
      <c r="T9" s="426">
        <f>'Datu ievade'!T303</f>
        <v>0</v>
      </c>
      <c r="U9" s="426">
        <f>'Datu ievade'!U303</f>
        <v>0</v>
      </c>
      <c r="V9" s="426">
        <f>'Datu ievade'!V303</f>
        <v>0</v>
      </c>
      <c r="W9" s="426">
        <f>'Datu ievade'!W303</f>
        <v>0</v>
      </c>
      <c r="X9" s="426">
        <f>'Datu ievade'!X303</f>
        <v>0</v>
      </c>
      <c r="Y9" s="426">
        <f>'Datu ievade'!Y303</f>
        <v>0</v>
      </c>
      <c r="Z9" s="426">
        <f>'Datu ievade'!Z303</f>
        <v>0</v>
      </c>
      <c r="AA9" s="426">
        <f>'Datu ievade'!AA303</f>
        <v>0</v>
      </c>
      <c r="AB9" s="426">
        <f>'Datu ievade'!AB303</f>
        <v>0</v>
      </c>
      <c r="AC9" s="426">
        <f>'Datu ievade'!AC303</f>
        <v>0</v>
      </c>
      <c r="AD9" s="426">
        <f>'Datu ievade'!AD303</f>
        <v>0</v>
      </c>
      <c r="AE9" s="426">
        <f>'Datu ievade'!AE303</f>
        <v>0</v>
      </c>
      <c r="AF9" s="426">
        <f>'Datu ievade'!AF303</f>
        <v>0</v>
      </c>
      <c r="AG9" s="426">
        <f>'Datu ievade'!AG303</f>
        <v>0</v>
      </c>
    </row>
    <row r="10" spans="1:33" ht="12.75">
      <c r="A10" s="425">
        <f>'Datu ievade'!A304</f>
        <v>0</v>
      </c>
      <c r="B10" s="426">
        <f>'Datu ievade'!B304</f>
        <v>0</v>
      </c>
      <c r="C10" s="426">
        <f>'Datu ievade'!C304</f>
        <v>0</v>
      </c>
      <c r="D10" s="426">
        <f>'Datu ievade'!D304</f>
        <v>0</v>
      </c>
      <c r="E10" s="426">
        <f>'Datu ievade'!E304</f>
        <v>0</v>
      </c>
      <c r="F10" s="426">
        <f>'Datu ievade'!F304</f>
        <v>0</v>
      </c>
      <c r="G10" s="426">
        <f>'Datu ievade'!G304</f>
        <v>0</v>
      </c>
      <c r="H10" s="426">
        <f>'Datu ievade'!H304</f>
        <v>0</v>
      </c>
      <c r="I10" s="426">
        <f>'Datu ievade'!I304</f>
        <v>0</v>
      </c>
      <c r="J10" s="426">
        <f>'Datu ievade'!J304</f>
        <v>0</v>
      </c>
      <c r="K10" s="426">
        <f>'Datu ievade'!K304</f>
        <v>0</v>
      </c>
      <c r="L10" s="426">
        <f>'Datu ievade'!L304</f>
        <v>0</v>
      </c>
      <c r="M10" s="426">
        <f>'Datu ievade'!M304</f>
        <v>0</v>
      </c>
      <c r="N10" s="426">
        <f>'Datu ievade'!N304</f>
        <v>0</v>
      </c>
      <c r="O10" s="426">
        <f>'Datu ievade'!O304</f>
        <v>0</v>
      </c>
      <c r="P10" s="426">
        <f>'Datu ievade'!P304</f>
        <v>0</v>
      </c>
      <c r="Q10" s="426">
        <f>'Datu ievade'!Q304</f>
        <v>0</v>
      </c>
      <c r="R10" s="426">
        <f>'Datu ievade'!R304</f>
        <v>0</v>
      </c>
      <c r="S10" s="426">
        <f>'Datu ievade'!S304</f>
        <v>0</v>
      </c>
      <c r="T10" s="426">
        <f>'Datu ievade'!T304</f>
        <v>0</v>
      </c>
      <c r="U10" s="426">
        <f>'Datu ievade'!U304</f>
        <v>0</v>
      </c>
      <c r="V10" s="426">
        <f>'Datu ievade'!V304</f>
        <v>0</v>
      </c>
      <c r="W10" s="426">
        <f>'Datu ievade'!W304</f>
        <v>0</v>
      </c>
      <c r="X10" s="426">
        <f>'Datu ievade'!X304</f>
        <v>0</v>
      </c>
      <c r="Y10" s="426">
        <f>'Datu ievade'!Y304</f>
        <v>0</v>
      </c>
      <c r="Z10" s="426">
        <f>'Datu ievade'!Z304</f>
        <v>0</v>
      </c>
      <c r="AA10" s="426">
        <f>'Datu ievade'!AA304</f>
        <v>0</v>
      </c>
      <c r="AB10" s="426">
        <f>'Datu ievade'!AB304</f>
        <v>0</v>
      </c>
      <c r="AC10" s="426">
        <f>'Datu ievade'!AC304</f>
        <v>0</v>
      </c>
      <c r="AD10" s="426">
        <f>'Datu ievade'!AD304</f>
        <v>0</v>
      </c>
      <c r="AE10" s="426">
        <f>'Datu ievade'!AE304</f>
        <v>0</v>
      </c>
      <c r="AF10" s="426">
        <f>'Datu ievade'!AF304</f>
        <v>0</v>
      </c>
      <c r="AG10" s="426">
        <f>'Datu ievade'!AG304</f>
        <v>0</v>
      </c>
    </row>
    <row r="11" spans="1:33" ht="12.75">
      <c r="A11" s="425">
        <f>'Datu ievade'!A305</f>
        <v>0</v>
      </c>
      <c r="B11" s="426">
        <f>'Datu ievade'!B305</f>
        <v>0</v>
      </c>
      <c r="C11" s="426">
        <f>'Datu ievade'!C305</f>
        <v>0</v>
      </c>
      <c r="D11" s="426">
        <f>'Datu ievade'!D305</f>
        <v>0</v>
      </c>
      <c r="E11" s="426">
        <f>'Datu ievade'!E305</f>
        <v>0</v>
      </c>
      <c r="F11" s="426">
        <f>'Datu ievade'!F305</f>
        <v>0</v>
      </c>
      <c r="G11" s="426">
        <f>'Datu ievade'!G305</f>
        <v>0</v>
      </c>
      <c r="H11" s="426">
        <f>'Datu ievade'!H305</f>
        <v>0</v>
      </c>
      <c r="I11" s="426">
        <f>'Datu ievade'!I305</f>
        <v>0</v>
      </c>
      <c r="J11" s="426">
        <f>'Datu ievade'!J305</f>
        <v>0</v>
      </c>
      <c r="K11" s="426">
        <f>'Datu ievade'!K305</f>
        <v>0</v>
      </c>
      <c r="L11" s="426">
        <f>'Datu ievade'!L305</f>
        <v>0</v>
      </c>
      <c r="M11" s="426">
        <f>'Datu ievade'!M305</f>
        <v>0</v>
      </c>
      <c r="N11" s="426">
        <f>'Datu ievade'!N305</f>
        <v>0</v>
      </c>
      <c r="O11" s="426">
        <f>'Datu ievade'!O305</f>
        <v>0</v>
      </c>
      <c r="P11" s="426">
        <f>'Datu ievade'!P305</f>
        <v>0</v>
      </c>
      <c r="Q11" s="426">
        <f>'Datu ievade'!Q305</f>
        <v>0</v>
      </c>
      <c r="R11" s="426">
        <f>'Datu ievade'!R305</f>
        <v>0</v>
      </c>
      <c r="S11" s="426">
        <f>'Datu ievade'!S305</f>
        <v>0</v>
      </c>
      <c r="T11" s="426">
        <f>'Datu ievade'!T305</f>
        <v>0</v>
      </c>
      <c r="U11" s="426">
        <f>'Datu ievade'!U305</f>
        <v>0</v>
      </c>
      <c r="V11" s="426">
        <f>'Datu ievade'!V305</f>
        <v>0</v>
      </c>
      <c r="W11" s="426">
        <f>'Datu ievade'!W305</f>
        <v>0</v>
      </c>
      <c r="X11" s="426">
        <f>'Datu ievade'!X305</f>
        <v>0</v>
      </c>
      <c r="Y11" s="426">
        <f>'Datu ievade'!Y305</f>
        <v>0</v>
      </c>
      <c r="Z11" s="426">
        <f>'Datu ievade'!Z305</f>
        <v>0</v>
      </c>
      <c r="AA11" s="426">
        <f>'Datu ievade'!AA305</f>
        <v>0</v>
      </c>
      <c r="AB11" s="426">
        <f>'Datu ievade'!AB305</f>
        <v>0</v>
      </c>
      <c r="AC11" s="426">
        <f>'Datu ievade'!AC305</f>
        <v>0</v>
      </c>
      <c r="AD11" s="426">
        <f>'Datu ievade'!AD305</f>
        <v>0</v>
      </c>
      <c r="AE11" s="426">
        <f>'Datu ievade'!AE305</f>
        <v>0</v>
      </c>
      <c r="AF11" s="426">
        <f>'Datu ievade'!AF305</f>
        <v>0</v>
      </c>
      <c r="AG11" s="426">
        <f>'Datu ievade'!AG305</f>
        <v>0</v>
      </c>
    </row>
    <row r="12" spans="1:33" ht="12.75">
      <c r="A12" s="425">
        <f>'Datu ievade'!A306</f>
        <v>0</v>
      </c>
      <c r="B12" s="426">
        <f>'Datu ievade'!B306</f>
        <v>0</v>
      </c>
      <c r="C12" s="426">
        <f>'Datu ievade'!C306</f>
        <v>0</v>
      </c>
      <c r="D12" s="426">
        <f>'Datu ievade'!D306</f>
        <v>0</v>
      </c>
      <c r="E12" s="426">
        <f>'Datu ievade'!E306</f>
        <v>0</v>
      </c>
      <c r="F12" s="426">
        <f>'Datu ievade'!F306</f>
        <v>0</v>
      </c>
      <c r="G12" s="426">
        <f>'Datu ievade'!G306</f>
        <v>0</v>
      </c>
      <c r="H12" s="426">
        <f>'Datu ievade'!H306</f>
        <v>0</v>
      </c>
      <c r="I12" s="426">
        <f>'Datu ievade'!I306</f>
        <v>0</v>
      </c>
      <c r="J12" s="426">
        <f>'Datu ievade'!J306</f>
        <v>0</v>
      </c>
      <c r="K12" s="426">
        <f>'Datu ievade'!K306</f>
        <v>0</v>
      </c>
      <c r="L12" s="426">
        <f>'Datu ievade'!L306</f>
        <v>0</v>
      </c>
      <c r="M12" s="426">
        <f>'Datu ievade'!M306</f>
        <v>0</v>
      </c>
      <c r="N12" s="426">
        <f>'Datu ievade'!N306</f>
        <v>0</v>
      </c>
      <c r="O12" s="426">
        <f>'Datu ievade'!O306</f>
        <v>0</v>
      </c>
      <c r="P12" s="426">
        <f>'Datu ievade'!P306</f>
        <v>0</v>
      </c>
      <c r="Q12" s="426">
        <f>'Datu ievade'!Q306</f>
        <v>0</v>
      </c>
      <c r="R12" s="426">
        <f>'Datu ievade'!R306</f>
        <v>0</v>
      </c>
      <c r="S12" s="426">
        <f>'Datu ievade'!S306</f>
        <v>0</v>
      </c>
      <c r="T12" s="426">
        <f>'Datu ievade'!T306</f>
        <v>0</v>
      </c>
      <c r="U12" s="426">
        <f>'Datu ievade'!U306</f>
        <v>0</v>
      </c>
      <c r="V12" s="426">
        <f>'Datu ievade'!V306</f>
        <v>0</v>
      </c>
      <c r="W12" s="426">
        <f>'Datu ievade'!W306</f>
        <v>0</v>
      </c>
      <c r="X12" s="426">
        <f>'Datu ievade'!X306</f>
        <v>0</v>
      </c>
      <c r="Y12" s="426">
        <f>'Datu ievade'!Y306</f>
        <v>0</v>
      </c>
      <c r="Z12" s="426">
        <f>'Datu ievade'!Z306</f>
        <v>0</v>
      </c>
      <c r="AA12" s="426">
        <f>'Datu ievade'!AA306</f>
        <v>0</v>
      </c>
      <c r="AB12" s="426">
        <f>'Datu ievade'!AB306</f>
        <v>0</v>
      </c>
      <c r="AC12" s="426">
        <f>'Datu ievade'!AC306</f>
        <v>0</v>
      </c>
      <c r="AD12" s="426">
        <f>'Datu ievade'!AD306</f>
        <v>0</v>
      </c>
      <c r="AE12" s="426">
        <f>'Datu ievade'!AE306</f>
        <v>0</v>
      </c>
      <c r="AF12" s="426">
        <f>'Datu ievade'!AF306</f>
        <v>0</v>
      </c>
      <c r="AG12" s="426">
        <f>'Datu ievade'!AG306</f>
        <v>0</v>
      </c>
    </row>
    <row r="13" spans="1:33" ht="12.75">
      <c r="A13" s="425">
        <f>'Datu ievade'!A307</f>
        <v>0</v>
      </c>
      <c r="B13" s="426">
        <f>'Datu ievade'!B307</f>
        <v>0</v>
      </c>
      <c r="C13" s="426">
        <f>'Datu ievade'!C307</f>
        <v>0</v>
      </c>
      <c r="D13" s="426">
        <f>'Datu ievade'!D307</f>
        <v>0</v>
      </c>
      <c r="E13" s="426">
        <f>'Datu ievade'!E307</f>
        <v>0</v>
      </c>
      <c r="F13" s="426">
        <f>'Datu ievade'!F307</f>
        <v>0</v>
      </c>
      <c r="G13" s="426">
        <f>'Datu ievade'!G307</f>
        <v>0</v>
      </c>
      <c r="H13" s="426">
        <f>'Datu ievade'!H307</f>
        <v>0</v>
      </c>
      <c r="I13" s="426">
        <f>'Datu ievade'!I307</f>
        <v>0</v>
      </c>
      <c r="J13" s="426">
        <f>'Datu ievade'!J307</f>
        <v>0</v>
      </c>
      <c r="K13" s="426">
        <f>'Datu ievade'!K307</f>
        <v>0</v>
      </c>
      <c r="L13" s="426">
        <f>'Datu ievade'!L307</f>
        <v>0</v>
      </c>
      <c r="M13" s="426">
        <f>'Datu ievade'!M307</f>
        <v>0</v>
      </c>
      <c r="N13" s="426">
        <f>'Datu ievade'!N307</f>
        <v>0</v>
      </c>
      <c r="O13" s="426">
        <f>'Datu ievade'!O307</f>
        <v>0</v>
      </c>
      <c r="P13" s="426">
        <f>'Datu ievade'!P307</f>
        <v>0</v>
      </c>
      <c r="Q13" s="426">
        <f>'Datu ievade'!Q307</f>
        <v>0</v>
      </c>
      <c r="R13" s="426">
        <f>'Datu ievade'!R307</f>
        <v>0</v>
      </c>
      <c r="S13" s="426">
        <f>'Datu ievade'!S307</f>
        <v>0</v>
      </c>
      <c r="T13" s="426">
        <f>'Datu ievade'!T307</f>
        <v>0</v>
      </c>
      <c r="U13" s="426">
        <f>'Datu ievade'!U307</f>
        <v>0</v>
      </c>
      <c r="V13" s="426">
        <f>'Datu ievade'!V307</f>
        <v>0</v>
      </c>
      <c r="W13" s="426">
        <f>'Datu ievade'!W307</f>
        <v>0</v>
      </c>
      <c r="X13" s="426">
        <f>'Datu ievade'!X307</f>
        <v>0</v>
      </c>
      <c r="Y13" s="426">
        <f>'Datu ievade'!Y307</f>
        <v>0</v>
      </c>
      <c r="Z13" s="426">
        <f>'Datu ievade'!Z307</f>
        <v>0</v>
      </c>
      <c r="AA13" s="426">
        <f>'Datu ievade'!AA307</f>
        <v>0</v>
      </c>
      <c r="AB13" s="426">
        <f>'Datu ievade'!AB307</f>
        <v>0</v>
      </c>
      <c r="AC13" s="426">
        <f>'Datu ievade'!AC307</f>
        <v>0</v>
      </c>
      <c r="AD13" s="426">
        <f>'Datu ievade'!AD307</f>
        <v>0</v>
      </c>
      <c r="AE13" s="426">
        <f>'Datu ievade'!AE307</f>
        <v>0</v>
      </c>
      <c r="AF13" s="426">
        <f>'Datu ievade'!AF307</f>
        <v>0</v>
      </c>
      <c r="AG13" s="426">
        <f>'Datu ievade'!AG307</f>
        <v>0</v>
      </c>
    </row>
    <row r="14" spans="1:33" ht="12.75">
      <c r="A14" s="425">
        <f>'Datu ievade'!A308</f>
        <v>0</v>
      </c>
      <c r="B14" s="426">
        <f>'Datu ievade'!B308</f>
        <v>0</v>
      </c>
      <c r="C14" s="426">
        <f>'Datu ievade'!C308</f>
        <v>0</v>
      </c>
      <c r="D14" s="426">
        <f>'Datu ievade'!D308</f>
        <v>0</v>
      </c>
      <c r="E14" s="426">
        <f>'Datu ievade'!E308</f>
        <v>0</v>
      </c>
      <c r="F14" s="426">
        <f>'Datu ievade'!F308</f>
        <v>0</v>
      </c>
      <c r="G14" s="426">
        <f>'Datu ievade'!G308</f>
        <v>0</v>
      </c>
      <c r="H14" s="426">
        <f>'Datu ievade'!H308</f>
        <v>0</v>
      </c>
      <c r="I14" s="426">
        <f>'Datu ievade'!I308</f>
        <v>0</v>
      </c>
      <c r="J14" s="426">
        <f>'Datu ievade'!J308</f>
        <v>0</v>
      </c>
      <c r="K14" s="426">
        <f>'Datu ievade'!K308</f>
        <v>0</v>
      </c>
      <c r="L14" s="426">
        <f>'Datu ievade'!L308</f>
        <v>0</v>
      </c>
      <c r="M14" s="426">
        <f>'Datu ievade'!M308</f>
        <v>0</v>
      </c>
      <c r="N14" s="426">
        <f>'Datu ievade'!N308</f>
        <v>0</v>
      </c>
      <c r="O14" s="426">
        <f>'Datu ievade'!O308</f>
        <v>0</v>
      </c>
      <c r="P14" s="426">
        <f>'Datu ievade'!P308</f>
        <v>0</v>
      </c>
      <c r="Q14" s="426">
        <f>'Datu ievade'!Q308</f>
        <v>0</v>
      </c>
      <c r="R14" s="426">
        <f>'Datu ievade'!R308</f>
        <v>0</v>
      </c>
      <c r="S14" s="426">
        <f>'Datu ievade'!S308</f>
        <v>0</v>
      </c>
      <c r="T14" s="426">
        <f>'Datu ievade'!T308</f>
        <v>0</v>
      </c>
      <c r="U14" s="426">
        <f>'Datu ievade'!U308</f>
        <v>0</v>
      </c>
      <c r="V14" s="426">
        <f>'Datu ievade'!V308</f>
        <v>0</v>
      </c>
      <c r="W14" s="426">
        <f>'Datu ievade'!W308</f>
        <v>0</v>
      </c>
      <c r="X14" s="426">
        <f>'Datu ievade'!X308</f>
        <v>0</v>
      </c>
      <c r="Y14" s="426">
        <f>'Datu ievade'!Y308</f>
        <v>0</v>
      </c>
      <c r="Z14" s="426">
        <f>'Datu ievade'!Z308</f>
        <v>0</v>
      </c>
      <c r="AA14" s="426">
        <f>'Datu ievade'!AA308</f>
        <v>0</v>
      </c>
      <c r="AB14" s="426">
        <f>'Datu ievade'!AB308</f>
        <v>0</v>
      </c>
      <c r="AC14" s="426">
        <f>'Datu ievade'!AC308</f>
        <v>0</v>
      </c>
      <c r="AD14" s="426">
        <f>'Datu ievade'!AD308</f>
        <v>0</v>
      </c>
      <c r="AE14" s="426">
        <f>'Datu ievade'!AE308</f>
        <v>0</v>
      </c>
      <c r="AF14" s="426">
        <f>'Datu ievade'!AF308</f>
        <v>0</v>
      </c>
      <c r="AG14" s="426">
        <f>'Datu ievade'!AG308</f>
        <v>0</v>
      </c>
    </row>
    <row r="15" spans="1:33" ht="12.75">
      <c r="A15" s="425">
        <f>'Datu ievade'!A309</f>
        <v>0</v>
      </c>
      <c r="B15" s="426">
        <f>'Datu ievade'!B309</f>
        <v>0</v>
      </c>
      <c r="C15" s="426">
        <f>'Datu ievade'!C309</f>
        <v>0</v>
      </c>
      <c r="D15" s="426">
        <f>'Datu ievade'!D309</f>
        <v>0</v>
      </c>
      <c r="E15" s="426">
        <f>'Datu ievade'!E309</f>
        <v>0</v>
      </c>
      <c r="F15" s="426">
        <f>'Datu ievade'!F309</f>
        <v>0</v>
      </c>
      <c r="G15" s="426">
        <f>'Datu ievade'!G309</f>
        <v>0</v>
      </c>
      <c r="H15" s="426">
        <f>'Datu ievade'!H309</f>
        <v>0</v>
      </c>
      <c r="I15" s="426">
        <f>'Datu ievade'!I309</f>
        <v>0</v>
      </c>
      <c r="J15" s="426">
        <f>'Datu ievade'!J309</f>
        <v>0</v>
      </c>
      <c r="K15" s="426">
        <f>'Datu ievade'!K309</f>
        <v>0</v>
      </c>
      <c r="L15" s="426">
        <f>'Datu ievade'!L309</f>
        <v>0</v>
      </c>
      <c r="M15" s="426">
        <f>'Datu ievade'!M309</f>
        <v>0</v>
      </c>
      <c r="N15" s="426">
        <f>'Datu ievade'!N309</f>
        <v>0</v>
      </c>
      <c r="O15" s="426">
        <f>'Datu ievade'!O309</f>
        <v>0</v>
      </c>
      <c r="P15" s="426">
        <f>'Datu ievade'!P309</f>
        <v>0</v>
      </c>
      <c r="Q15" s="426">
        <f>'Datu ievade'!Q309</f>
        <v>0</v>
      </c>
      <c r="R15" s="426">
        <f>'Datu ievade'!R309</f>
        <v>0</v>
      </c>
      <c r="S15" s="426">
        <f>'Datu ievade'!S309</f>
        <v>0</v>
      </c>
      <c r="T15" s="426">
        <f>'Datu ievade'!T309</f>
        <v>0</v>
      </c>
      <c r="U15" s="426">
        <f>'Datu ievade'!U309</f>
        <v>0</v>
      </c>
      <c r="V15" s="426">
        <f>'Datu ievade'!V309</f>
        <v>0</v>
      </c>
      <c r="W15" s="426">
        <f>'Datu ievade'!W309</f>
        <v>0</v>
      </c>
      <c r="X15" s="426">
        <f>'Datu ievade'!X309</f>
        <v>0</v>
      </c>
      <c r="Y15" s="426">
        <f>'Datu ievade'!Y309</f>
        <v>0</v>
      </c>
      <c r="Z15" s="426">
        <f>'Datu ievade'!Z309</f>
        <v>0</v>
      </c>
      <c r="AA15" s="426">
        <f>'Datu ievade'!AA309</f>
        <v>0</v>
      </c>
      <c r="AB15" s="426">
        <f>'Datu ievade'!AB309</f>
        <v>0</v>
      </c>
      <c r="AC15" s="426">
        <f>'Datu ievade'!AC309</f>
        <v>0</v>
      </c>
      <c r="AD15" s="426">
        <f>'Datu ievade'!AD309</f>
        <v>0</v>
      </c>
      <c r="AE15" s="426">
        <f>'Datu ievade'!AE309</f>
        <v>0</v>
      </c>
      <c r="AF15" s="426">
        <f>'Datu ievade'!AF309</f>
        <v>0</v>
      </c>
      <c r="AG15" s="426">
        <f>'Datu ievade'!AG309</f>
        <v>0</v>
      </c>
    </row>
    <row r="16" spans="1:33" ht="12.75">
      <c r="A16" s="425">
        <f>'Datu ievade'!A310</f>
        <v>0</v>
      </c>
      <c r="B16" s="426">
        <f>'Datu ievade'!B310</f>
        <v>0</v>
      </c>
      <c r="C16" s="426">
        <f>'Datu ievade'!C310</f>
        <v>0</v>
      </c>
      <c r="D16" s="426">
        <f>'Datu ievade'!D310</f>
        <v>0</v>
      </c>
      <c r="E16" s="426">
        <f>'Datu ievade'!E310</f>
        <v>0</v>
      </c>
      <c r="F16" s="426">
        <f>'Datu ievade'!F310</f>
        <v>0</v>
      </c>
      <c r="G16" s="426">
        <f>'Datu ievade'!G310</f>
        <v>0</v>
      </c>
      <c r="H16" s="426">
        <f>'Datu ievade'!H310</f>
        <v>0</v>
      </c>
      <c r="I16" s="426">
        <f>'Datu ievade'!I310</f>
        <v>0</v>
      </c>
      <c r="J16" s="426">
        <f>'Datu ievade'!J310</f>
        <v>0</v>
      </c>
      <c r="K16" s="426">
        <f>'Datu ievade'!K310</f>
        <v>0</v>
      </c>
      <c r="L16" s="426">
        <f>'Datu ievade'!L310</f>
        <v>0</v>
      </c>
      <c r="M16" s="426">
        <f>'Datu ievade'!M310</f>
        <v>0</v>
      </c>
      <c r="N16" s="426">
        <f>'Datu ievade'!N310</f>
        <v>0</v>
      </c>
      <c r="O16" s="426">
        <f>'Datu ievade'!O310</f>
        <v>0</v>
      </c>
      <c r="P16" s="426">
        <f>'Datu ievade'!P310</f>
        <v>0</v>
      </c>
      <c r="Q16" s="426">
        <f>'Datu ievade'!Q310</f>
        <v>0</v>
      </c>
      <c r="R16" s="426">
        <f>'Datu ievade'!R310</f>
        <v>0</v>
      </c>
      <c r="S16" s="426">
        <f>'Datu ievade'!S310</f>
        <v>0</v>
      </c>
      <c r="T16" s="426">
        <f>'Datu ievade'!T310</f>
        <v>0</v>
      </c>
      <c r="U16" s="426">
        <f>'Datu ievade'!U310</f>
        <v>0</v>
      </c>
      <c r="V16" s="426">
        <f>'Datu ievade'!V310</f>
        <v>0</v>
      </c>
      <c r="W16" s="426">
        <f>'Datu ievade'!W310</f>
        <v>0</v>
      </c>
      <c r="X16" s="426">
        <f>'Datu ievade'!X310</f>
        <v>0</v>
      </c>
      <c r="Y16" s="426">
        <f>'Datu ievade'!Y310</f>
        <v>0</v>
      </c>
      <c r="Z16" s="426">
        <f>'Datu ievade'!Z310</f>
        <v>0</v>
      </c>
      <c r="AA16" s="426">
        <f>'Datu ievade'!AA310</f>
        <v>0</v>
      </c>
      <c r="AB16" s="426">
        <f>'Datu ievade'!AB310</f>
        <v>0</v>
      </c>
      <c r="AC16" s="426">
        <f>'Datu ievade'!AC310</f>
        <v>0</v>
      </c>
      <c r="AD16" s="426">
        <f>'Datu ievade'!AD310</f>
        <v>0</v>
      </c>
      <c r="AE16" s="426">
        <f>'Datu ievade'!AE310</f>
        <v>0</v>
      </c>
      <c r="AF16" s="426">
        <f>'Datu ievade'!AF310</f>
        <v>0</v>
      </c>
      <c r="AG16" s="426">
        <f>'Datu ievade'!AG310</f>
        <v>0</v>
      </c>
    </row>
    <row r="17" spans="1:33" ht="12.75">
      <c r="A17" s="425">
        <f>'Datu ievade'!A311</f>
        <v>0</v>
      </c>
      <c r="B17" s="426">
        <f>'Datu ievade'!B311</f>
        <v>0</v>
      </c>
      <c r="C17" s="426">
        <f>'Datu ievade'!C311</f>
        <v>0</v>
      </c>
      <c r="D17" s="426">
        <f>'Datu ievade'!D311</f>
        <v>0</v>
      </c>
      <c r="E17" s="426">
        <f>'Datu ievade'!E311</f>
        <v>0</v>
      </c>
      <c r="F17" s="426">
        <f>'Datu ievade'!F311</f>
        <v>0</v>
      </c>
      <c r="G17" s="426">
        <f>'Datu ievade'!G311</f>
        <v>0</v>
      </c>
      <c r="H17" s="426">
        <f>'Datu ievade'!H311</f>
        <v>0</v>
      </c>
      <c r="I17" s="426">
        <f>'Datu ievade'!I311</f>
        <v>0</v>
      </c>
      <c r="J17" s="426">
        <f>'Datu ievade'!J311</f>
        <v>0</v>
      </c>
      <c r="K17" s="426">
        <f>'Datu ievade'!K311</f>
        <v>0</v>
      </c>
      <c r="L17" s="426">
        <f>'Datu ievade'!L311</f>
        <v>0</v>
      </c>
      <c r="M17" s="426">
        <f>'Datu ievade'!M311</f>
        <v>0</v>
      </c>
      <c r="N17" s="426">
        <f>'Datu ievade'!N311</f>
        <v>0</v>
      </c>
      <c r="O17" s="426">
        <f>'Datu ievade'!O311</f>
        <v>0</v>
      </c>
      <c r="P17" s="426">
        <f>'Datu ievade'!P311</f>
        <v>0</v>
      </c>
      <c r="Q17" s="426">
        <f>'Datu ievade'!Q311</f>
        <v>0</v>
      </c>
      <c r="R17" s="426">
        <f>'Datu ievade'!R311</f>
        <v>0</v>
      </c>
      <c r="S17" s="426">
        <f>'Datu ievade'!S311</f>
        <v>0</v>
      </c>
      <c r="T17" s="426">
        <f>'Datu ievade'!T311</f>
        <v>0</v>
      </c>
      <c r="U17" s="426">
        <f>'Datu ievade'!U311</f>
        <v>0</v>
      </c>
      <c r="V17" s="426">
        <f>'Datu ievade'!V311</f>
        <v>0</v>
      </c>
      <c r="W17" s="426">
        <f>'Datu ievade'!W311</f>
        <v>0</v>
      </c>
      <c r="X17" s="426">
        <f>'Datu ievade'!X311</f>
        <v>0</v>
      </c>
      <c r="Y17" s="426">
        <f>'Datu ievade'!Y311</f>
        <v>0</v>
      </c>
      <c r="Z17" s="426">
        <f>'Datu ievade'!Z311</f>
        <v>0</v>
      </c>
      <c r="AA17" s="426">
        <f>'Datu ievade'!AA311</f>
        <v>0</v>
      </c>
      <c r="AB17" s="426">
        <f>'Datu ievade'!AB311</f>
        <v>0</v>
      </c>
      <c r="AC17" s="426">
        <f>'Datu ievade'!AC311</f>
        <v>0</v>
      </c>
      <c r="AD17" s="426">
        <f>'Datu ievade'!AD311</f>
        <v>0</v>
      </c>
      <c r="AE17" s="426">
        <f>'Datu ievade'!AE311</f>
        <v>0</v>
      </c>
      <c r="AF17" s="426">
        <f>'Datu ievade'!AF311</f>
        <v>0</v>
      </c>
      <c r="AG17" s="426">
        <f>'Datu ievade'!AG311</f>
        <v>0</v>
      </c>
    </row>
    <row r="18" spans="1:33" ht="12.75">
      <c r="A18" s="425">
        <f>'Datu ievade'!A312</f>
        <v>0</v>
      </c>
      <c r="B18" s="426">
        <f>'Datu ievade'!B312</f>
        <v>0</v>
      </c>
      <c r="C18" s="426">
        <f>'Datu ievade'!C312</f>
        <v>0</v>
      </c>
      <c r="D18" s="426">
        <f>'Datu ievade'!D312</f>
        <v>0</v>
      </c>
      <c r="E18" s="426">
        <f>'Datu ievade'!E312</f>
        <v>0</v>
      </c>
      <c r="F18" s="426">
        <f>'Datu ievade'!F312</f>
        <v>0</v>
      </c>
      <c r="G18" s="426">
        <f>'Datu ievade'!G312</f>
        <v>0</v>
      </c>
      <c r="H18" s="426">
        <f>'Datu ievade'!H312</f>
        <v>0</v>
      </c>
      <c r="I18" s="426">
        <f>'Datu ievade'!I312</f>
        <v>0</v>
      </c>
      <c r="J18" s="426">
        <f>'Datu ievade'!J312</f>
        <v>0</v>
      </c>
      <c r="K18" s="426">
        <f>'Datu ievade'!K312</f>
        <v>0</v>
      </c>
      <c r="L18" s="426">
        <f>'Datu ievade'!L312</f>
        <v>0</v>
      </c>
      <c r="M18" s="426">
        <f>'Datu ievade'!M312</f>
        <v>0</v>
      </c>
      <c r="N18" s="426">
        <f>'Datu ievade'!N312</f>
        <v>0</v>
      </c>
      <c r="O18" s="426">
        <f>'Datu ievade'!O312</f>
        <v>0</v>
      </c>
      <c r="P18" s="426">
        <f>'Datu ievade'!P312</f>
        <v>0</v>
      </c>
      <c r="Q18" s="426">
        <f>'Datu ievade'!Q312</f>
        <v>0</v>
      </c>
      <c r="R18" s="426">
        <f>'Datu ievade'!R312</f>
        <v>0</v>
      </c>
      <c r="S18" s="426">
        <f>'Datu ievade'!S312</f>
        <v>0</v>
      </c>
      <c r="T18" s="426">
        <f>'Datu ievade'!T312</f>
        <v>0</v>
      </c>
      <c r="U18" s="426">
        <f>'Datu ievade'!U312</f>
        <v>0</v>
      </c>
      <c r="V18" s="426">
        <f>'Datu ievade'!V312</f>
        <v>0</v>
      </c>
      <c r="W18" s="426">
        <f>'Datu ievade'!W312</f>
        <v>0</v>
      </c>
      <c r="X18" s="426">
        <f>'Datu ievade'!X312</f>
        <v>0</v>
      </c>
      <c r="Y18" s="426">
        <f>'Datu ievade'!Y312</f>
        <v>0</v>
      </c>
      <c r="Z18" s="426">
        <f>'Datu ievade'!Z312</f>
        <v>0</v>
      </c>
      <c r="AA18" s="426">
        <f>'Datu ievade'!AA312</f>
        <v>0</v>
      </c>
      <c r="AB18" s="426">
        <f>'Datu ievade'!AB312</f>
        <v>0</v>
      </c>
      <c r="AC18" s="426">
        <f>'Datu ievade'!AC312</f>
        <v>0</v>
      </c>
      <c r="AD18" s="426">
        <f>'Datu ievade'!AD312</f>
        <v>0</v>
      </c>
      <c r="AE18" s="426">
        <f>'Datu ievade'!AE312</f>
        <v>0</v>
      </c>
      <c r="AF18" s="426">
        <f>'Datu ievade'!AF312</f>
        <v>0</v>
      </c>
      <c r="AG18" s="426">
        <f>'Datu ievade'!AG312</f>
        <v>0</v>
      </c>
    </row>
    <row r="19" spans="1:33" ht="12.75">
      <c r="A19" s="425">
        <f>'Datu ievade'!A313</f>
        <v>0</v>
      </c>
      <c r="B19" s="426">
        <f>'Datu ievade'!B313</f>
        <v>0</v>
      </c>
      <c r="C19" s="426">
        <f>'Datu ievade'!C313</f>
        <v>0</v>
      </c>
      <c r="D19" s="426">
        <f>'Datu ievade'!D313</f>
        <v>0</v>
      </c>
      <c r="E19" s="426">
        <f>'Datu ievade'!E313</f>
        <v>0</v>
      </c>
      <c r="F19" s="426">
        <f>'Datu ievade'!F313</f>
        <v>0</v>
      </c>
      <c r="G19" s="426">
        <f>'Datu ievade'!G313</f>
        <v>0</v>
      </c>
      <c r="H19" s="426">
        <f>'Datu ievade'!H313</f>
        <v>0</v>
      </c>
      <c r="I19" s="426">
        <f>'Datu ievade'!I313</f>
        <v>0</v>
      </c>
      <c r="J19" s="426">
        <f>'Datu ievade'!J313</f>
        <v>0</v>
      </c>
      <c r="K19" s="426">
        <f>'Datu ievade'!K313</f>
        <v>0</v>
      </c>
      <c r="L19" s="426">
        <f>'Datu ievade'!L313</f>
        <v>0</v>
      </c>
      <c r="M19" s="426">
        <f>'Datu ievade'!M313</f>
        <v>0</v>
      </c>
      <c r="N19" s="426">
        <f>'Datu ievade'!N313</f>
        <v>0</v>
      </c>
      <c r="O19" s="426">
        <f>'Datu ievade'!O313</f>
        <v>0</v>
      </c>
      <c r="P19" s="426">
        <f>'Datu ievade'!P313</f>
        <v>0</v>
      </c>
      <c r="Q19" s="426">
        <f>'Datu ievade'!Q313</f>
        <v>0</v>
      </c>
      <c r="R19" s="426">
        <f>'Datu ievade'!R313</f>
        <v>0</v>
      </c>
      <c r="S19" s="426">
        <f>'Datu ievade'!S313</f>
        <v>0</v>
      </c>
      <c r="T19" s="426">
        <f>'Datu ievade'!T313</f>
        <v>0</v>
      </c>
      <c r="U19" s="426">
        <f>'Datu ievade'!U313</f>
        <v>0</v>
      </c>
      <c r="V19" s="426">
        <f>'Datu ievade'!V313</f>
        <v>0</v>
      </c>
      <c r="W19" s="426">
        <f>'Datu ievade'!W313</f>
        <v>0</v>
      </c>
      <c r="X19" s="426">
        <f>'Datu ievade'!X313</f>
        <v>0</v>
      </c>
      <c r="Y19" s="426">
        <f>'Datu ievade'!Y313</f>
        <v>0</v>
      </c>
      <c r="Z19" s="426">
        <f>'Datu ievade'!Z313</f>
        <v>0</v>
      </c>
      <c r="AA19" s="426">
        <f>'Datu ievade'!AA313</f>
        <v>0</v>
      </c>
      <c r="AB19" s="426">
        <f>'Datu ievade'!AB313</f>
        <v>0</v>
      </c>
      <c r="AC19" s="426">
        <f>'Datu ievade'!AC313</f>
        <v>0</v>
      </c>
      <c r="AD19" s="426">
        <f>'Datu ievade'!AD313</f>
        <v>0</v>
      </c>
      <c r="AE19" s="426">
        <f>'Datu ievade'!AE313</f>
        <v>0</v>
      </c>
      <c r="AF19" s="426">
        <f>'Datu ievade'!AF313</f>
        <v>0</v>
      </c>
      <c r="AG19" s="426">
        <f>'Datu ievade'!AG313</f>
        <v>0</v>
      </c>
    </row>
    <row r="20" spans="1:33" ht="12.75">
      <c r="A20" s="425">
        <f>'Datu ievade'!A314</f>
        <v>0</v>
      </c>
      <c r="B20" s="426">
        <f>'Datu ievade'!B314</f>
        <v>0</v>
      </c>
      <c r="C20" s="426">
        <f>'Datu ievade'!C314</f>
        <v>0</v>
      </c>
      <c r="D20" s="426">
        <f>'Datu ievade'!D314</f>
        <v>0</v>
      </c>
      <c r="E20" s="426">
        <f>'Datu ievade'!E314</f>
        <v>0</v>
      </c>
      <c r="F20" s="426">
        <f>'Datu ievade'!F314</f>
        <v>0</v>
      </c>
      <c r="G20" s="426">
        <f>'Datu ievade'!G314</f>
        <v>0</v>
      </c>
      <c r="H20" s="426">
        <f>'Datu ievade'!H314</f>
        <v>0</v>
      </c>
      <c r="I20" s="426">
        <f>'Datu ievade'!I314</f>
        <v>0</v>
      </c>
      <c r="J20" s="426">
        <f>'Datu ievade'!J314</f>
        <v>0</v>
      </c>
      <c r="K20" s="426">
        <f>'Datu ievade'!K314</f>
        <v>0</v>
      </c>
      <c r="L20" s="426">
        <f>'Datu ievade'!L314</f>
        <v>0</v>
      </c>
      <c r="M20" s="426">
        <f>'Datu ievade'!M314</f>
        <v>0</v>
      </c>
      <c r="N20" s="426">
        <f>'Datu ievade'!N314</f>
        <v>0</v>
      </c>
      <c r="O20" s="426">
        <f>'Datu ievade'!O314</f>
        <v>0</v>
      </c>
      <c r="P20" s="426">
        <f>'Datu ievade'!P314</f>
        <v>0</v>
      </c>
      <c r="Q20" s="426">
        <f>'Datu ievade'!Q314</f>
        <v>0</v>
      </c>
      <c r="R20" s="426">
        <f>'Datu ievade'!R314</f>
        <v>0</v>
      </c>
      <c r="S20" s="426">
        <f>'Datu ievade'!S314</f>
        <v>0</v>
      </c>
      <c r="T20" s="426">
        <f>'Datu ievade'!T314</f>
        <v>0</v>
      </c>
      <c r="U20" s="426">
        <f>'Datu ievade'!U314</f>
        <v>0</v>
      </c>
      <c r="V20" s="426">
        <f>'Datu ievade'!V314</f>
        <v>0</v>
      </c>
      <c r="W20" s="426">
        <f>'Datu ievade'!W314</f>
        <v>0</v>
      </c>
      <c r="X20" s="426">
        <f>'Datu ievade'!X314</f>
        <v>0</v>
      </c>
      <c r="Y20" s="426">
        <f>'Datu ievade'!Y314</f>
        <v>0</v>
      </c>
      <c r="Z20" s="426">
        <f>'Datu ievade'!Z314</f>
        <v>0</v>
      </c>
      <c r="AA20" s="426">
        <f>'Datu ievade'!AA314</f>
        <v>0</v>
      </c>
      <c r="AB20" s="426">
        <f>'Datu ievade'!AB314</f>
        <v>0</v>
      </c>
      <c r="AC20" s="426">
        <f>'Datu ievade'!AC314</f>
        <v>0</v>
      </c>
      <c r="AD20" s="426">
        <f>'Datu ievade'!AD314</f>
        <v>0</v>
      </c>
      <c r="AE20" s="426">
        <f>'Datu ievade'!AE314</f>
        <v>0</v>
      </c>
      <c r="AF20" s="426">
        <f>'Datu ievade'!AF314</f>
        <v>0</v>
      </c>
      <c r="AG20" s="426">
        <f>'Datu ievade'!AG314</f>
        <v>0</v>
      </c>
    </row>
    <row r="21" spans="1:33" ht="12.75">
      <c r="A21" s="425">
        <f>'Datu ievade'!A315</f>
        <v>0</v>
      </c>
      <c r="B21" s="426">
        <f>'Datu ievade'!B315</f>
        <v>0</v>
      </c>
      <c r="C21" s="426">
        <f>'Datu ievade'!C315</f>
        <v>0</v>
      </c>
      <c r="D21" s="426">
        <f>'Datu ievade'!D315</f>
        <v>0</v>
      </c>
      <c r="E21" s="426">
        <f>'Datu ievade'!E315</f>
        <v>0</v>
      </c>
      <c r="F21" s="426">
        <f>'Datu ievade'!F315</f>
        <v>0</v>
      </c>
      <c r="G21" s="426">
        <f>'Datu ievade'!G315</f>
        <v>0</v>
      </c>
      <c r="H21" s="426">
        <f>'Datu ievade'!H315</f>
        <v>0</v>
      </c>
      <c r="I21" s="426">
        <f>'Datu ievade'!I315</f>
        <v>0</v>
      </c>
      <c r="J21" s="426">
        <f>'Datu ievade'!J315</f>
        <v>0</v>
      </c>
      <c r="K21" s="426">
        <f>'Datu ievade'!K315</f>
        <v>0</v>
      </c>
      <c r="L21" s="426">
        <f>'Datu ievade'!L315</f>
        <v>0</v>
      </c>
      <c r="M21" s="426">
        <f>'Datu ievade'!M315</f>
        <v>0</v>
      </c>
      <c r="N21" s="426">
        <f>'Datu ievade'!N315</f>
        <v>0</v>
      </c>
      <c r="O21" s="426">
        <f>'Datu ievade'!O315</f>
        <v>0</v>
      </c>
      <c r="P21" s="426">
        <f>'Datu ievade'!P315</f>
        <v>0</v>
      </c>
      <c r="Q21" s="426">
        <f>'Datu ievade'!Q315</f>
        <v>0</v>
      </c>
      <c r="R21" s="426">
        <f>'Datu ievade'!R315</f>
        <v>0</v>
      </c>
      <c r="S21" s="426">
        <f>'Datu ievade'!S315</f>
        <v>0</v>
      </c>
      <c r="T21" s="426">
        <f>'Datu ievade'!T315</f>
        <v>0</v>
      </c>
      <c r="U21" s="426">
        <f>'Datu ievade'!U315</f>
        <v>0</v>
      </c>
      <c r="V21" s="426">
        <f>'Datu ievade'!V315</f>
        <v>0</v>
      </c>
      <c r="W21" s="426">
        <f>'Datu ievade'!W315</f>
        <v>0</v>
      </c>
      <c r="X21" s="426">
        <f>'Datu ievade'!X315</f>
        <v>0</v>
      </c>
      <c r="Y21" s="426">
        <f>'Datu ievade'!Y315</f>
        <v>0</v>
      </c>
      <c r="Z21" s="426">
        <f>'Datu ievade'!Z315</f>
        <v>0</v>
      </c>
      <c r="AA21" s="426">
        <f>'Datu ievade'!AA315</f>
        <v>0</v>
      </c>
      <c r="AB21" s="426">
        <f>'Datu ievade'!AB315</f>
        <v>0</v>
      </c>
      <c r="AC21" s="426">
        <f>'Datu ievade'!AC315</f>
        <v>0</v>
      </c>
      <c r="AD21" s="426">
        <f>'Datu ievade'!AD315</f>
        <v>0</v>
      </c>
      <c r="AE21" s="426">
        <f>'Datu ievade'!AE315</f>
        <v>0</v>
      </c>
      <c r="AF21" s="426">
        <f>'Datu ievade'!AF315</f>
        <v>0</v>
      </c>
      <c r="AG21" s="426">
        <f>'Datu ievade'!AG315</f>
        <v>0</v>
      </c>
    </row>
    <row r="22" spans="1:33" ht="12.75">
      <c r="A22" s="425">
        <f>'Datu ievade'!A316</f>
        <v>0</v>
      </c>
      <c r="B22" s="426">
        <f>'Datu ievade'!B316</f>
        <v>0</v>
      </c>
      <c r="C22" s="426">
        <f>'Datu ievade'!C316</f>
        <v>0</v>
      </c>
      <c r="D22" s="426">
        <f>'Datu ievade'!D316</f>
        <v>0</v>
      </c>
      <c r="E22" s="426">
        <f>'Datu ievade'!E316</f>
        <v>0</v>
      </c>
      <c r="F22" s="426">
        <f>'Datu ievade'!F316</f>
        <v>0</v>
      </c>
      <c r="G22" s="426">
        <f>'Datu ievade'!G316</f>
        <v>0</v>
      </c>
      <c r="H22" s="426">
        <f>'Datu ievade'!H316</f>
        <v>0</v>
      </c>
      <c r="I22" s="426">
        <f>'Datu ievade'!I316</f>
        <v>0</v>
      </c>
      <c r="J22" s="426">
        <f>'Datu ievade'!J316</f>
        <v>0</v>
      </c>
      <c r="K22" s="426">
        <f>'Datu ievade'!K316</f>
        <v>0</v>
      </c>
      <c r="L22" s="426">
        <f>'Datu ievade'!L316</f>
        <v>0</v>
      </c>
      <c r="M22" s="426">
        <f>'Datu ievade'!M316</f>
        <v>0</v>
      </c>
      <c r="N22" s="426">
        <f>'Datu ievade'!N316</f>
        <v>0</v>
      </c>
      <c r="O22" s="426">
        <f>'Datu ievade'!O316</f>
        <v>0</v>
      </c>
      <c r="P22" s="426">
        <f>'Datu ievade'!P316</f>
        <v>0</v>
      </c>
      <c r="Q22" s="426">
        <f>'Datu ievade'!Q316</f>
        <v>0</v>
      </c>
      <c r="R22" s="426">
        <f>'Datu ievade'!R316</f>
        <v>0</v>
      </c>
      <c r="S22" s="426">
        <f>'Datu ievade'!S316</f>
        <v>0</v>
      </c>
      <c r="T22" s="426">
        <f>'Datu ievade'!T316</f>
        <v>0</v>
      </c>
      <c r="U22" s="426">
        <f>'Datu ievade'!U316</f>
        <v>0</v>
      </c>
      <c r="V22" s="426">
        <f>'Datu ievade'!V316</f>
        <v>0</v>
      </c>
      <c r="W22" s="426">
        <f>'Datu ievade'!W316</f>
        <v>0</v>
      </c>
      <c r="X22" s="426">
        <f>'Datu ievade'!X316</f>
        <v>0</v>
      </c>
      <c r="Y22" s="426">
        <f>'Datu ievade'!Y316</f>
        <v>0</v>
      </c>
      <c r="Z22" s="426">
        <f>'Datu ievade'!Z316</f>
        <v>0</v>
      </c>
      <c r="AA22" s="426">
        <f>'Datu ievade'!AA316</f>
        <v>0</v>
      </c>
      <c r="AB22" s="426">
        <f>'Datu ievade'!AB316</f>
        <v>0</v>
      </c>
      <c r="AC22" s="426">
        <f>'Datu ievade'!AC316</f>
        <v>0</v>
      </c>
      <c r="AD22" s="426">
        <f>'Datu ievade'!AD316</f>
        <v>0</v>
      </c>
      <c r="AE22" s="426">
        <f>'Datu ievade'!AE316</f>
        <v>0</v>
      </c>
      <c r="AF22" s="426">
        <f>'Datu ievade'!AF316</f>
        <v>0</v>
      </c>
      <c r="AG22" s="426">
        <f>'Datu ievade'!AG316</f>
        <v>0</v>
      </c>
    </row>
    <row r="23" spans="1:33" ht="12.75">
      <c r="A23" s="425" t="str">
        <f>'Datu ievade'!A319</f>
        <v>Īstermiņa aizņēmums PVN segšanai</v>
      </c>
      <c r="B23" s="426">
        <f>'Datu ievade'!B319</f>
        <v>0</v>
      </c>
      <c r="C23" s="426">
        <f>'Datu ievade'!C319</f>
        <v>0</v>
      </c>
      <c r="D23" s="426">
        <f>'Datu ievade'!D319</f>
        <v>0</v>
      </c>
      <c r="E23" s="426">
        <f>'Datu ievade'!E319</f>
        <v>0</v>
      </c>
      <c r="F23" s="426">
        <f>'Datu ievade'!F319</f>
        <v>0</v>
      </c>
      <c r="G23" s="426">
        <f>'Datu ievade'!G319</f>
        <v>0</v>
      </c>
      <c r="H23" s="426">
        <f>'Datu ievade'!H319</f>
        <v>0</v>
      </c>
      <c r="I23" s="426">
        <f>'Datu ievade'!I319</f>
        <v>0</v>
      </c>
      <c r="J23" s="426">
        <f>'Datu ievade'!J319</f>
        <v>0</v>
      </c>
      <c r="K23" s="426">
        <f>'Datu ievade'!K319</f>
        <v>0</v>
      </c>
      <c r="L23" s="426">
        <f>'Datu ievade'!L319</f>
        <v>0</v>
      </c>
      <c r="M23" s="426">
        <f>'Datu ievade'!M319</f>
        <v>0</v>
      </c>
      <c r="N23" s="426">
        <f>'Datu ievade'!N319</f>
        <v>0</v>
      </c>
      <c r="O23" s="426">
        <f>'Datu ievade'!O319</f>
        <v>0</v>
      </c>
      <c r="P23" s="426">
        <f>'Datu ievade'!P319</f>
        <v>0</v>
      </c>
      <c r="Q23" s="426">
        <f>'Datu ievade'!Q319</f>
        <v>0</v>
      </c>
      <c r="R23" s="426">
        <f>'Datu ievade'!R319</f>
        <v>0</v>
      </c>
      <c r="S23" s="426">
        <f>'Datu ievade'!S319</f>
        <v>0</v>
      </c>
      <c r="T23" s="426">
        <f>'Datu ievade'!T319</f>
        <v>0</v>
      </c>
      <c r="U23" s="426">
        <f>'Datu ievade'!U319</f>
        <v>0</v>
      </c>
      <c r="V23" s="426">
        <f>'Datu ievade'!V319</f>
        <v>0</v>
      </c>
      <c r="W23" s="426">
        <f>'Datu ievade'!W319</f>
        <v>0</v>
      </c>
      <c r="X23" s="426">
        <f>'Datu ievade'!X319</f>
        <v>0</v>
      </c>
      <c r="Y23" s="426">
        <f>'Datu ievade'!Y319</f>
        <v>0</v>
      </c>
      <c r="Z23" s="426">
        <f>'Datu ievade'!Z319</f>
        <v>0</v>
      </c>
      <c r="AA23" s="426">
        <f>'Datu ievade'!AA319</f>
        <v>0</v>
      </c>
      <c r="AB23" s="426">
        <f>'Datu ievade'!AB319</f>
        <v>0</v>
      </c>
      <c r="AC23" s="426">
        <f>'Datu ievade'!AC319</f>
        <v>0</v>
      </c>
      <c r="AD23" s="426">
        <f>'Datu ievade'!AD319</f>
        <v>0</v>
      </c>
      <c r="AE23" s="426">
        <f>'Datu ievade'!AE319</f>
        <v>0</v>
      </c>
      <c r="AF23" s="426">
        <f>'Datu ievade'!AF319</f>
        <v>0</v>
      </c>
      <c r="AG23" s="426">
        <f>'Datu ievade'!AG319</f>
        <v>0</v>
      </c>
    </row>
    <row r="24" spans="1:33" ht="12.75">
      <c r="A24" s="427" t="str">
        <f>'Datu ievade'!A320</f>
        <v>7.20. Ūdenssaimniecības projekts</v>
      </c>
      <c r="B24" s="426">
        <f>Aprekini!B251</f>
        <v>0</v>
      </c>
      <c r="C24" s="426">
        <f>Aprekini!C251</f>
        <v>0</v>
      </c>
      <c r="D24" s="426">
        <f>Aprekini!D251</f>
        <v>3622.8561682988006</v>
      </c>
      <c r="E24" s="426">
        <f>Aprekini!E251</f>
        <v>19471.347126</v>
      </c>
      <c r="F24" s="426">
        <f>Aprekini!F251</f>
        <v>36249.759126000004</v>
      </c>
      <c r="G24" s="426">
        <f>Aprekini!G251</f>
        <v>35470.90524096</v>
      </c>
      <c r="H24" s="426">
        <f>Aprekini!H251</f>
        <v>34692.051355920004</v>
      </c>
      <c r="I24" s="426">
        <f>Aprekini!I251</f>
        <v>33913.19747088</v>
      </c>
      <c r="J24" s="426">
        <f>Aprekini!J251</f>
        <v>33134.34358584</v>
      </c>
      <c r="K24" s="426">
        <f>Aprekini!K251</f>
        <v>32355.489700799997</v>
      </c>
      <c r="L24" s="426">
        <f>Aprekini!L251</f>
        <v>31576.635815759997</v>
      </c>
      <c r="M24" s="426">
        <f>Aprekini!M251</f>
        <v>30797.781930719997</v>
      </c>
      <c r="N24" s="426">
        <f>Aprekini!N251</f>
        <v>30018.928045679997</v>
      </c>
      <c r="O24" s="426">
        <f>Aprekini!O251</f>
        <v>29240.074160639997</v>
      </c>
      <c r="P24" s="426">
        <f>Aprekini!P251</f>
        <v>28461.220275599997</v>
      </c>
      <c r="Q24" s="426">
        <f>Aprekini!Q251</f>
        <v>27682.366390559997</v>
      </c>
      <c r="R24" s="426">
        <f>Aprekini!R251</f>
        <v>26903.512505519993</v>
      </c>
      <c r="S24" s="426">
        <f>Aprekini!S251</f>
        <v>26124.658620479993</v>
      </c>
      <c r="T24" s="426">
        <f>Aprekini!T251</f>
        <v>25345.804735439993</v>
      </c>
      <c r="U24" s="426">
        <f>Aprekini!U251</f>
        <v>24566.950850399993</v>
      </c>
      <c r="V24" s="426">
        <f>Aprekini!V251</f>
        <v>23788.096965359993</v>
      </c>
      <c r="W24" s="426">
        <f>Aprekini!W251</f>
        <v>23009.24308031999</v>
      </c>
      <c r="X24" s="426">
        <f>Aprekini!X251</f>
        <v>22230.38919527999</v>
      </c>
      <c r="Y24" s="426">
        <f>Aprekini!Y251</f>
        <v>21451.53531023999</v>
      </c>
      <c r="Z24" s="426">
        <f>Aprekini!Z251</f>
        <v>20672.681425199993</v>
      </c>
      <c r="AA24" s="426">
        <f>Aprekini!AA251</f>
        <v>19893.827540159993</v>
      </c>
      <c r="AB24" s="426">
        <f>Aprekini!AB251</f>
        <v>19114.973655119993</v>
      </c>
      <c r="AC24" s="426">
        <f>Aprekini!AC251</f>
        <v>18336.119770079993</v>
      </c>
      <c r="AD24" s="426">
        <f>Aprekini!AD251</f>
        <v>17557.265885039993</v>
      </c>
      <c r="AE24" s="426">
        <f>Aprekini!AE251</f>
        <v>-8.443748811259866E-12</v>
      </c>
      <c r="AF24" s="426">
        <f>Aprekini!AF251</f>
        <v>-8.443748811259866E-12</v>
      </c>
      <c r="AG24" s="426">
        <f>Aprekini!AG251</f>
        <v>-8.443748811259866E-12</v>
      </c>
    </row>
    <row r="25" spans="1:33" ht="12.75">
      <c r="A25" s="418" t="s">
        <v>183</v>
      </c>
      <c r="B25" s="428">
        <f aca="true" t="shared" si="1" ref="B25:AG25">SUM(B7:B24)</f>
        <v>0</v>
      </c>
      <c r="C25" s="428">
        <f t="shared" si="1"/>
        <v>0</v>
      </c>
      <c r="D25" s="428">
        <f t="shared" si="1"/>
        <v>3622.8561682988006</v>
      </c>
      <c r="E25" s="428">
        <f t="shared" si="1"/>
        <v>19471.347126</v>
      </c>
      <c r="F25" s="428">
        <f t="shared" si="1"/>
        <v>36249.759126000004</v>
      </c>
      <c r="G25" s="428">
        <f t="shared" si="1"/>
        <v>35470.90524096</v>
      </c>
      <c r="H25" s="428">
        <f t="shared" si="1"/>
        <v>34692.051355920004</v>
      </c>
      <c r="I25" s="428">
        <f t="shared" si="1"/>
        <v>33913.19747088</v>
      </c>
      <c r="J25" s="428">
        <f t="shared" si="1"/>
        <v>33134.34358584</v>
      </c>
      <c r="K25" s="428">
        <f t="shared" si="1"/>
        <v>32355.489700799997</v>
      </c>
      <c r="L25" s="428">
        <f t="shared" si="1"/>
        <v>31576.635815759997</v>
      </c>
      <c r="M25" s="428">
        <f t="shared" si="1"/>
        <v>30797.781930719997</v>
      </c>
      <c r="N25" s="428">
        <f t="shared" si="1"/>
        <v>30018.928045679997</v>
      </c>
      <c r="O25" s="428">
        <f t="shared" si="1"/>
        <v>29240.074160639997</v>
      </c>
      <c r="P25" s="428">
        <f t="shared" si="1"/>
        <v>28461.220275599997</v>
      </c>
      <c r="Q25" s="428">
        <f t="shared" si="1"/>
        <v>27682.366390559997</v>
      </c>
      <c r="R25" s="428">
        <f t="shared" si="1"/>
        <v>26903.512505519993</v>
      </c>
      <c r="S25" s="428">
        <f t="shared" si="1"/>
        <v>26124.658620479993</v>
      </c>
      <c r="T25" s="428">
        <f t="shared" si="1"/>
        <v>25345.804735439993</v>
      </c>
      <c r="U25" s="428">
        <f t="shared" si="1"/>
        <v>24566.950850399993</v>
      </c>
      <c r="V25" s="428">
        <f t="shared" si="1"/>
        <v>23788.096965359993</v>
      </c>
      <c r="W25" s="428">
        <f t="shared" si="1"/>
        <v>23009.24308031999</v>
      </c>
      <c r="X25" s="428">
        <f t="shared" si="1"/>
        <v>22230.38919527999</v>
      </c>
      <c r="Y25" s="428">
        <f t="shared" si="1"/>
        <v>21451.53531023999</v>
      </c>
      <c r="Z25" s="428">
        <f t="shared" si="1"/>
        <v>20672.681425199993</v>
      </c>
      <c r="AA25" s="428">
        <f t="shared" si="1"/>
        <v>19893.827540159993</v>
      </c>
      <c r="AB25" s="428">
        <f t="shared" si="1"/>
        <v>19114.973655119993</v>
      </c>
      <c r="AC25" s="428">
        <f t="shared" si="1"/>
        <v>18336.119770079993</v>
      </c>
      <c r="AD25" s="428">
        <f t="shared" si="1"/>
        <v>17557.265885039993</v>
      </c>
      <c r="AE25" s="428">
        <f t="shared" si="1"/>
        <v>-8.443748811259866E-12</v>
      </c>
      <c r="AF25" s="428">
        <f t="shared" si="1"/>
        <v>-8.443748811259866E-12</v>
      </c>
      <c r="AG25" s="428">
        <f t="shared" si="1"/>
        <v>-8.443748811259866E-12</v>
      </c>
    </row>
    <row r="26" spans="1:33" ht="12.75">
      <c r="A26" s="424" t="s">
        <v>184</v>
      </c>
      <c r="B26" s="429"/>
      <c r="C26" s="429"/>
      <c r="D26" s="429"/>
      <c r="E26" s="429"/>
      <c r="F26" s="429"/>
      <c r="G26" s="429"/>
      <c r="H26" s="429"/>
      <c r="I26" s="429"/>
      <c r="J26" s="429"/>
      <c r="K26" s="429"/>
      <c r="L26" s="429"/>
      <c r="M26" s="430"/>
      <c r="N26" s="430"/>
      <c r="O26" s="430"/>
      <c r="P26" s="430"/>
      <c r="Q26" s="430"/>
      <c r="R26" s="430"/>
      <c r="S26" s="430"/>
      <c r="T26" s="430"/>
      <c r="U26" s="430"/>
      <c r="V26" s="430"/>
      <c r="W26" s="430"/>
      <c r="X26" s="430"/>
      <c r="Y26" s="430"/>
      <c r="Z26" s="431"/>
      <c r="AA26" s="431"/>
      <c r="AB26" s="431"/>
      <c r="AC26" s="431"/>
      <c r="AD26" s="431"/>
      <c r="AE26" s="431"/>
      <c r="AF26" s="431"/>
      <c r="AG26" s="431"/>
    </row>
    <row r="27" spans="1:33" ht="12.75" hidden="1">
      <c r="A27" s="425">
        <f>'Datu ievade'!A322</f>
        <v>0</v>
      </c>
      <c r="B27" s="425">
        <f>'Datu ievade'!B322</f>
        <v>0</v>
      </c>
      <c r="C27" s="425">
        <f>'Datu ievade'!C322</f>
        <v>0</v>
      </c>
      <c r="D27" s="425">
        <f>'Datu ievade'!D322</f>
        <v>0</v>
      </c>
      <c r="E27" s="425">
        <f>'Datu ievade'!E322</f>
        <v>0</v>
      </c>
      <c r="F27" s="425">
        <f>'Datu ievade'!F322</f>
        <v>0</v>
      </c>
      <c r="G27" s="425">
        <f>'Datu ievade'!G322</f>
        <v>0</v>
      </c>
      <c r="H27" s="425">
        <f>'Datu ievade'!H322</f>
        <v>0</v>
      </c>
      <c r="I27" s="425">
        <f>'Datu ievade'!I322</f>
        <v>0</v>
      </c>
      <c r="J27" s="425">
        <f>'Datu ievade'!J322</f>
        <v>0</v>
      </c>
      <c r="K27" s="425">
        <f>'Datu ievade'!K322</f>
        <v>0</v>
      </c>
      <c r="L27" s="425">
        <f>'Datu ievade'!L322</f>
        <v>0</v>
      </c>
      <c r="M27" s="425">
        <f>'Datu ievade'!M322</f>
        <v>0</v>
      </c>
      <c r="N27" s="425">
        <f>'Datu ievade'!N322</f>
        <v>0</v>
      </c>
      <c r="O27" s="425">
        <f>'Datu ievade'!O322</f>
        <v>0</v>
      </c>
      <c r="P27" s="425">
        <f>'Datu ievade'!P322</f>
        <v>0</v>
      </c>
      <c r="Q27" s="425">
        <f>'Datu ievade'!Q322</f>
        <v>0</v>
      </c>
      <c r="R27" s="425">
        <f>'Datu ievade'!R322</f>
        <v>0</v>
      </c>
      <c r="S27" s="425">
        <f>'Datu ievade'!S322</f>
        <v>0</v>
      </c>
      <c r="T27" s="425">
        <f>'Datu ievade'!T322</f>
        <v>0</v>
      </c>
      <c r="U27" s="425">
        <f>'Datu ievade'!U322</f>
        <v>0</v>
      </c>
      <c r="V27" s="425">
        <f>'Datu ievade'!V322</f>
        <v>0</v>
      </c>
      <c r="W27" s="425">
        <f>'Datu ievade'!W322</f>
        <v>0</v>
      </c>
      <c r="X27" s="425">
        <f>'Datu ievade'!X322</f>
        <v>0</v>
      </c>
      <c r="Y27" s="425">
        <f>'Datu ievade'!Y322</f>
        <v>0</v>
      </c>
      <c r="Z27" s="425">
        <f>'Datu ievade'!Z322</f>
        <v>0</v>
      </c>
      <c r="AA27" s="425">
        <f>'Datu ievade'!AA322</f>
        <v>0</v>
      </c>
      <c r="AB27" s="425">
        <f>'Datu ievade'!AB322</f>
        <v>0</v>
      </c>
      <c r="AC27" s="425">
        <f>'Datu ievade'!AC322</f>
        <v>0</v>
      </c>
      <c r="AD27" s="425">
        <f>'Datu ievade'!AD322</f>
        <v>0</v>
      </c>
      <c r="AE27" s="425">
        <f>'Datu ievade'!AE322</f>
        <v>0</v>
      </c>
      <c r="AF27" s="425">
        <f>'Datu ievade'!AF322</f>
        <v>0</v>
      </c>
      <c r="AG27" s="425">
        <f>'Datu ievade'!AG322</f>
        <v>0</v>
      </c>
    </row>
    <row r="28" spans="1:33" ht="12.75" hidden="1">
      <c r="A28" s="425">
        <f>'Datu ievade'!A323</f>
        <v>0</v>
      </c>
      <c r="B28" s="425">
        <f>'Datu ievade'!B323</f>
        <v>0</v>
      </c>
      <c r="C28" s="425">
        <f>'Datu ievade'!C323</f>
        <v>0</v>
      </c>
      <c r="D28" s="425">
        <f>'Datu ievade'!D323</f>
        <v>0</v>
      </c>
      <c r="E28" s="425">
        <f>'Datu ievade'!E323</f>
        <v>0</v>
      </c>
      <c r="F28" s="425">
        <f>'Datu ievade'!F323</f>
        <v>0</v>
      </c>
      <c r="G28" s="425">
        <f>'Datu ievade'!G323</f>
        <v>0</v>
      </c>
      <c r="H28" s="425">
        <f>'Datu ievade'!H323</f>
        <v>0</v>
      </c>
      <c r="I28" s="425">
        <f>'Datu ievade'!I323</f>
        <v>0</v>
      </c>
      <c r="J28" s="425">
        <f>'Datu ievade'!J323</f>
        <v>0</v>
      </c>
      <c r="K28" s="425">
        <f>'Datu ievade'!K323</f>
        <v>0</v>
      </c>
      <c r="L28" s="425">
        <f>'Datu ievade'!L323</f>
        <v>0</v>
      </c>
      <c r="M28" s="425">
        <f>'Datu ievade'!M323</f>
        <v>0</v>
      </c>
      <c r="N28" s="425">
        <f>'Datu ievade'!N323</f>
        <v>0</v>
      </c>
      <c r="O28" s="425">
        <f>'Datu ievade'!O323</f>
        <v>0</v>
      </c>
      <c r="P28" s="425">
        <f>'Datu ievade'!P323</f>
        <v>0</v>
      </c>
      <c r="Q28" s="425">
        <f>'Datu ievade'!Q323</f>
        <v>0</v>
      </c>
      <c r="R28" s="425">
        <f>'Datu ievade'!R323</f>
        <v>0</v>
      </c>
      <c r="S28" s="425">
        <f>'Datu ievade'!S323</f>
        <v>0</v>
      </c>
      <c r="T28" s="425">
        <f>'Datu ievade'!T323</f>
        <v>0</v>
      </c>
      <c r="U28" s="425">
        <f>'Datu ievade'!U323</f>
        <v>0</v>
      </c>
      <c r="V28" s="425">
        <f>'Datu ievade'!V323</f>
        <v>0</v>
      </c>
      <c r="W28" s="425">
        <f>'Datu ievade'!W323</f>
        <v>0</v>
      </c>
      <c r="X28" s="425">
        <f>'Datu ievade'!X323</f>
        <v>0</v>
      </c>
      <c r="Y28" s="425">
        <f>'Datu ievade'!Y323</f>
        <v>0</v>
      </c>
      <c r="Z28" s="425">
        <f>'Datu ievade'!Z323</f>
        <v>0</v>
      </c>
      <c r="AA28" s="425">
        <f>'Datu ievade'!AA323</f>
        <v>0</v>
      </c>
      <c r="AB28" s="425">
        <f>'Datu ievade'!AB323</f>
        <v>0</v>
      </c>
      <c r="AC28" s="425">
        <f>'Datu ievade'!AC323</f>
        <v>0</v>
      </c>
      <c r="AD28" s="425">
        <f>'Datu ievade'!AD323</f>
        <v>0</v>
      </c>
      <c r="AE28" s="425">
        <f>'Datu ievade'!AE323</f>
        <v>0</v>
      </c>
      <c r="AF28" s="425">
        <f>'Datu ievade'!AF323</f>
        <v>0</v>
      </c>
      <c r="AG28" s="425">
        <f>'Datu ievade'!AG323</f>
        <v>0</v>
      </c>
    </row>
    <row r="29" spans="1:33" ht="12.75" hidden="1">
      <c r="A29" s="425">
        <f>'Datu ievade'!A324</f>
        <v>0</v>
      </c>
      <c r="B29" s="425">
        <f>'Datu ievade'!B324</f>
        <v>0</v>
      </c>
      <c r="C29" s="425">
        <f>'Datu ievade'!C324</f>
        <v>0</v>
      </c>
      <c r="D29" s="425">
        <f>'Datu ievade'!D324</f>
        <v>0</v>
      </c>
      <c r="E29" s="425">
        <f>'Datu ievade'!E324</f>
        <v>0</v>
      </c>
      <c r="F29" s="425">
        <f>'Datu ievade'!F324</f>
        <v>0</v>
      </c>
      <c r="G29" s="425">
        <f>'Datu ievade'!G324</f>
        <v>0</v>
      </c>
      <c r="H29" s="425">
        <f>'Datu ievade'!H324</f>
        <v>0</v>
      </c>
      <c r="I29" s="425">
        <f>'Datu ievade'!I324</f>
        <v>0</v>
      </c>
      <c r="J29" s="425">
        <f>'Datu ievade'!J324</f>
        <v>0</v>
      </c>
      <c r="K29" s="425">
        <f>'Datu ievade'!K324</f>
        <v>0</v>
      </c>
      <c r="L29" s="425">
        <f>'Datu ievade'!L324</f>
        <v>0</v>
      </c>
      <c r="M29" s="425">
        <f>'Datu ievade'!M324</f>
        <v>0</v>
      </c>
      <c r="N29" s="425">
        <f>'Datu ievade'!N324</f>
        <v>0</v>
      </c>
      <c r="O29" s="425">
        <f>'Datu ievade'!O324</f>
        <v>0</v>
      </c>
      <c r="P29" s="425">
        <f>'Datu ievade'!P324</f>
        <v>0</v>
      </c>
      <c r="Q29" s="425">
        <f>'Datu ievade'!Q324</f>
        <v>0</v>
      </c>
      <c r="R29" s="425">
        <f>'Datu ievade'!R324</f>
        <v>0</v>
      </c>
      <c r="S29" s="425">
        <f>'Datu ievade'!S324</f>
        <v>0</v>
      </c>
      <c r="T29" s="425">
        <f>'Datu ievade'!T324</f>
        <v>0</v>
      </c>
      <c r="U29" s="425">
        <f>'Datu ievade'!U324</f>
        <v>0</v>
      </c>
      <c r="V29" s="425">
        <f>'Datu ievade'!V324</f>
        <v>0</v>
      </c>
      <c r="W29" s="425">
        <f>'Datu ievade'!W324</f>
        <v>0</v>
      </c>
      <c r="X29" s="425">
        <f>'Datu ievade'!X324</f>
        <v>0</v>
      </c>
      <c r="Y29" s="425">
        <f>'Datu ievade'!Y324</f>
        <v>0</v>
      </c>
      <c r="Z29" s="425">
        <f>'Datu ievade'!Z324</f>
        <v>0</v>
      </c>
      <c r="AA29" s="425">
        <f>'Datu ievade'!AA324</f>
        <v>0</v>
      </c>
      <c r="AB29" s="425">
        <f>'Datu ievade'!AB324</f>
        <v>0</v>
      </c>
      <c r="AC29" s="425">
        <f>'Datu ievade'!AC324</f>
        <v>0</v>
      </c>
      <c r="AD29" s="425">
        <f>'Datu ievade'!AD324</f>
        <v>0</v>
      </c>
      <c r="AE29" s="425">
        <f>'Datu ievade'!AE324</f>
        <v>0</v>
      </c>
      <c r="AF29" s="425">
        <f>'Datu ievade'!AF324</f>
        <v>0</v>
      </c>
      <c r="AG29" s="425">
        <f>'Datu ievade'!AG324</f>
        <v>0</v>
      </c>
    </row>
    <row r="30" spans="1:33" ht="12.75" hidden="1">
      <c r="A30" s="425">
        <f>'Datu ievade'!A325</f>
        <v>0</v>
      </c>
      <c r="B30" s="425">
        <f>'Datu ievade'!B325</f>
        <v>0</v>
      </c>
      <c r="C30" s="425">
        <f>'Datu ievade'!C325</f>
        <v>0</v>
      </c>
      <c r="D30" s="425">
        <f>'Datu ievade'!D325</f>
        <v>0</v>
      </c>
      <c r="E30" s="425">
        <f>'Datu ievade'!E325</f>
        <v>0</v>
      </c>
      <c r="F30" s="425">
        <f>'Datu ievade'!F325</f>
        <v>0</v>
      </c>
      <c r="G30" s="425">
        <f>'Datu ievade'!G325</f>
        <v>0</v>
      </c>
      <c r="H30" s="425">
        <f>'Datu ievade'!H325</f>
        <v>0</v>
      </c>
      <c r="I30" s="425">
        <f>'Datu ievade'!I325</f>
        <v>0</v>
      </c>
      <c r="J30" s="425">
        <f>'Datu ievade'!J325</f>
        <v>0</v>
      </c>
      <c r="K30" s="425">
        <f>'Datu ievade'!K325</f>
        <v>0</v>
      </c>
      <c r="L30" s="425">
        <f>'Datu ievade'!L325</f>
        <v>0</v>
      </c>
      <c r="M30" s="425">
        <f>'Datu ievade'!M325</f>
        <v>0</v>
      </c>
      <c r="N30" s="425">
        <f>'Datu ievade'!N325</f>
        <v>0</v>
      </c>
      <c r="O30" s="425">
        <f>'Datu ievade'!O325</f>
        <v>0</v>
      </c>
      <c r="P30" s="425">
        <f>'Datu ievade'!P325</f>
        <v>0</v>
      </c>
      <c r="Q30" s="425">
        <f>'Datu ievade'!Q325</f>
        <v>0</v>
      </c>
      <c r="R30" s="425">
        <f>'Datu ievade'!R325</f>
        <v>0</v>
      </c>
      <c r="S30" s="425">
        <f>'Datu ievade'!S325</f>
        <v>0</v>
      </c>
      <c r="T30" s="425">
        <f>'Datu ievade'!T325</f>
        <v>0</v>
      </c>
      <c r="U30" s="425">
        <f>'Datu ievade'!U325</f>
        <v>0</v>
      </c>
      <c r="V30" s="425">
        <f>'Datu ievade'!V325</f>
        <v>0</v>
      </c>
      <c r="W30" s="425">
        <f>'Datu ievade'!W325</f>
        <v>0</v>
      </c>
      <c r="X30" s="425">
        <f>'Datu ievade'!X325</f>
        <v>0</v>
      </c>
      <c r="Y30" s="425">
        <f>'Datu ievade'!Y325</f>
        <v>0</v>
      </c>
      <c r="Z30" s="425">
        <f>'Datu ievade'!Z325</f>
        <v>0</v>
      </c>
      <c r="AA30" s="425">
        <f>'Datu ievade'!AA325</f>
        <v>0</v>
      </c>
      <c r="AB30" s="425">
        <f>'Datu ievade'!AB325</f>
        <v>0</v>
      </c>
      <c r="AC30" s="425">
        <f>'Datu ievade'!AC325</f>
        <v>0</v>
      </c>
      <c r="AD30" s="425">
        <f>'Datu ievade'!AD325</f>
        <v>0</v>
      </c>
      <c r="AE30" s="425">
        <f>'Datu ievade'!AE325</f>
        <v>0</v>
      </c>
      <c r="AF30" s="425">
        <f>'Datu ievade'!AF325</f>
        <v>0</v>
      </c>
      <c r="AG30" s="425">
        <f>'Datu ievade'!AG325</f>
        <v>0</v>
      </c>
    </row>
    <row r="31" spans="1:33" ht="12.75" hidden="1">
      <c r="A31" s="425">
        <f>'Datu ievade'!A326</f>
        <v>0</v>
      </c>
      <c r="B31" s="425">
        <f>'Datu ievade'!B326</f>
        <v>0</v>
      </c>
      <c r="C31" s="425">
        <f>'Datu ievade'!C326</f>
        <v>0</v>
      </c>
      <c r="D31" s="425">
        <f>'Datu ievade'!D326</f>
        <v>0</v>
      </c>
      <c r="E31" s="425">
        <f>'Datu ievade'!E326</f>
        <v>0</v>
      </c>
      <c r="F31" s="425">
        <f>'Datu ievade'!F326</f>
        <v>0</v>
      </c>
      <c r="G31" s="425">
        <f>'Datu ievade'!G326</f>
        <v>0</v>
      </c>
      <c r="H31" s="425">
        <f>'Datu ievade'!H326</f>
        <v>0</v>
      </c>
      <c r="I31" s="425">
        <f>'Datu ievade'!I326</f>
        <v>0</v>
      </c>
      <c r="J31" s="425">
        <f>'Datu ievade'!J326</f>
        <v>0</v>
      </c>
      <c r="K31" s="425">
        <f>'Datu ievade'!K326</f>
        <v>0</v>
      </c>
      <c r="L31" s="425">
        <f>'Datu ievade'!L326</f>
        <v>0</v>
      </c>
      <c r="M31" s="425">
        <f>'Datu ievade'!M326</f>
        <v>0</v>
      </c>
      <c r="N31" s="425">
        <f>'Datu ievade'!N326</f>
        <v>0</v>
      </c>
      <c r="O31" s="425">
        <f>'Datu ievade'!O326</f>
        <v>0</v>
      </c>
      <c r="P31" s="425">
        <f>'Datu ievade'!P326</f>
        <v>0</v>
      </c>
      <c r="Q31" s="425">
        <f>'Datu ievade'!Q326</f>
        <v>0</v>
      </c>
      <c r="R31" s="425">
        <f>'Datu ievade'!R326</f>
        <v>0</v>
      </c>
      <c r="S31" s="425">
        <f>'Datu ievade'!S326</f>
        <v>0</v>
      </c>
      <c r="T31" s="425">
        <f>'Datu ievade'!T326</f>
        <v>0</v>
      </c>
      <c r="U31" s="425">
        <f>'Datu ievade'!U326</f>
        <v>0</v>
      </c>
      <c r="V31" s="425">
        <f>'Datu ievade'!V326</f>
        <v>0</v>
      </c>
      <c r="W31" s="425">
        <f>'Datu ievade'!W326</f>
        <v>0</v>
      </c>
      <c r="X31" s="425">
        <f>'Datu ievade'!X326</f>
        <v>0</v>
      </c>
      <c r="Y31" s="425">
        <f>'Datu ievade'!Y326</f>
        <v>0</v>
      </c>
      <c r="Z31" s="425">
        <f>'Datu ievade'!Z326</f>
        <v>0</v>
      </c>
      <c r="AA31" s="425">
        <f>'Datu ievade'!AA326</f>
        <v>0</v>
      </c>
      <c r="AB31" s="425">
        <f>'Datu ievade'!AB326</f>
        <v>0</v>
      </c>
      <c r="AC31" s="425">
        <f>'Datu ievade'!AC326</f>
        <v>0</v>
      </c>
      <c r="AD31" s="425">
        <f>'Datu ievade'!AD326</f>
        <v>0</v>
      </c>
      <c r="AE31" s="425">
        <f>'Datu ievade'!AE326</f>
        <v>0</v>
      </c>
      <c r="AF31" s="425">
        <f>'Datu ievade'!AF326</f>
        <v>0</v>
      </c>
      <c r="AG31" s="425">
        <f>'Datu ievade'!AG326</f>
        <v>0</v>
      </c>
    </row>
    <row r="32" spans="1:33" ht="12.75" hidden="1">
      <c r="A32" s="425">
        <f>'Datu ievade'!A327</f>
        <v>0</v>
      </c>
      <c r="B32" s="425">
        <f>'Datu ievade'!B327</f>
        <v>0</v>
      </c>
      <c r="C32" s="425">
        <f>'Datu ievade'!C327</f>
        <v>0</v>
      </c>
      <c r="D32" s="425">
        <f>'Datu ievade'!D327</f>
        <v>0</v>
      </c>
      <c r="E32" s="425">
        <f>'Datu ievade'!E327</f>
        <v>0</v>
      </c>
      <c r="F32" s="425">
        <f>'Datu ievade'!F327</f>
        <v>0</v>
      </c>
      <c r="G32" s="425">
        <f>'Datu ievade'!G327</f>
        <v>0</v>
      </c>
      <c r="H32" s="425">
        <f>'Datu ievade'!H327</f>
        <v>0</v>
      </c>
      <c r="I32" s="425">
        <f>'Datu ievade'!I327</f>
        <v>0</v>
      </c>
      <c r="J32" s="425">
        <f>'Datu ievade'!J327</f>
        <v>0</v>
      </c>
      <c r="K32" s="425">
        <f>'Datu ievade'!K327</f>
        <v>0</v>
      </c>
      <c r="L32" s="425">
        <f>'Datu ievade'!L327</f>
        <v>0</v>
      </c>
      <c r="M32" s="425">
        <f>'Datu ievade'!M327</f>
        <v>0</v>
      </c>
      <c r="N32" s="425">
        <f>'Datu ievade'!N327</f>
        <v>0</v>
      </c>
      <c r="O32" s="425">
        <f>'Datu ievade'!O327</f>
        <v>0</v>
      </c>
      <c r="P32" s="425">
        <f>'Datu ievade'!P327</f>
        <v>0</v>
      </c>
      <c r="Q32" s="425">
        <f>'Datu ievade'!Q327</f>
        <v>0</v>
      </c>
      <c r="R32" s="425">
        <f>'Datu ievade'!R327</f>
        <v>0</v>
      </c>
      <c r="S32" s="425">
        <f>'Datu ievade'!S327</f>
        <v>0</v>
      </c>
      <c r="T32" s="425">
        <f>'Datu ievade'!T327</f>
        <v>0</v>
      </c>
      <c r="U32" s="425">
        <f>'Datu ievade'!U327</f>
        <v>0</v>
      </c>
      <c r="V32" s="425">
        <f>'Datu ievade'!V327</f>
        <v>0</v>
      </c>
      <c r="W32" s="425">
        <f>'Datu ievade'!W327</f>
        <v>0</v>
      </c>
      <c r="X32" s="425">
        <f>'Datu ievade'!X327</f>
        <v>0</v>
      </c>
      <c r="Y32" s="425">
        <f>'Datu ievade'!Y327</f>
        <v>0</v>
      </c>
      <c r="Z32" s="425">
        <f>'Datu ievade'!Z327</f>
        <v>0</v>
      </c>
      <c r="AA32" s="425">
        <f>'Datu ievade'!AA327</f>
        <v>0</v>
      </c>
      <c r="AB32" s="425">
        <f>'Datu ievade'!AB327</f>
        <v>0</v>
      </c>
      <c r="AC32" s="425">
        <f>'Datu ievade'!AC327</f>
        <v>0</v>
      </c>
      <c r="AD32" s="425">
        <f>'Datu ievade'!AD327</f>
        <v>0</v>
      </c>
      <c r="AE32" s="425">
        <f>'Datu ievade'!AE327</f>
        <v>0</v>
      </c>
      <c r="AF32" s="425">
        <f>'Datu ievade'!AF327</f>
        <v>0</v>
      </c>
      <c r="AG32" s="425">
        <f>'Datu ievade'!AG327</f>
        <v>0</v>
      </c>
    </row>
    <row r="33" spans="1:33" ht="12.75" hidden="1">
      <c r="A33" s="425">
        <f>'Datu ievade'!A328</f>
        <v>0</v>
      </c>
      <c r="B33" s="425">
        <f>'Datu ievade'!B328</f>
        <v>0</v>
      </c>
      <c r="C33" s="425">
        <f>'Datu ievade'!C328</f>
        <v>0</v>
      </c>
      <c r="D33" s="425">
        <f>'Datu ievade'!D328</f>
        <v>0</v>
      </c>
      <c r="E33" s="425">
        <f>'Datu ievade'!E328</f>
        <v>0</v>
      </c>
      <c r="F33" s="425">
        <f>'Datu ievade'!F328</f>
        <v>0</v>
      </c>
      <c r="G33" s="425">
        <f>'Datu ievade'!G328</f>
        <v>0</v>
      </c>
      <c r="H33" s="425">
        <f>'Datu ievade'!H328</f>
        <v>0</v>
      </c>
      <c r="I33" s="425">
        <f>'Datu ievade'!I328</f>
        <v>0</v>
      </c>
      <c r="J33" s="425">
        <f>'Datu ievade'!J328</f>
        <v>0</v>
      </c>
      <c r="K33" s="425">
        <f>'Datu ievade'!K328</f>
        <v>0</v>
      </c>
      <c r="L33" s="425">
        <f>'Datu ievade'!L328</f>
        <v>0</v>
      </c>
      <c r="M33" s="425">
        <f>'Datu ievade'!M328</f>
        <v>0</v>
      </c>
      <c r="N33" s="425">
        <f>'Datu ievade'!N328</f>
        <v>0</v>
      </c>
      <c r="O33" s="425">
        <f>'Datu ievade'!O328</f>
        <v>0</v>
      </c>
      <c r="P33" s="425">
        <f>'Datu ievade'!P328</f>
        <v>0</v>
      </c>
      <c r="Q33" s="425">
        <f>'Datu ievade'!Q328</f>
        <v>0</v>
      </c>
      <c r="R33" s="425">
        <f>'Datu ievade'!R328</f>
        <v>0</v>
      </c>
      <c r="S33" s="425">
        <f>'Datu ievade'!S328</f>
        <v>0</v>
      </c>
      <c r="T33" s="425">
        <f>'Datu ievade'!T328</f>
        <v>0</v>
      </c>
      <c r="U33" s="425">
        <f>'Datu ievade'!U328</f>
        <v>0</v>
      </c>
      <c r="V33" s="425">
        <f>'Datu ievade'!V328</f>
        <v>0</v>
      </c>
      <c r="W33" s="425">
        <f>'Datu ievade'!W328</f>
        <v>0</v>
      </c>
      <c r="X33" s="425">
        <f>'Datu ievade'!X328</f>
        <v>0</v>
      </c>
      <c r="Y33" s="425">
        <f>'Datu ievade'!Y328</f>
        <v>0</v>
      </c>
      <c r="Z33" s="425">
        <f>'Datu ievade'!Z328</f>
        <v>0</v>
      </c>
      <c r="AA33" s="425">
        <f>'Datu ievade'!AA328</f>
        <v>0</v>
      </c>
      <c r="AB33" s="425">
        <f>'Datu ievade'!AB328</f>
        <v>0</v>
      </c>
      <c r="AC33" s="425">
        <f>'Datu ievade'!AC328</f>
        <v>0</v>
      </c>
      <c r="AD33" s="425">
        <f>'Datu ievade'!AD328</f>
        <v>0</v>
      </c>
      <c r="AE33" s="425">
        <f>'Datu ievade'!AE328</f>
        <v>0</v>
      </c>
      <c r="AF33" s="425">
        <f>'Datu ievade'!AF328</f>
        <v>0</v>
      </c>
      <c r="AG33" s="425">
        <f>'Datu ievade'!AG328</f>
        <v>0</v>
      </c>
    </row>
    <row r="34" spans="1:33" ht="12.75" hidden="1">
      <c r="A34" s="425">
        <f>'Datu ievade'!A329</f>
        <v>0</v>
      </c>
      <c r="B34" s="425">
        <f>'Datu ievade'!B329</f>
        <v>0</v>
      </c>
      <c r="C34" s="425">
        <f>'Datu ievade'!C329</f>
        <v>0</v>
      </c>
      <c r="D34" s="425">
        <f>'Datu ievade'!D329</f>
        <v>0</v>
      </c>
      <c r="E34" s="425">
        <f>'Datu ievade'!E329</f>
        <v>0</v>
      </c>
      <c r="F34" s="425">
        <f>'Datu ievade'!F329</f>
        <v>0</v>
      </c>
      <c r="G34" s="425">
        <f>'Datu ievade'!G329</f>
        <v>0</v>
      </c>
      <c r="H34" s="425">
        <f>'Datu ievade'!H329</f>
        <v>0</v>
      </c>
      <c r="I34" s="425">
        <f>'Datu ievade'!I329</f>
        <v>0</v>
      </c>
      <c r="J34" s="425">
        <f>'Datu ievade'!J329</f>
        <v>0</v>
      </c>
      <c r="K34" s="425">
        <f>'Datu ievade'!K329</f>
        <v>0</v>
      </c>
      <c r="L34" s="425">
        <f>'Datu ievade'!L329</f>
        <v>0</v>
      </c>
      <c r="M34" s="425">
        <f>'Datu ievade'!M329</f>
        <v>0</v>
      </c>
      <c r="N34" s="425">
        <f>'Datu ievade'!N329</f>
        <v>0</v>
      </c>
      <c r="O34" s="425">
        <f>'Datu ievade'!O329</f>
        <v>0</v>
      </c>
      <c r="P34" s="425">
        <f>'Datu ievade'!P329</f>
        <v>0</v>
      </c>
      <c r="Q34" s="425">
        <f>'Datu ievade'!Q329</f>
        <v>0</v>
      </c>
      <c r="R34" s="425">
        <f>'Datu ievade'!R329</f>
        <v>0</v>
      </c>
      <c r="S34" s="425">
        <f>'Datu ievade'!S329</f>
        <v>0</v>
      </c>
      <c r="T34" s="425">
        <f>'Datu ievade'!T329</f>
        <v>0</v>
      </c>
      <c r="U34" s="425">
        <f>'Datu ievade'!U329</f>
        <v>0</v>
      </c>
      <c r="V34" s="425">
        <f>'Datu ievade'!V329</f>
        <v>0</v>
      </c>
      <c r="W34" s="425">
        <f>'Datu ievade'!W329</f>
        <v>0</v>
      </c>
      <c r="X34" s="425">
        <f>'Datu ievade'!X329</f>
        <v>0</v>
      </c>
      <c r="Y34" s="425">
        <f>'Datu ievade'!Y329</f>
        <v>0</v>
      </c>
      <c r="Z34" s="425">
        <f>'Datu ievade'!Z329</f>
        <v>0</v>
      </c>
      <c r="AA34" s="425">
        <f>'Datu ievade'!AA329</f>
        <v>0</v>
      </c>
      <c r="AB34" s="425">
        <f>'Datu ievade'!AB329</f>
        <v>0</v>
      </c>
      <c r="AC34" s="425">
        <f>'Datu ievade'!AC329</f>
        <v>0</v>
      </c>
      <c r="AD34" s="425">
        <f>'Datu ievade'!AD329</f>
        <v>0</v>
      </c>
      <c r="AE34" s="425">
        <f>'Datu ievade'!AE329</f>
        <v>0</v>
      </c>
      <c r="AF34" s="425">
        <f>'Datu ievade'!AF329</f>
        <v>0</v>
      </c>
      <c r="AG34" s="425">
        <f>'Datu ievade'!AG329</f>
        <v>0</v>
      </c>
    </row>
    <row r="35" spans="1:33" ht="12.75" hidden="1">
      <c r="A35" s="425">
        <f>'Datu ievade'!A330</f>
        <v>0</v>
      </c>
      <c r="B35" s="425">
        <f>'Datu ievade'!B330</f>
        <v>0</v>
      </c>
      <c r="C35" s="425">
        <f>'Datu ievade'!C330</f>
        <v>0</v>
      </c>
      <c r="D35" s="425">
        <f>'Datu ievade'!D330</f>
        <v>0</v>
      </c>
      <c r="E35" s="425">
        <f>'Datu ievade'!E330</f>
        <v>0</v>
      </c>
      <c r="F35" s="425">
        <f>'Datu ievade'!F330</f>
        <v>0</v>
      </c>
      <c r="G35" s="425">
        <f>'Datu ievade'!G330</f>
        <v>0</v>
      </c>
      <c r="H35" s="425">
        <f>'Datu ievade'!H330</f>
        <v>0</v>
      </c>
      <c r="I35" s="425">
        <f>'Datu ievade'!I330</f>
        <v>0</v>
      </c>
      <c r="J35" s="425">
        <f>'Datu ievade'!J330</f>
        <v>0</v>
      </c>
      <c r="K35" s="425">
        <f>'Datu ievade'!K330</f>
        <v>0</v>
      </c>
      <c r="L35" s="425">
        <f>'Datu ievade'!L330</f>
        <v>0</v>
      </c>
      <c r="M35" s="425">
        <f>'Datu ievade'!M330</f>
        <v>0</v>
      </c>
      <c r="N35" s="425">
        <f>'Datu ievade'!N330</f>
        <v>0</v>
      </c>
      <c r="O35" s="425">
        <f>'Datu ievade'!O330</f>
        <v>0</v>
      </c>
      <c r="P35" s="425">
        <f>'Datu ievade'!P330</f>
        <v>0</v>
      </c>
      <c r="Q35" s="425">
        <f>'Datu ievade'!Q330</f>
        <v>0</v>
      </c>
      <c r="R35" s="425">
        <f>'Datu ievade'!R330</f>
        <v>0</v>
      </c>
      <c r="S35" s="425">
        <f>'Datu ievade'!S330</f>
        <v>0</v>
      </c>
      <c r="T35" s="425">
        <f>'Datu ievade'!T330</f>
        <v>0</v>
      </c>
      <c r="U35" s="425">
        <f>'Datu ievade'!U330</f>
        <v>0</v>
      </c>
      <c r="V35" s="425">
        <f>'Datu ievade'!V330</f>
        <v>0</v>
      </c>
      <c r="W35" s="425">
        <f>'Datu ievade'!W330</f>
        <v>0</v>
      </c>
      <c r="X35" s="425">
        <f>'Datu ievade'!X330</f>
        <v>0</v>
      </c>
      <c r="Y35" s="425">
        <f>'Datu ievade'!Y330</f>
        <v>0</v>
      </c>
      <c r="Z35" s="425">
        <f>'Datu ievade'!Z330</f>
        <v>0</v>
      </c>
      <c r="AA35" s="425">
        <f>'Datu ievade'!AA330</f>
        <v>0</v>
      </c>
      <c r="AB35" s="425">
        <f>'Datu ievade'!AB330</f>
        <v>0</v>
      </c>
      <c r="AC35" s="425">
        <f>'Datu ievade'!AC330</f>
        <v>0</v>
      </c>
      <c r="AD35" s="425">
        <f>'Datu ievade'!AD330</f>
        <v>0</v>
      </c>
      <c r="AE35" s="425">
        <f>'Datu ievade'!AE330</f>
        <v>0</v>
      </c>
      <c r="AF35" s="425">
        <f>'Datu ievade'!AF330</f>
        <v>0</v>
      </c>
      <c r="AG35" s="425">
        <f>'Datu ievade'!AG330</f>
        <v>0</v>
      </c>
    </row>
    <row r="36" spans="1:33" ht="12.75" hidden="1">
      <c r="A36" s="425">
        <f>'Datu ievade'!A331</f>
        <v>0</v>
      </c>
      <c r="B36" s="425">
        <f>'Datu ievade'!B331</f>
        <v>0</v>
      </c>
      <c r="C36" s="425">
        <f>'Datu ievade'!C331</f>
        <v>0</v>
      </c>
      <c r="D36" s="425">
        <f>'Datu ievade'!D331</f>
        <v>0</v>
      </c>
      <c r="E36" s="425">
        <f>'Datu ievade'!E331</f>
        <v>0</v>
      </c>
      <c r="F36" s="425">
        <f>'Datu ievade'!F331</f>
        <v>0</v>
      </c>
      <c r="G36" s="425">
        <f>'Datu ievade'!G331</f>
        <v>0</v>
      </c>
      <c r="H36" s="425">
        <f>'Datu ievade'!H331</f>
        <v>0</v>
      </c>
      <c r="I36" s="425">
        <f>'Datu ievade'!I331</f>
        <v>0</v>
      </c>
      <c r="J36" s="425">
        <f>'Datu ievade'!J331</f>
        <v>0</v>
      </c>
      <c r="K36" s="425">
        <f>'Datu ievade'!K331</f>
        <v>0</v>
      </c>
      <c r="L36" s="425">
        <f>'Datu ievade'!L331</f>
        <v>0</v>
      </c>
      <c r="M36" s="425">
        <f>'Datu ievade'!M331</f>
        <v>0</v>
      </c>
      <c r="N36" s="425">
        <f>'Datu ievade'!N331</f>
        <v>0</v>
      </c>
      <c r="O36" s="425">
        <f>'Datu ievade'!O331</f>
        <v>0</v>
      </c>
      <c r="P36" s="425">
        <f>'Datu ievade'!P331</f>
        <v>0</v>
      </c>
      <c r="Q36" s="425">
        <f>'Datu ievade'!Q331</f>
        <v>0</v>
      </c>
      <c r="R36" s="425">
        <f>'Datu ievade'!R331</f>
        <v>0</v>
      </c>
      <c r="S36" s="425">
        <f>'Datu ievade'!S331</f>
        <v>0</v>
      </c>
      <c r="T36" s="425">
        <f>'Datu ievade'!T331</f>
        <v>0</v>
      </c>
      <c r="U36" s="425">
        <f>'Datu ievade'!U331</f>
        <v>0</v>
      </c>
      <c r="V36" s="425">
        <f>'Datu ievade'!V331</f>
        <v>0</v>
      </c>
      <c r="W36" s="425">
        <f>'Datu ievade'!W331</f>
        <v>0</v>
      </c>
      <c r="X36" s="425">
        <f>'Datu ievade'!X331</f>
        <v>0</v>
      </c>
      <c r="Y36" s="425">
        <f>'Datu ievade'!Y331</f>
        <v>0</v>
      </c>
      <c r="Z36" s="425">
        <f>'Datu ievade'!Z331</f>
        <v>0</v>
      </c>
      <c r="AA36" s="425">
        <f>'Datu ievade'!AA331</f>
        <v>0</v>
      </c>
      <c r="AB36" s="425">
        <f>'Datu ievade'!AB331</f>
        <v>0</v>
      </c>
      <c r="AC36" s="425">
        <f>'Datu ievade'!AC331</f>
        <v>0</v>
      </c>
      <c r="AD36" s="425">
        <f>'Datu ievade'!AD331</f>
        <v>0</v>
      </c>
      <c r="AE36" s="425">
        <f>'Datu ievade'!AE331</f>
        <v>0</v>
      </c>
      <c r="AF36" s="425">
        <f>'Datu ievade'!AF331</f>
        <v>0</v>
      </c>
      <c r="AG36" s="425">
        <f>'Datu ievade'!AG331</f>
        <v>0</v>
      </c>
    </row>
    <row r="37" spans="1:33" ht="12.75" hidden="1">
      <c r="A37" s="425">
        <f>'Datu ievade'!A332</f>
        <v>0</v>
      </c>
      <c r="B37" s="425">
        <f>'Datu ievade'!B332</f>
        <v>0</v>
      </c>
      <c r="C37" s="425">
        <f>'Datu ievade'!C332</f>
        <v>0</v>
      </c>
      <c r="D37" s="425">
        <f>'Datu ievade'!D332</f>
        <v>0</v>
      </c>
      <c r="E37" s="425">
        <f>'Datu ievade'!E332</f>
        <v>0</v>
      </c>
      <c r="F37" s="425">
        <f>'Datu ievade'!F332</f>
        <v>0</v>
      </c>
      <c r="G37" s="425">
        <f>'Datu ievade'!G332</f>
        <v>0</v>
      </c>
      <c r="H37" s="425">
        <f>'Datu ievade'!H332</f>
        <v>0</v>
      </c>
      <c r="I37" s="425">
        <f>'Datu ievade'!I332</f>
        <v>0</v>
      </c>
      <c r="J37" s="425">
        <f>'Datu ievade'!J332</f>
        <v>0</v>
      </c>
      <c r="K37" s="425">
        <f>'Datu ievade'!K332</f>
        <v>0</v>
      </c>
      <c r="L37" s="425">
        <f>'Datu ievade'!L332</f>
        <v>0</v>
      </c>
      <c r="M37" s="425">
        <f>'Datu ievade'!M332</f>
        <v>0</v>
      </c>
      <c r="N37" s="425">
        <f>'Datu ievade'!N332</f>
        <v>0</v>
      </c>
      <c r="O37" s="425">
        <f>'Datu ievade'!O332</f>
        <v>0</v>
      </c>
      <c r="P37" s="425">
        <f>'Datu ievade'!P332</f>
        <v>0</v>
      </c>
      <c r="Q37" s="425">
        <f>'Datu ievade'!Q332</f>
        <v>0</v>
      </c>
      <c r="R37" s="425">
        <f>'Datu ievade'!R332</f>
        <v>0</v>
      </c>
      <c r="S37" s="425">
        <f>'Datu ievade'!S332</f>
        <v>0</v>
      </c>
      <c r="T37" s="425">
        <f>'Datu ievade'!T332</f>
        <v>0</v>
      </c>
      <c r="U37" s="425">
        <f>'Datu ievade'!U332</f>
        <v>0</v>
      </c>
      <c r="V37" s="425">
        <f>'Datu ievade'!V332</f>
        <v>0</v>
      </c>
      <c r="W37" s="425">
        <f>'Datu ievade'!W332</f>
        <v>0</v>
      </c>
      <c r="X37" s="425">
        <f>'Datu ievade'!X332</f>
        <v>0</v>
      </c>
      <c r="Y37" s="425">
        <f>'Datu ievade'!Y332</f>
        <v>0</v>
      </c>
      <c r="Z37" s="425">
        <f>'Datu ievade'!Z332</f>
        <v>0</v>
      </c>
      <c r="AA37" s="425">
        <f>'Datu ievade'!AA332</f>
        <v>0</v>
      </c>
      <c r="AB37" s="425">
        <f>'Datu ievade'!AB332</f>
        <v>0</v>
      </c>
      <c r="AC37" s="425">
        <f>'Datu ievade'!AC332</f>
        <v>0</v>
      </c>
      <c r="AD37" s="425">
        <f>'Datu ievade'!AD332</f>
        <v>0</v>
      </c>
      <c r="AE37" s="425">
        <f>'Datu ievade'!AE332</f>
        <v>0</v>
      </c>
      <c r="AF37" s="425">
        <f>'Datu ievade'!AF332</f>
        <v>0</v>
      </c>
      <c r="AG37" s="425">
        <f>'Datu ievade'!AG332</f>
        <v>0</v>
      </c>
    </row>
    <row r="38" spans="1:33" ht="12.75" hidden="1">
      <c r="A38" s="425">
        <f>'Datu ievade'!A333</f>
        <v>0</v>
      </c>
      <c r="B38" s="425">
        <f>'Datu ievade'!B333</f>
        <v>0</v>
      </c>
      <c r="C38" s="425">
        <f>'Datu ievade'!C333</f>
        <v>0</v>
      </c>
      <c r="D38" s="425">
        <f>'Datu ievade'!D333</f>
        <v>0</v>
      </c>
      <c r="E38" s="425">
        <f>'Datu ievade'!E333</f>
        <v>0</v>
      </c>
      <c r="F38" s="425">
        <f>'Datu ievade'!F333</f>
        <v>0</v>
      </c>
      <c r="G38" s="425">
        <f>'Datu ievade'!G333</f>
        <v>0</v>
      </c>
      <c r="H38" s="425">
        <f>'Datu ievade'!H333</f>
        <v>0</v>
      </c>
      <c r="I38" s="425">
        <f>'Datu ievade'!I333</f>
        <v>0</v>
      </c>
      <c r="J38" s="425">
        <f>'Datu ievade'!J333</f>
        <v>0</v>
      </c>
      <c r="K38" s="425">
        <f>'Datu ievade'!K333</f>
        <v>0</v>
      </c>
      <c r="L38" s="425">
        <f>'Datu ievade'!L333</f>
        <v>0</v>
      </c>
      <c r="M38" s="425">
        <f>'Datu ievade'!M333</f>
        <v>0</v>
      </c>
      <c r="N38" s="425">
        <f>'Datu ievade'!N333</f>
        <v>0</v>
      </c>
      <c r="O38" s="425">
        <f>'Datu ievade'!O333</f>
        <v>0</v>
      </c>
      <c r="P38" s="425">
        <f>'Datu ievade'!P333</f>
        <v>0</v>
      </c>
      <c r="Q38" s="425">
        <f>'Datu ievade'!Q333</f>
        <v>0</v>
      </c>
      <c r="R38" s="425">
        <f>'Datu ievade'!R333</f>
        <v>0</v>
      </c>
      <c r="S38" s="425">
        <f>'Datu ievade'!S333</f>
        <v>0</v>
      </c>
      <c r="T38" s="425">
        <f>'Datu ievade'!T333</f>
        <v>0</v>
      </c>
      <c r="U38" s="425">
        <f>'Datu ievade'!U333</f>
        <v>0</v>
      </c>
      <c r="V38" s="425">
        <f>'Datu ievade'!V333</f>
        <v>0</v>
      </c>
      <c r="W38" s="425">
        <f>'Datu ievade'!W333</f>
        <v>0</v>
      </c>
      <c r="X38" s="425">
        <f>'Datu ievade'!X333</f>
        <v>0</v>
      </c>
      <c r="Y38" s="425">
        <f>'Datu ievade'!Y333</f>
        <v>0</v>
      </c>
      <c r="Z38" s="425">
        <f>'Datu ievade'!Z333</f>
        <v>0</v>
      </c>
      <c r="AA38" s="425">
        <f>'Datu ievade'!AA333</f>
        <v>0</v>
      </c>
      <c r="AB38" s="425">
        <f>'Datu ievade'!AB333</f>
        <v>0</v>
      </c>
      <c r="AC38" s="425">
        <f>'Datu ievade'!AC333</f>
        <v>0</v>
      </c>
      <c r="AD38" s="425">
        <f>'Datu ievade'!AD333</f>
        <v>0</v>
      </c>
      <c r="AE38" s="425">
        <f>'Datu ievade'!AE333</f>
        <v>0</v>
      </c>
      <c r="AF38" s="425">
        <f>'Datu ievade'!AF333</f>
        <v>0</v>
      </c>
      <c r="AG38" s="425">
        <f>'Datu ievade'!AG333</f>
        <v>0</v>
      </c>
    </row>
    <row r="39" spans="1:33" ht="12.75" hidden="1">
      <c r="A39" s="425">
        <f>'Datu ievade'!A334</f>
        <v>0</v>
      </c>
      <c r="B39" s="425">
        <f>'Datu ievade'!B334</f>
        <v>0</v>
      </c>
      <c r="C39" s="425">
        <f>'Datu ievade'!C334</f>
        <v>0</v>
      </c>
      <c r="D39" s="425">
        <f>'Datu ievade'!D334</f>
        <v>0</v>
      </c>
      <c r="E39" s="425">
        <f>'Datu ievade'!E334</f>
        <v>0</v>
      </c>
      <c r="F39" s="425">
        <f>'Datu ievade'!F334</f>
        <v>0</v>
      </c>
      <c r="G39" s="425">
        <f>'Datu ievade'!G334</f>
        <v>0</v>
      </c>
      <c r="H39" s="425">
        <f>'Datu ievade'!H334</f>
        <v>0</v>
      </c>
      <c r="I39" s="425">
        <f>'Datu ievade'!I334</f>
        <v>0</v>
      </c>
      <c r="J39" s="425">
        <f>'Datu ievade'!J334</f>
        <v>0</v>
      </c>
      <c r="K39" s="425">
        <f>'Datu ievade'!K334</f>
        <v>0</v>
      </c>
      <c r="L39" s="425">
        <f>'Datu ievade'!L334</f>
        <v>0</v>
      </c>
      <c r="M39" s="425">
        <f>'Datu ievade'!M334</f>
        <v>0</v>
      </c>
      <c r="N39" s="425">
        <f>'Datu ievade'!N334</f>
        <v>0</v>
      </c>
      <c r="O39" s="425">
        <f>'Datu ievade'!O334</f>
        <v>0</v>
      </c>
      <c r="P39" s="425">
        <f>'Datu ievade'!P334</f>
        <v>0</v>
      </c>
      <c r="Q39" s="425">
        <f>'Datu ievade'!Q334</f>
        <v>0</v>
      </c>
      <c r="R39" s="425">
        <f>'Datu ievade'!R334</f>
        <v>0</v>
      </c>
      <c r="S39" s="425">
        <f>'Datu ievade'!S334</f>
        <v>0</v>
      </c>
      <c r="T39" s="425">
        <f>'Datu ievade'!T334</f>
        <v>0</v>
      </c>
      <c r="U39" s="425">
        <f>'Datu ievade'!U334</f>
        <v>0</v>
      </c>
      <c r="V39" s="425">
        <f>'Datu ievade'!V334</f>
        <v>0</v>
      </c>
      <c r="W39" s="425">
        <f>'Datu ievade'!W334</f>
        <v>0</v>
      </c>
      <c r="X39" s="425">
        <f>'Datu ievade'!X334</f>
        <v>0</v>
      </c>
      <c r="Y39" s="425">
        <f>'Datu ievade'!Y334</f>
        <v>0</v>
      </c>
      <c r="Z39" s="425">
        <f>'Datu ievade'!Z334</f>
        <v>0</v>
      </c>
      <c r="AA39" s="425">
        <f>'Datu ievade'!AA334</f>
        <v>0</v>
      </c>
      <c r="AB39" s="425">
        <f>'Datu ievade'!AB334</f>
        <v>0</v>
      </c>
      <c r="AC39" s="425">
        <f>'Datu ievade'!AC334</f>
        <v>0</v>
      </c>
      <c r="AD39" s="425">
        <f>'Datu ievade'!AD334</f>
        <v>0</v>
      </c>
      <c r="AE39" s="425">
        <f>'Datu ievade'!AE334</f>
        <v>0</v>
      </c>
      <c r="AF39" s="425">
        <f>'Datu ievade'!AF334</f>
        <v>0</v>
      </c>
      <c r="AG39" s="425">
        <f>'Datu ievade'!AG334</f>
        <v>0</v>
      </c>
    </row>
    <row r="40" spans="1:33" ht="12.75" hidden="1">
      <c r="A40" s="425">
        <f>'Datu ievade'!A335</f>
        <v>0</v>
      </c>
      <c r="B40" s="425">
        <f>'Datu ievade'!B335</f>
        <v>0</v>
      </c>
      <c r="C40" s="425">
        <f>'Datu ievade'!C335</f>
        <v>0</v>
      </c>
      <c r="D40" s="425">
        <f>'Datu ievade'!D335</f>
        <v>0</v>
      </c>
      <c r="E40" s="425">
        <f>'Datu ievade'!E335</f>
        <v>0</v>
      </c>
      <c r="F40" s="425">
        <f>'Datu ievade'!F335</f>
        <v>0</v>
      </c>
      <c r="G40" s="425">
        <f>'Datu ievade'!G335</f>
        <v>0</v>
      </c>
      <c r="H40" s="425">
        <f>'Datu ievade'!H335</f>
        <v>0</v>
      </c>
      <c r="I40" s="425">
        <f>'Datu ievade'!I335</f>
        <v>0</v>
      </c>
      <c r="J40" s="425">
        <f>'Datu ievade'!J335</f>
        <v>0</v>
      </c>
      <c r="K40" s="425">
        <f>'Datu ievade'!K335</f>
        <v>0</v>
      </c>
      <c r="L40" s="425">
        <f>'Datu ievade'!L335</f>
        <v>0</v>
      </c>
      <c r="M40" s="425">
        <f>'Datu ievade'!M335</f>
        <v>0</v>
      </c>
      <c r="N40" s="425">
        <f>'Datu ievade'!N335</f>
        <v>0</v>
      </c>
      <c r="O40" s="425">
        <f>'Datu ievade'!O335</f>
        <v>0</v>
      </c>
      <c r="P40" s="425">
        <f>'Datu ievade'!P335</f>
        <v>0</v>
      </c>
      <c r="Q40" s="425">
        <f>'Datu ievade'!Q335</f>
        <v>0</v>
      </c>
      <c r="R40" s="425">
        <f>'Datu ievade'!R335</f>
        <v>0</v>
      </c>
      <c r="S40" s="425">
        <f>'Datu ievade'!S335</f>
        <v>0</v>
      </c>
      <c r="T40" s="425">
        <f>'Datu ievade'!T335</f>
        <v>0</v>
      </c>
      <c r="U40" s="425">
        <f>'Datu ievade'!U335</f>
        <v>0</v>
      </c>
      <c r="V40" s="425">
        <f>'Datu ievade'!V335</f>
        <v>0</v>
      </c>
      <c r="W40" s="425">
        <f>'Datu ievade'!W335</f>
        <v>0</v>
      </c>
      <c r="X40" s="425">
        <f>'Datu ievade'!X335</f>
        <v>0</v>
      </c>
      <c r="Y40" s="425">
        <f>'Datu ievade'!Y335</f>
        <v>0</v>
      </c>
      <c r="Z40" s="425">
        <f>'Datu ievade'!Z335</f>
        <v>0</v>
      </c>
      <c r="AA40" s="425">
        <f>'Datu ievade'!AA335</f>
        <v>0</v>
      </c>
      <c r="AB40" s="425">
        <f>'Datu ievade'!AB335</f>
        <v>0</v>
      </c>
      <c r="AC40" s="425">
        <f>'Datu ievade'!AC335</f>
        <v>0</v>
      </c>
      <c r="AD40" s="425">
        <f>'Datu ievade'!AD335</f>
        <v>0</v>
      </c>
      <c r="AE40" s="425">
        <f>'Datu ievade'!AE335</f>
        <v>0</v>
      </c>
      <c r="AF40" s="425">
        <f>'Datu ievade'!AF335</f>
        <v>0</v>
      </c>
      <c r="AG40" s="425">
        <f>'Datu ievade'!AG335</f>
        <v>0</v>
      </c>
    </row>
    <row r="41" spans="1:33" ht="12.75" hidden="1">
      <c r="A41" s="425">
        <f>'Datu ievade'!A336</f>
        <v>0</v>
      </c>
      <c r="B41" s="425">
        <f>'Datu ievade'!B336</f>
        <v>0</v>
      </c>
      <c r="C41" s="425">
        <f>'Datu ievade'!C336</f>
        <v>0</v>
      </c>
      <c r="D41" s="425">
        <f>'Datu ievade'!D336</f>
        <v>0</v>
      </c>
      <c r="E41" s="425">
        <f>'Datu ievade'!E336</f>
        <v>0</v>
      </c>
      <c r="F41" s="425">
        <f>'Datu ievade'!F336</f>
        <v>0</v>
      </c>
      <c r="G41" s="425">
        <f>'Datu ievade'!G336</f>
        <v>0</v>
      </c>
      <c r="H41" s="425">
        <f>'Datu ievade'!H336</f>
        <v>0</v>
      </c>
      <c r="I41" s="425">
        <f>'Datu ievade'!I336</f>
        <v>0</v>
      </c>
      <c r="J41" s="425">
        <f>'Datu ievade'!J336</f>
        <v>0</v>
      </c>
      <c r="K41" s="425">
        <f>'Datu ievade'!K336</f>
        <v>0</v>
      </c>
      <c r="L41" s="425">
        <f>'Datu ievade'!L336</f>
        <v>0</v>
      </c>
      <c r="M41" s="425">
        <f>'Datu ievade'!M336</f>
        <v>0</v>
      </c>
      <c r="N41" s="425">
        <f>'Datu ievade'!N336</f>
        <v>0</v>
      </c>
      <c r="O41" s="425">
        <f>'Datu ievade'!O336</f>
        <v>0</v>
      </c>
      <c r="P41" s="425">
        <f>'Datu ievade'!P336</f>
        <v>0</v>
      </c>
      <c r="Q41" s="425">
        <f>'Datu ievade'!Q336</f>
        <v>0</v>
      </c>
      <c r="R41" s="425">
        <f>'Datu ievade'!R336</f>
        <v>0</v>
      </c>
      <c r="S41" s="425">
        <f>'Datu ievade'!S336</f>
        <v>0</v>
      </c>
      <c r="T41" s="425">
        <f>'Datu ievade'!T336</f>
        <v>0</v>
      </c>
      <c r="U41" s="425">
        <f>'Datu ievade'!U336</f>
        <v>0</v>
      </c>
      <c r="V41" s="425">
        <f>'Datu ievade'!V336</f>
        <v>0</v>
      </c>
      <c r="W41" s="425">
        <f>'Datu ievade'!W336</f>
        <v>0</v>
      </c>
      <c r="X41" s="425">
        <f>'Datu ievade'!X336</f>
        <v>0</v>
      </c>
      <c r="Y41" s="425">
        <f>'Datu ievade'!Y336</f>
        <v>0</v>
      </c>
      <c r="Z41" s="425">
        <f>'Datu ievade'!Z336</f>
        <v>0</v>
      </c>
      <c r="AA41" s="425">
        <f>'Datu ievade'!AA336</f>
        <v>0</v>
      </c>
      <c r="AB41" s="425">
        <f>'Datu ievade'!AB336</f>
        <v>0</v>
      </c>
      <c r="AC41" s="425">
        <f>'Datu ievade'!AC336</f>
        <v>0</v>
      </c>
      <c r="AD41" s="425">
        <f>'Datu ievade'!AD336</f>
        <v>0</v>
      </c>
      <c r="AE41" s="425">
        <f>'Datu ievade'!AE336</f>
        <v>0</v>
      </c>
      <c r="AF41" s="425">
        <f>'Datu ievade'!AF336</f>
        <v>0</v>
      </c>
      <c r="AG41" s="425">
        <f>'Datu ievade'!AG336</f>
        <v>0</v>
      </c>
    </row>
    <row r="42" spans="1:33" ht="12.75" hidden="1">
      <c r="A42" s="425">
        <f>'Datu ievade'!A337</f>
        <v>0</v>
      </c>
      <c r="B42" s="425">
        <f>'Datu ievade'!B337</f>
        <v>0</v>
      </c>
      <c r="C42" s="425">
        <f>'Datu ievade'!C337</f>
        <v>0</v>
      </c>
      <c r="D42" s="425">
        <f>'Datu ievade'!D337</f>
        <v>0</v>
      </c>
      <c r="E42" s="425">
        <f>'Datu ievade'!E337</f>
        <v>0</v>
      </c>
      <c r="F42" s="425">
        <f>'Datu ievade'!F337</f>
        <v>0</v>
      </c>
      <c r="G42" s="425">
        <f>'Datu ievade'!G337</f>
        <v>0</v>
      </c>
      <c r="H42" s="425">
        <f>'Datu ievade'!H337</f>
        <v>0</v>
      </c>
      <c r="I42" s="425">
        <f>'Datu ievade'!I337</f>
        <v>0</v>
      </c>
      <c r="J42" s="425">
        <f>'Datu ievade'!J337</f>
        <v>0</v>
      </c>
      <c r="K42" s="425">
        <f>'Datu ievade'!K337</f>
        <v>0</v>
      </c>
      <c r="L42" s="425">
        <f>'Datu ievade'!L337</f>
        <v>0</v>
      </c>
      <c r="M42" s="425">
        <f>'Datu ievade'!M337</f>
        <v>0</v>
      </c>
      <c r="N42" s="425">
        <f>'Datu ievade'!N337</f>
        <v>0</v>
      </c>
      <c r="O42" s="425">
        <f>'Datu ievade'!O337</f>
        <v>0</v>
      </c>
      <c r="P42" s="425">
        <f>'Datu ievade'!P337</f>
        <v>0</v>
      </c>
      <c r="Q42" s="425">
        <f>'Datu ievade'!Q337</f>
        <v>0</v>
      </c>
      <c r="R42" s="425">
        <f>'Datu ievade'!R337</f>
        <v>0</v>
      </c>
      <c r="S42" s="425">
        <f>'Datu ievade'!S337</f>
        <v>0</v>
      </c>
      <c r="T42" s="425">
        <f>'Datu ievade'!T337</f>
        <v>0</v>
      </c>
      <c r="U42" s="425">
        <f>'Datu ievade'!U337</f>
        <v>0</v>
      </c>
      <c r="V42" s="425">
        <f>'Datu ievade'!V337</f>
        <v>0</v>
      </c>
      <c r="W42" s="425">
        <f>'Datu ievade'!W337</f>
        <v>0</v>
      </c>
      <c r="X42" s="425">
        <f>'Datu ievade'!X337</f>
        <v>0</v>
      </c>
      <c r="Y42" s="425">
        <f>'Datu ievade'!Y337</f>
        <v>0</v>
      </c>
      <c r="Z42" s="425">
        <f>'Datu ievade'!Z337</f>
        <v>0</v>
      </c>
      <c r="AA42" s="425">
        <f>'Datu ievade'!AA337</f>
        <v>0</v>
      </c>
      <c r="AB42" s="425">
        <f>'Datu ievade'!AB337</f>
        <v>0</v>
      </c>
      <c r="AC42" s="425">
        <f>'Datu ievade'!AC337</f>
        <v>0</v>
      </c>
      <c r="AD42" s="425">
        <f>'Datu ievade'!AD337</f>
        <v>0</v>
      </c>
      <c r="AE42" s="425">
        <f>'Datu ievade'!AE337</f>
        <v>0</v>
      </c>
      <c r="AF42" s="425">
        <f>'Datu ievade'!AF337</f>
        <v>0</v>
      </c>
      <c r="AG42" s="425">
        <f>'Datu ievade'!AG337</f>
        <v>0</v>
      </c>
    </row>
    <row r="43" spans="1:33" ht="12.75">
      <c r="A43" s="427" t="str">
        <f>'Datu ievade'!A338</f>
        <v>7.37. Ūdenssaimniecības projekts</v>
      </c>
      <c r="B43" s="432">
        <f>IF(Aprekini!B259&gt;0,Aprekini!B259,0)</f>
        <v>0</v>
      </c>
      <c r="C43" s="432">
        <f>IF(Aprekini!C259&gt;0,Aprekini!C259,0)</f>
        <v>0</v>
      </c>
      <c r="D43" s="432">
        <f>IF(Aprekini!D259&gt;0,Aprekini!D259,0)</f>
        <v>0</v>
      </c>
      <c r="E43" s="432">
        <f>IF(Aprekini!E259&gt;0,Aprekini!E259,0)</f>
        <v>0</v>
      </c>
      <c r="F43" s="432">
        <f>IF(Aprekini!F259&gt;0,Aprekini!F259,0)</f>
        <v>0</v>
      </c>
      <c r="G43" s="432">
        <f>IF(Aprekini!G259&gt;0,Aprekini!G259,0)</f>
        <v>0</v>
      </c>
      <c r="H43" s="432">
        <f>IF(Aprekini!H259&gt;0,Aprekini!H259,0)</f>
        <v>0</v>
      </c>
      <c r="I43" s="432">
        <f>IF(Aprekini!I259&gt;0,Aprekini!I259,0)</f>
        <v>0</v>
      </c>
      <c r="J43" s="432">
        <f>IF(Aprekini!J259&gt;0,Aprekini!J259,0)</f>
        <v>0</v>
      </c>
      <c r="K43" s="432">
        <f>IF(Aprekini!K259&gt;0,Aprekini!K259,0)</f>
        <v>0</v>
      </c>
      <c r="L43" s="432">
        <f>IF(Aprekini!L259&gt;0,Aprekini!L259,0)</f>
        <v>0</v>
      </c>
      <c r="M43" s="432">
        <f>IF(Aprekini!M259&gt;0,Aprekini!M259,0)</f>
        <v>0</v>
      </c>
      <c r="N43" s="432">
        <f>IF(Aprekini!N259&gt;0,Aprekini!N259,0)</f>
        <v>0</v>
      </c>
      <c r="O43" s="432">
        <f>IF(Aprekini!O259&gt;0,Aprekini!O259,0)</f>
        <v>0</v>
      </c>
      <c r="P43" s="432">
        <f>IF(Aprekini!P259&gt;0,Aprekini!P259,0)</f>
        <v>0</v>
      </c>
      <c r="Q43" s="432">
        <f>IF(Aprekini!Q259&gt;0,Aprekini!Q259,0)</f>
        <v>0</v>
      </c>
      <c r="R43" s="432">
        <f>IF(Aprekini!R259&gt;0,Aprekini!R259,0)</f>
        <v>0</v>
      </c>
      <c r="S43" s="432">
        <f>IF(Aprekini!S259&gt;0,Aprekini!S259,0)</f>
        <v>0</v>
      </c>
      <c r="T43" s="432">
        <f>IF(Aprekini!T259&gt;0,Aprekini!T259,0)</f>
        <v>0</v>
      </c>
      <c r="U43" s="432">
        <f>IF(Aprekini!U259&gt;0,Aprekini!U259,0)</f>
        <v>0</v>
      </c>
      <c r="V43" s="432">
        <f>IF(Aprekini!V259&gt;0,Aprekini!V259,0)</f>
        <v>0</v>
      </c>
      <c r="W43" s="432">
        <f>IF(Aprekini!W259&gt;0,Aprekini!W259,0)</f>
        <v>0</v>
      </c>
      <c r="X43" s="432">
        <f>IF(Aprekini!X259&gt;0,Aprekini!X259,0)</f>
        <v>0</v>
      </c>
      <c r="Y43" s="432">
        <f>IF(Aprekini!Y259&gt;0,Aprekini!Y259,0)</f>
        <v>0</v>
      </c>
      <c r="Z43" s="432">
        <f>IF(Aprekini!Z259&gt;0,Aprekini!Z259,0)</f>
        <v>0</v>
      </c>
      <c r="AA43" s="432">
        <f>IF(Aprekini!AA259&gt;0,Aprekini!AA259,0)</f>
        <v>0</v>
      </c>
      <c r="AB43" s="432">
        <f>IF(Aprekini!AB259&gt;0,Aprekini!AB259,0)</f>
        <v>0</v>
      </c>
      <c r="AC43" s="432">
        <f>IF(Aprekini!AC259&gt;0,Aprekini!AC259,0)</f>
        <v>0</v>
      </c>
      <c r="AD43" s="432">
        <f>IF(Aprekini!AD259&gt;0,Aprekini!AD259,0)</f>
        <v>0</v>
      </c>
      <c r="AE43" s="432">
        <f>IF(Aprekini!AE259&gt;0,Aprekini!AE259,0)</f>
        <v>0</v>
      </c>
      <c r="AF43" s="432">
        <f>IF(Aprekini!AF259&gt;0,Aprekini!AF259,0)</f>
        <v>0</v>
      </c>
      <c r="AG43" s="432">
        <f>IF(Aprekini!AG259&gt;0,Aprekini!AG259,0)</f>
        <v>0</v>
      </c>
    </row>
    <row r="44" spans="1:33" ht="12.75">
      <c r="A44" s="418" t="s">
        <v>185</v>
      </c>
      <c r="B44" s="433">
        <f aca="true" t="shared" si="2" ref="B44:AG44">SUM(B27:B43)</f>
        <v>0</v>
      </c>
      <c r="C44" s="433">
        <f t="shared" si="2"/>
        <v>0</v>
      </c>
      <c r="D44" s="433">
        <f t="shared" si="2"/>
        <v>0</v>
      </c>
      <c r="E44" s="433">
        <f t="shared" si="2"/>
        <v>0</v>
      </c>
      <c r="F44" s="433">
        <f t="shared" si="2"/>
        <v>0</v>
      </c>
      <c r="G44" s="433">
        <f t="shared" si="2"/>
        <v>0</v>
      </c>
      <c r="H44" s="433">
        <f t="shared" si="2"/>
        <v>0</v>
      </c>
      <c r="I44" s="433">
        <f t="shared" si="2"/>
        <v>0</v>
      </c>
      <c r="J44" s="433">
        <f t="shared" si="2"/>
        <v>0</v>
      </c>
      <c r="K44" s="433">
        <f t="shared" si="2"/>
        <v>0</v>
      </c>
      <c r="L44" s="433">
        <f t="shared" si="2"/>
        <v>0</v>
      </c>
      <c r="M44" s="433">
        <f t="shared" si="2"/>
        <v>0</v>
      </c>
      <c r="N44" s="433">
        <f t="shared" si="2"/>
        <v>0</v>
      </c>
      <c r="O44" s="433">
        <f t="shared" si="2"/>
        <v>0</v>
      </c>
      <c r="P44" s="433">
        <f t="shared" si="2"/>
        <v>0</v>
      </c>
      <c r="Q44" s="433">
        <f t="shared" si="2"/>
        <v>0</v>
      </c>
      <c r="R44" s="433">
        <f t="shared" si="2"/>
        <v>0</v>
      </c>
      <c r="S44" s="433">
        <f t="shared" si="2"/>
        <v>0</v>
      </c>
      <c r="T44" s="433">
        <f t="shared" si="2"/>
        <v>0</v>
      </c>
      <c r="U44" s="433">
        <f t="shared" si="2"/>
        <v>0</v>
      </c>
      <c r="V44" s="433">
        <f t="shared" si="2"/>
        <v>0</v>
      </c>
      <c r="W44" s="433">
        <f t="shared" si="2"/>
        <v>0</v>
      </c>
      <c r="X44" s="433">
        <f t="shared" si="2"/>
        <v>0</v>
      </c>
      <c r="Y44" s="433">
        <f t="shared" si="2"/>
        <v>0</v>
      </c>
      <c r="Z44" s="433">
        <f t="shared" si="2"/>
        <v>0</v>
      </c>
      <c r="AA44" s="433">
        <f t="shared" si="2"/>
        <v>0</v>
      </c>
      <c r="AB44" s="433">
        <f t="shared" si="2"/>
        <v>0</v>
      </c>
      <c r="AC44" s="433">
        <f t="shared" si="2"/>
        <v>0</v>
      </c>
      <c r="AD44" s="433">
        <f t="shared" si="2"/>
        <v>0</v>
      </c>
      <c r="AE44" s="433">
        <f t="shared" si="2"/>
        <v>0</v>
      </c>
      <c r="AF44" s="433">
        <f t="shared" si="2"/>
        <v>0</v>
      </c>
      <c r="AG44" s="433">
        <f t="shared" si="2"/>
        <v>0</v>
      </c>
    </row>
    <row r="45" spans="1:33" ht="12" customHeight="1">
      <c r="A45" s="418" t="s">
        <v>186</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row>
    <row r="46" spans="1:33" ht="12.75" hidden="1">
      <c r="A46" s="419">
        <f>'Datu ievade'!A340</f>
        <v>0</v>
      </c>
      <c r="B46" s="419">
        <f>'Datu ievade'!B340</f>
        <v>0</v>
      </c>
      <c r="C46" s="419">
        <f>'Datu ievade'!C340</f>
        <v>0</v>
      </c>
      <c r="D46" s="419">
        <f>'Datu ievade'!D340</f>
        <v>0</v>
      </c>
      <c r="E46" s="419">
        <f>'Datu ievade'!E340</f>
        <v>0</v>
      </c>
      <c r="F46" s="419">
        <f>'Datu ievade'!F340</f>
        <v>0</v>
      </c>
      <c r="G46" s="419">
        <f>'Datu ievade'!G340</f>
        <v>0</v>
      </c>
      <c r="H46" s="419">
        <f>'Datu ievade'!H340</f>
        <v>0</v>
      </c>
      <c r="I46" s="419">
        <f>'Datu ievade'!I340</f>
        <v>0</v>
      </c>
      <c r="J46" s="419">
        <f>'Datu ievade'!J340</f>
        <v>0</v>
      </c>
      <c r="K46" s="419">
        <f>'Datu ievade'!K340</f>
        <v>0</v>
      </c>
      <c r="L46" s="419">
        <f>'Datu ievade'!L340</f>
        <v>0</v>
      </c>
      <c r="M46" s="419">
        <f>'Datu ievade'!M340</f>
        <v>0</v>
      </c>
      <c r="N46" s="419">
        <f>'Datu ievade'!N340</f>
        <v>0</v>
      </c>
      <c r="O46" s="419">
        <f>'Datu ievade'!O340</f>
        <v>0</v>
      </c>
      <c r="P46" s="419">
        <f>'Datu ievade'!P340</f>
        <v>0</v>
      </c>
      <c r="Q46" s="419">
        <f>'Datu ievade'!Q340</f>
        <v>0</v>
      </c>
      <c r="R46" s="419">
        <f>'Datu ievade'!R340</f>
        <v>0</v>
      </c>
      <c r="S46" s="419">
        <f>'Datu ievade'!S340</f>
        <v>0</v>
      </c>
      <c r="T46" s="419">
        <f>'Datu ievade'!T340</f>
        <v>0</v>
      </c>
      <c r="U46" s="419">
        <f>'Datu ievade'!U340</f>
        <v>0</v>
      </c>
      <c r="V46" s="419">
        <f>'Datu ievade'!V340</f>
        <v>0</v>
      </c>
      <c r="W46" s="419">
        <f>'Datu ievade'!W340</f>
        <v>0</v>
      </c>
      <c r="X46" s="419">
        <f>'Datu ievade'!X340</f>
        <v>0</v>
      </c>
      <c r="Y46" s="419">
        <f>'Datu ievade'!Y340</f>
        <v>0</v>
      </c>
      <c r="Z46" s="419">
        <f>'Datu ievade'!Z340</f>
        <v>0</v>
      </c>
      <c r="AA46" s="419">
        <f>'Datu ievade'!AA340</f>
        <v>0</v>
      </c>
      <c r="AB46" s="419">
        <f>'Datu ievade'!AB340</f>
        <v>0</v>
      </c>
      <c r="AC46" s="419">
        <f>'Datu ievade'!AC340</f>
        <v>0</v>
      </c>
      <c r="AD46" s="419">
        <f>'Datu ievade'!AD340</f>
        <v>0</v>
      </c>
      <c r="AE46" s="419">
        <f>'Datu ievade'!AE340</f>
        <v>0</v>
      </c>
      <c r="AF46" s="419">
        <f>'Datu ievade'!AF340</f>
        <v>0</v>
      </c>
      <c r="AG46" s="419">
        <f>'Datu ievade'!AG340</f>
        <v>0</v>
      </c>
    </row>
    <row r="47" spans="1:33" ht="12.75" hidden="1">
      <c r="A47" s="419">
        <f>'Datu ievade'!A341</f>
        <v>0</v>
      </c>
      <c r="B47" s="419">
        <f>'Datu ievade'!B341</f>
        <v>0</v>
      </c>
      <c r="C47" s="419">
        <f>'Datu ievade'!C341</f>
        <v>0</v>
      </c>
      <c r="D47" s="419">
        <f>'Datu ievade'!D341</f>
        <v>0</v>
      </c>
      <c r="E47" s="419">
        <f>'Datu ievade'!E341</f>
        <v>0</v>
      </c>
      <c r="F47" s="419">
        <f>'Datu ievade'!F341</f>
        <v>0</v>
      </c>
      <c r="G47" s="419">
        <f>'Datu ievade'!G341</f>
        <v>0</v>
      </c>
      <c r="H47" s="419">
        <f>'Datu ievade'!H341</f>
        <v>0</v>
      </c>
      <c r="I47" s="419">
        <f>'Datu ievade'!I341</f>
        <v>0</v>
      </c>
      <c r="J47" s="419">
        <f>'Datu ievade'!J341</f>
        <v>0</v>
      </c>
      <c r="K47" s="419">
        <f>'Datu ievade'!K341</f>
        <v>0</v>
      </c>
      <c r="L47" s="419">
        <f>'Datu ievade'!L341</f>
        <v>0</v>
      </c>
      <c r="M47" s="419">
        <f>'Datu ievade'!M341</f>
        <v>0</v>
      </c>
      <c r="N47" s="419">
        <f>'Datu ievade'!N341</f>
        <v>0</v>
      </c>
      <c r="O47" s="419">
        <f>'Datu ievade'!O341</f>
        <v>0</v>
      </c>
      <c r="P47" s="419">
        <f>'Datu ievade'!P341</f>
        <v>0</v>
      </c>
      <c r="Q47" s="419">
        <f>'Datu ievade'!Q341</f>
        <v>0</v>
      </c>
      <c r="R47" s="419">
        <f>'Datu ievade'!R341</f>
        <v>0</v>
      </c>
      <c r="S47" s="419">
        <f>'Datu ievade'!S341</f>
        <v>0</v>
      </c>
      <c r="T47" s="419">
        <f>'Datu ievade'!T341</f>
        <v>0</v>
      </c>
      <c r="U47" s="419">
        <f>'Datu ievade'!U341</f>
        <v>0</v>
      </c>
      <c r="V47" s="419">
        <f>'Datu ievade'!V341</f>
        <v>0</v>
      </c>
      <c r="W47" s="419">
        <f>'Datu ievade'!W341</f>
        <v>0</v>
      </c>
      <c r="X47" s="419">
        <f>'Datu ievade'!X341</f>
        <v>0</v>
      </c>
      <c r="Y47" s="419">
        <f>'Datu ievade'!Y341</f>
        <v>0</v>
      </c>
      <c r="Z47" s="419">
        <f>'Datu ievade'!Z341</f>
        <v>0</v>
      </c>
      <c r="AA47" s="419">
        <f>'Datu ievade'!AA341</f>
        <v>0</v>
      </c>
      <c r="AB47" s="419">
        <f>'Datu ievade'!AB341</f>
        <v>0</v>
      </c>
      <c r="AC47" s="419">
        <f>'Datu ievade'!AC341</f>
        <v>0</v>
      </c>
      <c r="AD47" s="419">
        <f>'Datu ievade'!AD341</f>
        <v>0</v>
      </c>
      <c r="AE47" s="419">
        <f>'Datu ievade'!AE341</f>
        <v>0</v>
      </c>
      <c r="AF47" s="419">
        <f>'Datu ievade'!AF341</f>
        <v>0</v>
      </c>
      <c r="AG47" s="419">
        <f>'Datu ievade'!AG341</f>
        <v>0</v>
      </c>
    </row>
    <row r="48" spans="1:33" ht="12.75" hidden="1">
      <c r="A48" s="419">
        <f>'Datu ievade'!A342</f>
        <v>0</v>
      </c>
      <c r="B48" s="419">
        <f>'Datu ievade'!B342</f>
        <v>0</v>
      </c>
      <c r="C48" s="419">
        <f>'Datu ievade'!C342</f>
        <v>0</v>
      </c>
      <c r="D48" s="419">
        <f>'Datu ievade'!D342</f>
        <v>0</v>
      </c>
      <c r="E48" s="419">
        <f>'Datu ievade'!E342</f>
        <v>0</v>
      </c>
      <c r="F48" s="419">
        <f>'Datu ievade'!F342</f>
        <v>0</v>
      </c>
      <c r="G48" s="419">
        <f>'Datu ievade'!G342</f>
        <v>0</v>
      </c>
      <c r="H48" s="419">
        <f>'Datu ievade'!H342</f>
        <v>0</v>
      </c>
      <c r="I48" s="419">
        <f>'Datu ievade'!I342</f>
        <v>0</v>
      </c>
      <c r="J48" s="419">
        <f>'Datu ievade'!J342</f>
        <v>0</v>
      </c>
      <c r="K48" s="419">
        <f>'Datu ievade'!K342</f>
        <v>0</v>
      </c>
      <c r="L48" s="419">
        <f>'Datu ievade'!L342</f>
        <v>0</v>
      </c>
      <c r="M48" s="419">
        <f>'Datu ievade'!M342</f>
        <v>0</v>
      </c>
      <c r="N48" s="419">
        <f>'Datu ievade'!N342</f>
        <v>0</v>
      </c>
      <c r="O48" s="419">
        <f>'Datu ievade'!O342</f>
        <v>0</v>
      </c>
      <c r="P48" s="419">
        <f>'Datu ievade'!P342</f>
        <v>0</v>
      </c>
      <c r="Q48" s="419">
        <f>'Datu ievade'!Q342</f>
        <v>0</v>
      </c>
      <c r="R48" s="419">
        <f>'Datu ievade'!R342</f>
        <v>0</v>
      </c>
      <c r="S48" s="419">
        <f>'Datu ievade'!S342</f>
        <v>0</v>
      </c>
      <c r="T48" s="419">
        <f>'Datu ievade'!T342</f>
        <v>0</v>
      </c>
      <c r="U48" s="419">
        <f>'Datu ievade'!U342</f>
        <v>0</v>
      </c>
      <c r="V48" s="419">
        <f>'Datu ievade'!V342</f>
        <v>0</v>
      </c>
      <c r="W48" s="419">
        <f>'Datu ievade'!W342</f>
        <v>0</v>
      </c>
      <c r="X48" s="419">
        <f>'Datu ievade'!X342</f>
        <v>0</v>
      </c>
      <c r="Y48" s="419">
        <f>'Datu ievade'!Y342</f>
        <v>0</v>
      </c>
      <c r="Z48" s="419">
        <f>'Datu ievade'!Z342</f>
        <v>0</v>
      </c>
      <c r="AA48" s="419">
        <f>'Datu ievade'!AA342</f>
        <v>0</v>
      </c>
      <c r="AB48" s="419">
        <f>'Datu ievade'!AB342</f>
        <v>0</v>
      </c>
      <c r="AC48" s="419">
        <f>'Datu ievade'!AC342</f>
        <v>0</v>
      </c>
      <c r="AD48" s="419">
        <f>'Datu ievade'!AD342</f>
        <v>0</v>
      </c>
      <c r="AE48" s="419">
        <f>'Datu ievade'!AE342</f>
        <v>0</v>
      </c>
      <c r="AF48" s="419">
        <f>'Datu ievade'!AF342</f>
        <v>0</v>
      </c>
      <c r="AG48" s="419">
        <f>'Datu ievade'!AG342</f>
        <v>0</v>
      </c>
    </row>
    <row r="49" spans="1:33" ht="12.75">
      <c r="A49" s="418" t="s">
        <v>187</v>
      </c>
      <c r="B49" s="433">
        <f aca="true" t="shared" si="3" ref="B49:AG49">SUM(B46:B48)</f>
        <v>0</v>
      </c>
      <c r="C49" s="433">
        <f t="shared" si="3"/>
        <v>0</v>
      </c>
      <c r="D49" s="433">
        <f t="shared" si="3"/>
        <v>0</v>
      </c>
      <c r="E49" s="433">
        <f t="shared" si="3"/>
        <v>0</v>
      </c>
      <c r="F49" s="433">
        <f t="shared" si="3"/>
        <v>0</v>
      </c>
      <c r="G49" s="433">
        <f t="shared" si="3"/>
        <v>0</v>
      </c>
      <c r="H49" s="433">
        <f t="shared" si="3"/>
        <v>0</v>
      </c>
      <c r="I49" s="433">
        <f t="shared" si="3"/>
        <v>0</v>
      </c>
      <c r="J49" s="433">
        <f t="shared" si="3"/>
        <v>0</v>
      </c>
      <c r="K49" s="433">
        <f t="shared" si="3"/>
        <v>0</v>
      </c>
      <c r="L49" s="433">
        <f t="shared" si="3"/>
        <v>0</v>
      </c>
      <c r="M49" s="433">
        <f t="shared" si="3"/>
        <v>0</v>
      </c>
      <c r="N49" s="433">
        <f t="shared" si="3"/>
        <v>0</v>
      </c>
      <c r="O49" s="433">
        <f t="shared" si="3"/>
        <v>0</v>
      </c>
      <c r="P49" s="433">
        <f t="shared" si="3"/>
        <v>0</v>
      </c>
      <c r="Q49" s="433">
        <f t="shared" si="3"/>
        <v>0</v>
      </c>
      <c r="R49" s="433">
        <f t="shared" si="3"/>
        <v>0</v>
      </c>
      <c r="S49" s="433">
        <f t="shared" si="3"/>
        <v>0</v>
      </c>
      <c r="T49" s="433">
        <f t="shared" si="3"/>
        <v>0</v>
      </c>
      <c r="U49" s="433">
        <f t="shared" si="3"/>
        <v>0</v>
      </c>
      <c r="V49" s="433">
        <f t="shared" si="3"/>
        <v>0</v>
      </c>
      <c r="W49" s="433">
        <f t="shared" si="3"/>
        <v>0</v>
      </c>
      <c r="X49" s="433">
        <f t="shared" si="3"/>
        <v>0</v>
      </c>
      <c r="Y49" s="433">
        <f t="shared" si="3"/>
        <v>0</v>
      </c>
      <c r="Z49" s="433">
        <f t="shared" si="3"/>
        <v>0</v>
      </c>
      <c r="AA49" s="433">
        <f t="shared" si="3"/>
        <v>0</v>
      </c>
      <c r="AB49" s="433">
        <f t="shared" si="3"/>
        <v>0</v>
      </c>
      <c r="AC49" s="433">
        <f t="shared" si="3"/>
        <v>0</v>
      </c>
      <c r="AD49" s="433">
        <f t="shared" si="3"/>
        <v>0</v>
      </c>
      <c r="AE49" s="433">
        <f t="shared" si="3"/>
        <v>0</v>
      </c>
      <c r="AF49" s="433">
        <f t="shared" si="3"/>
        <v>0</v>
      </c>
      <c r="AG49" s="433">
        <f t="shared" si="3"/>
        <v>0</v>
      </c>
    </row>
    <row r="50" spans="1:33" ht="12.75">
      <c r="A50" s="418" t="s">
        <v>188</v>
      </c>
      <c r="B50" s="433">
        <f aca="true" t="shared" si="4" ref="B50:AG50">SUM(B25,B44,B49)</f>
        <v>0</v>
      </c>
      <c r="C50" s="433">
        <f t="shared" si="4"/>
        <v>0</v>
      </c>
      <c r="D50" s="433">
        <f t="shared" si="4"/>
        <v>3622.8561682988006</v>
      </c>
      <c r="E50" s="433">
        <f t="shared" si="4"/>
        <v>19471.347126</v>
      </c>
      <c r="F50" s="433">
        <f t="shared" si="4"/>
        <v>36249.759126000004</v>
      </c>
      <c r="G50" s="433">
        <f t="shared" si="4"/>
        <v>35470.90524096</v>
      </c>
      <c r="H50" s="433">
        <f t="shared" si="4"/>
        <v>34692.051355920004</v>
      </c>
      <c r="I50" s="433">
        <f t="shared" si="4"/>
        <v>33913.19747088</v>
      </c>
      <c r="J50" s="433">
        <f t="shared" si="4"/>
        <v>33134.34358584</v>
      </c>
      <c r="K50" s="433">
        <f t="shared" si="4"/>
        <v>32355.489700799997</v>
      </c>
      <c r="L50" s="433">
        <f t="shared" si="4"/>
        <v>31576.635815759997</v>
      </c>
      <c r="M50" s="433">
        <f t="shared" si="4"/>
        <v>30797.781930719997</v>
      </c>
      <c r="N50" s="433">
        <f t="shared" si="4"/>
        <v>30018.928045679997</v>
      </c>
      <c r="O50" s="433">
        <f t="shared" si="4"/>
        <v>29240.074160639997</v>
      </c>
      <c r="P50" s="433">
        <f t="shared" si="4"/>
        <v>28461.220275599997</v>
      </c>
      <c r="Q50" s="433">
        <f t="shared" si="4"/>
        <v>27682.366390559997</v>
      </c>
      <c r="R50" s="433">
        <f t="shared" si="4"/>
        <v>26903.512505519993</v>
      </c>
      <c r="S50" s="433">
        <f t="shared" si="4"/>
        <v>26124.658620479993</v>
      </c>
      <c r="T50" s="433">
        <f t="shared" si="4"/>
        <v>25345.804735439993</v>
      </c>
      <c r="U50" s="433">
        <f t="shared" si="4"/>
        <v>24566.950850399993</v>
      </c>
      <c r="V50" s="433">
        <f t="shared" si="4"/>
        <v>23788.096965359993</v>
      </c>
      <c r="W50" s="433">
        <f t="shared" si="4"/>
        <v>23009.24308031999</v>
      </c>
      <c r="X50" s="433">
        <f t="shared" si="4"/>
        <v>22230.38919527999</v>
      </c>
      <c r="Y50" s="433">
        <f t="shared" si="4"/>
        <v>21451.53531023999</v>
      </c>
      <c r="Z50" s="433">
        <f t="shared" si="4"/>
        <v>20672.681425199993</v>
      </c>
      <c r="AA50" s="433">
        <f t="shared" si="4"/>
        <v>19893.827540159993</v>
      </c>
      <c r="AB50" s="433">
        <f t="shared" si="4"/>
        <v>19114.973655119993</v>
      </c>
      <c r="AC50" s="433">
        <f t="shared" si="4"/>
        <v>18336.119770079993</v>
      </c>
      <c r="AD50" s="433">
        <f t="shared" si="4"/>
        <v>17557.265885039993</v>
      </c>
      <c r="AE50" s="433">
        <f t="shared" si="4"/>
        <v>-8.443748811259866E-12</v>
      </c>
      <c r="AF50" s="433">
        <f t="shared" si="4"/>
        <v>-8.443748811259866E-12</v>
      </c>
      <c r="AG50" s="433">
        <f t="shared" si="4"/>
        <v>-8.443748811259866E-12</v>
      </c>
    </row>
    <row r="51" spans="1:33" ht="12.75">
      <c r="A51" s="418" t="s">
        <v>189</v>
      </c>
      <c r="B51" s="433">
        <f>'Datu ievade'!B344</f>
        <v>970000</v>
      </c>
      <c r="C51" s="433">
        <f>'Datu ievade'!C344</f>
        <v>970000</v>
      </c>
      <c r="D51" s="433">
        <f>'Datu ievade'!D344</f>
        <v>970000</v>
      </c>
      <c r="E51" s="433">
        <f>'Datu ievade'!E344</f>
        <v>970000</v>
      </c>
      <c r="F51" s="433">
        <f>'Datu ievade'!F344</f>
        <v>970000</v>
      </c>
      <c r="G51" s="433">
        <f>F51</f>
        <v>970000</v>
      </c>
      <c r="H51" s="433">
        <f aca="true" t="shared" si="5" ref="H51:AG51">G51</f>
        <v>970000</v>
      </c>
      <c r="I51" s="433">
        <f t="shared" si="5"/>
        <v>970000</v>
      </c>
      <c r="J51" s="433">
        <f t="shared" si="5"/>
        <v>970000</v>
      </c>
      <c r="K51" s="433">
        <f t="shared" si="5"/>
        <v>970000</v>
      </c>
      <c r="L51" s="433">
        <f t="shared" si="5"/>
        <v>970000</v>
      </c>
      <c r="M51" s="433">
        <f t="shared" si="5"/>
        <v>970000</v>
      </c>
      <c r="N51" s="433">
        <f t="shared" si="5"/>
        <v>970000</v>
      </c>
      <c r="O51" s="433">
        <f t="shared" si="5"/>
        <v>970000</v>
      </c>
      <c r="P51" s="433">
        <f t="shared" si="5"/>
        <v>970000</v>
      </c>
      <c r="Q51" s="433">
        <f t="shared" si="5"/>
        <v>970000</v>
      </c>
      <c r="R51" s="433">
        <f t="shared" si="5"/>
        <v>970000</v>
      </c>
      <c r="S51" s="433">
        <f t="shared" si="5"/>
        <v>970000</v>
      </c>
      <c r="T51" s="433">
        <f t="shared" si="5"/>
        <v>970000</v>
      </c>
      <c r="U51" s="433">
        <f t="shared" si="5"/>
        <v>970000</v>
      </c>
      <c r="V51" s="433">
        <f t="shared" si="5"/>
        <v>970000</v>
      </c>
      <c r="W51" s="433">
        <f t="shared" si="5"/>
        <v>970000</v>
      </c>
      <c r="X51" s="433">
        <f t="shared" si="5"/>
        <v>970000</v>
      </c>
      <c r="Y51" s="433">
        <f t="shared" si="5"/>
        <v>970000</v>
      </c>
      <c r="Z51" s="433">
        <f t="shared" si="5"/>
        <v>970000</v>
      </c>
      <c r="AA51" s="433">
        <f t="shared" si="5"/>
        <v>970000</v>
      </c>
      <c r="AB51" s="433">
        <f t="shared" si="5"/>
        <v>970000</v>
      </c>
      <c r="AC51" s="433">
        <f t="shared" si="5"/>
        <v>970000</v>
      </c>
      <c r="AD51" s="433">
        <f t="shared" si="5"/>
        <v>970000</v>
      </c>
      <c r="AE51" s="433">
        <f t="shared" si="5"/>
        <v>970000</v>
      </c>
      <c r="AF51" s="433">
        <f t="shared" si="5"/>
        <v>970000</v>
      </c>
      <c r="AG51" s="433">
        <f t="shared" si="5"/>
        <v>970000</v>
      </c>
    </row>
    <row r="52" spans="1:33" ht="12.75">
      <c r="A52" s="435" t="s">
        <v>190</v>
      </c>
      <c r="B52" s="436">
        <f aca="true" t="shared" si="6" ref="B52:AG52">IF(B51=0,"Nav pašu ieņēmumu",B50/B51)</f>
        <v>0</v>
      </c>
      <c r="C52" s="436">
        <f t="shared" si="6"/>
        <v>0</v>
      </c>
      <c r="D52" s="436">
        <f t="shared" si="6"/>
        <v>0.0037349032662874235</v>
      </c>
      <c r="E52" s="436">
        <f t="shared" si="6"/>
        <v>0.02007355373814433</v>
      </c>
      <c r="F52" s="436">
        <f t="shared" si="6"/>
        <v>0.03737088569690722</v>
      </c>
      <c r="G52" s="436">
        <f t="shared" si="6"/>
        <v>0.03656794354738144</v>
      </c>
      <c r="H52" s="436">
        <f t="shared" si="6"/>
        <v>0.03576500139785568</v>
      </c>
      <c r="I52" s="436">
        <f t="shared" si="6"/>
        <v>0.034962059248329895</v>
      </c>
      <c r="J52" s="436">
        <f t="shared" si="6"/>
        <v>0.03415911709880412</v>
      </c>
      <c r="K52" s="436">
        <f t="shared" si="6"/>
        <v>0.033356174949278346</v>
      </c>
      <c r="L52" s="436">
        <f t="shared" si="6"/>
        <v>0.03255323279975257</v>
      </c>
      <c r="M52" s="436">
        <f t="shared" si="6"/>
        <v>0.0317502906502268</v>
      </c>
      <c r="N52" s="436">
        <f t="shared" si="6"/>
        <v>0.03094734850070103</v>
      </c>
      <c r="O52" s="436">
        <f t="shared" si="6"/>
        <v>0.030144406351175254</v>
      </c>
      <c r="P52" s="436">
        <f t="shared" si="6"/>
        <v>0.029341464201649483</v>
      </c>
      <c r="Q52" s="436">
        <f t="shared" si="6"/>
        <v>0.02853852205212371</v>
      </c>
      <c r="R52" s="436">
        <f t="shared" si="6"/>
        <v>0.02773557990259793</v>
      </c>
      <c r="S52" s="436">
        <f t="shared" si="6"/>
        <v>0.02693263775307216</v>
      </c>
      <c r="T52" s="436">
        <f t="shared" si="6"/>
        <v>0.026129695603546384</v>
      </c>
      <c r="U52" s="436">
        <f t="shared" si="6"/>
        <v>0.025326753454020613</v>
      </c>
      <c r="V52" s="436">
        <f t="shared" si="6"/>
        <v>0.02452381130449484</v>
      </c>
      <c r="W52" s="436">
        <f t="shared" si="6"/>
        <v>0.02372086915496906</v>
      </c>
      <c r="X52" s="436">
        <f t="shared" si="6"/>
        <v>0.02291792700544329</v>
      </c>
      <c r="Y52" s="436">
        <f t="shared" si="6"/>
        <v>0.022114984855917515</v>
      </c>
      <c r="Z52" s="436">
        <f t="shared" si="6"/>
        <v>0.021312042706391747</v>
      </c>
      <c r="AA52" s="436">
        <f t="shared" si="6"/>
        <v>0.020509100556865972</v>
      </c>
      <c r="AB52" s="436">
        <f t="shared" si="6"/>
        <v>0.019706158407340198</v>
      </c>
      <c r="AC52" s="436">
        <f t="shared" si="6"/>
        <v>0.018903216257814427</v>
      </c>
      <c r="AD52" s="436">
        <f t="shared" si="6"/>
        <v>0.018100274108288652</v>
      </c>
      <c r="AE52" s="436">
        <f t="shared" si="6"/>
        <v>-8.704895681711203E-18</v>
      </c>
      <c r="AF52" s="436">
        <f t="shared" si="6"/>
        <v>-8.704895681711203E-18</v>
      </c>
      <c r="AG52" s="436">
        <f t="shared" si="6"/>
        <v>-8.704895681711203E-18</v>
      </c>
    </row>
    <row r="53" s="209" customFormat="1" ht="12.75"/>
  </sheetData>
  <sheetProtection password="D9D4" sheet="1"/>
  <printOptions horizontalCentered="1"/>
  <pageMargins left="0.5902777777777778" right="0.5902777777777778" top="0.75" bottom="0.8888888888888888" header="0.5118055555555555" footer="0.75"/>
  <pageSetup horizontalDpi="300" verticalDpi="300" orientation="landscape" paperSize="9" scale="59"/>
  <headerFooter alignWithMargins="0">
    <oddFooter>&amp;L&amp;A&amp;R&amp;P</oddFooter>
  </headerFooter>
  <colBreaks count="1" manualBreakCount="1">
    <brk id="19" max="65535" man="1"/>
  </colBreaks>
  <legacyDrawing r:id="rId2"/>
</worksheet>
</file>

<file path=xl/worksheets/sheet9.xml><?xml version="1.0" encoding="utf-8"?>
<worksheet xmlns="http://schemas.openxmlformats.org/spreadsheetml/2006/main" xmlns:r="http://schemas.openxmlformats.org/officeDocument/2006/relationships">
  <dimension ref="A1:AG25"/>
  <sheetViews>
    <sheetView showGridLines="0" zoomScale="120" zoomScaleNormal="120" zoomScaleSheetLayoutView="90" zoomScalePageLayoutView="0" workbookViewId="0" topLeftCell="A1">
      <selection activeCell="AJ17" sqref="AJ17"/>
    </sheetView>
  </sheetViews>
  <sheetFormatPr defaultColWidth="9.140625" defaultRowHeight="11.25"/>
  <cols>
    <col min="1" max="1" width="60.140625" style="0" customWidth="1"/>
  </cols>
  <sheetData>
    <row r="1" spans="1:2" ht="16.5">
      <c r="A1" s="88" t="str">
        <f>'Datu ievade'!$B$4</f>
        <v>A novada pašvaldība</v>
      </c>
      <c r="B1" s="87" t="str">
        <f>'Datu ievade'!$B$6</f>
        <v>Ūdenssaimniecības attīstība A ciemā</v>
      </c>
    </row>
    <row r="2" ht="12.75">
      <c r="A2" s="89"/>
    </row>
    <row r="3" spans="1:33" s="155" customFormat="1" ht="18.75">
      <c r="A3" s="557" t="s">
        <v>429</v>
      </c>
      <c r="B3" s="446"/>
      <c r="C3" s="446"/>
      <c r="D3" s="446"/>
      <c r="E3" s="446"/>
      <c r="F3" s="446"/>
      <c r="G3" s="446"/>
      <c r="H3" s="446"/>
      <c r="I3" s="446"/>
      <c r="J3" s="446"/>
      <c r="K3" s="446"/>
      <c r="L3" s="446"/>
      <c r="M3" s="446"/>
      <c r="N3" s="446"/>
      <c r="O3" s="446"/>
      <c r="P3" s="558"/>
      <c r="Q3" s="558"/>
      <c r="R3" s="558"/>
      <c r="S3" s="558"/>
      <c r="T3" s="558"/>
      <c r="U3" s="558"/>
      <c r="V3" s="558"/>
      <c r="W3" s="558"/>
      <c r="X3" s="558"/>
      <c r="Y3" s="558"/>
      <c r="Z3" s="558"/>
      <c r="AA3" s="558"/>
      <c r="AB3" s="558"/>
      <c r="AC3" s="558"/>
      <c r="AD3" s="558"/>
      <c r="AE3" s="558"/>
      <c r="AF3" s="558"/>
      <c r="AG3" s="558"/>
    </row>
    <row r="4" spans="1:33" ht="12.75">
      <c r="A4" s="96"/>
      <c r="B4" s="97"/>
      <c r="C4" s="97"/>
      <c r="D4" s="97"/>
      <c r="E4" s="97"/>
      <c r="F4" s="97"/>
      <c r="G4" s="97"/>
      <c r="H4" s="97"/>
      <c r="I4" s="97"/>
      <c r="J4" s="97"/>
      <c r="K4" s="97"/>
      <c r="L4" s="97"/>
      <c r="M4" s="97"/>
      <c r="N4" s="97"/>
      <c r="O4" s="97"/>
      <c r="P4" s="98"/>
      <c r="Q4" s="97" t="s">
        <v>25</v>
      </c>
      <c r="R4" s="98"/>
      <c r="S4" s="98"/>
      <c r="T4" s="98"/>
      <c r="U4" s="98"/>
      <c r="V4" s="98"/>
      <c r="W4" s="98"/>
      <c r="X4" s="98"/>
      <c r="Y4" s="98"/>
      <c r="Z4" s="98"/>
      <c r="AA4" s="98"/>
      <c r="AB4" s="98"/>
      <c r="AC4" s="98"/>
      <c r="AD4" s="98"/>
      <c r="AE4" s="98"/>
      <c r="AF4" s="98"/>
      <c r="AG4" s="98"/>
    </row>
    <row r="5" spans="1:33" ht="12.75">
      <c r="A5" s="99" t="s">
        <v>191</v>
      </c>
      <c r="B5" s="92">
        <f>Aprekini!B5</f>
        <v>2011</v>
      </c>
      <c r="C5" s="92">
        <f aca="true" t="shared" si="0" ref="C5:AG5">B5+1</f>
        <v>2012</v>
      </c>
      <c r="D5" s="92">
        <f t="shared" si="0"/>
        <v>2013</v>
      </c>
      <c r="E5" s="92">
        <f t="shared" si="0"/>
        <v>2014</v>
      </c>
      <c r="F5" s="92">
        <f t="shared" si="0"/>
        <v>2015</v>
      </c>
      <c r="G5" s="92">
        <f t="shared" si="0"/>
        <v>2016</v>
      </c>
      <c r="H5" s="92">
        <f t="shared" si="0"/>
        <v>2017</v>
      </c>
      <c r="I5" s="92">
        <f t="shared" si="0"/>
        <v>2018</v>
      </c>
      <c r="J5" s="92">
        <f t="shared" si="0"/>
        <v>2019</v>
      </c>
      <c r="K5" s="92">
        <f t="shared" si="0"/>
        <v>2020</v>
      </c>
      <c r="L5" s="92">
        <f t="shared" si="0"/>
        <v>2021</v>
      </c>
      <c r="M5" s="92">
        <f t="shared" si="0"/>
        <v>2022</v>
      </c>
      <c r="N5" s="92">
        <f t="shared" si="0"/>
        <v>2023</v>
      </c>
      <c r="O5" s="92">
        <f t="shared" si="0"/>
        <v>2024</v>
      </c>
      <c r="P5" s="92">
        <f t="shared" si="0"/>
        <v>2025</v>
      </c>
      <c r="Q5" s="92">
        <f t="shared" si="0"/>
        <v>2026</v>
      </c>
      <c r="R5" s="92">
        <f t="shared" si="0"/>
        <v>2027</v>
      </c>
      <c r="S5" s="92">
        <f t="shared" si="0"/>
        <v>2028</v>
      </c>
      <c r="T5" s="92">
        <f t="shared" si="0"/>
        <v>2029</v>
      </c>
      <c r="U5" s="93">
        <f t="shared" si="0"/>
        <v>2030</v>
      </c>
      <c r="V5" s="93">
        <f t="shared" si="0"/>
        <v>2031</v>
      </c>
      <c r="W5" s="93">
        <f t="shared" si="0"/>
        <v>2032</v>
      </c>
      <c r="X5" s="93">
        <f t="shared" si="0"/>
        <v>2033</v>
      </c>
      <c r="Y5" s="93">
        <f t="shared" si="0"/>
        <v>2034</v>
      </c>
      <c r="Z5" s="93">
        <f t="shared" si="0"/>
        <v>2035</v>
      </c>
      <c r="AA5" s="93">
        <f t="shared" si="0"/>
        <v>2036</v>
      </c>
      <c r="AB5" s="93">
        <f t="shared" si="0"/>
        <v>2037</v>
      </c>
      <c r="AC5" s="93">
        <f t="shared" si="0"/>
        <v>2038</v>
      </c>
      <c r="AD5" s="93">
        <f t="shared" si="0"/>
        <v>2039</v>
      </c>
      <c r="AE5" s="93">
        <f t="shared" si="0"/>
        <v>2040</v>
      </c>
      <c r="AF5" s="93">
        <f t="shared" si="0"/>
        <v>2041</v>
      </c>
      <c r="AG5" s="93">
        <f t="shared" si="0"/>
        <v>2042</v>
      </c>
    </row>
    <row r="6" spans="1:33" ht="14.25" customHeight="1">
      <c r="A6" s="54" t="s">
        <v>192</v>
      </c>
      <c r="B6" s="104">
        <f>'Datu ievade'!B404</f>
        <v>232.75</v>
      </c>
      <c r="C6" s="104">
        <f>'Datu ievade'!C404</f>
        <v>237.405</v>
      </c>
      <c r="D6" s="104">
        <f>'Datu ievade'!D404</f>
        <v>242.06</v>
      </c>
      <c r="E6" s="104">
        <f>'Datu ievade'!E404</f>
        <v>246.715</v>
      </c>
      <c r="F6" s="104">
        <f>'Datu ievade'!F404</f>
        <v>251.37</v>
      </c>
      <c r="G6" s="104">
        <f>'Datu ievade'!G404</f>
        <v>256.02500000000003</v>
      </c>
      <c r="H6" s="104">
        <f>'Datu ievade'!H404</f>
        <v>260.68</v>
      </c>
      <c r="I6" s="104">
        <f>'Datu ievade'!I404</f>
        <v>265.335</v>
      </c>
      <c r="J6" s="104">
        <f>'Datu ievade'!J404</f>
        <v>269.99</v>
      </c>
      <c r="K6" s="104">
        <f>'Datu ievade'!K404</f>
        <v>274.645</v>
      </c>
      <c r="L6" s="104">
        <f>'Datu ievade'!L404</f>
        <v>279.3</v>
      </c>
      <c r="M6" s="104">
        <f>'Datu ievade'!M404</f>
        <v>283.955</v>
      </c>
      <c r="N6" s="104">
        <f>'Datu ievade'!N404</f>
        <v>288.61</v>
      </c>
      <c r="O6" s="104">
        <f>'Datu ievade'!O404</f>
        <v>293.265</v>
      </c>
      <c r="P6" s="104">
        <f>'Datu ievade'!P404</f>
        <v>300.2475</v>
      </c>
      <c r="Q6" s="104">
        <f>'Datu ievade'!Q404</f>
        <v>307.23</v>
      </c>
      <c r="R6" s="104">
        <f>'Datu ievade'!R404</f>
        <v>314.21250000000003</v>
      </c>
      <c r="S6" s="104">
        <f>'Datu ievade'!S404</f>
        <v>321.195</v>
      </c>
      <c r="T6" s="104">
        <f>'Datu ievade'!T404</f>
        <v>328.1775</v>
      </c>
      <c r="U6" s="104">
        <f>'Datu ievade'!U404</f>
        <v>335.15999999999997</v>
      </c>
      <c r="V6" s="104">
        <f>'Datu ievade'!V404</f>
        <v>342.1425</v>
      </c>
      <c r="W6" s="104">
        <f>'Datu ievade'!W404</f>
        <v>349.125</v>
      </c>
      <c r="X6" s="104">
        <f>'Datu ievade'!X404</f>
        <v>356.1075</v>
      </c>
      <c r="Y6" s="104">
        <f>'Datu ievade'!Y404</f>
        <v>363.09000000000003</v>
      </c>
      <c r="Z6" s="104">
        <f>'Datu ievade'!Z404</f>
        <v>370.0725</v>
      </c>
      <c r="AA6" s="104">
        <f>'Datu ievade'!AA404</f>
        <v>377.055</v>
      </c>
      <c r="AB6" s="104">
        <f>'Datu ievade'!AB404</f>
        <v>384.03749999999997</v>
      </c>
      <c r="AC6" s="104">
        <f>'Datu ievade'!AC404</f>
        <v>391.02</v>
      </c>
      <c r="AD6" s="104">
        <f>'Datu ievade'!AD404</f>
        <v>398.0025</v>
      </c>
      <c r="AE6" s="104">
        <f>'Datu ievade'!AE404</f>
        <v>404.985</v>
      </c>
      <c r="AF6" s="104">
        <f>'Datu ievade'!AF404</f>
        <v>411.96750000000003</v>
      </c>
      <c r="AG6" s="104">
        <f>'Datu ievade'!AG404</f>
        <v>421.27750000000003</v>
      </c>
    </row>
    <row r="7" spans="1:33" s="155" customFormat="1" ht="13.5" customHeight="1">
      <c r="A7" s="101" t="s">
        <v>193</v>
      </c>
      <c r="B7" s="104">
        <f>'Datu ievade'!B405</f>
        <v>8.25</v>
      </c>
      <c r="C7" s="104">
        <f>'Datu ievade'!C405</f>
        <v>8.25</v>
      </c>
      <c r="D7" s="104">
        <f>'Datu ievade'!D405</f>
        <v>7.5</v>
      </c>
      <c r="E7" s="104">
        <f>'Datu ievade'!E405</f>
        <v>7.5</v>
      </c>
      <c r="F7" s="104">
        <f>'Datu ievade'!F405</f>
        <v>7.5</v>
      </c>
      <c r="G7" s="104">
        <f>'Datu ievade'!G405</f>
        <v>7.5</v>
      </c>
      <c r="H7" s="104">
        <f>'Datu ievade'!H405</f>
        <v>7.5</v>
      </c>
      <c r="I7" s="104">
        <f>'Datu ievade'!I405</f>
        <v>7.5</v>
      </c>
      <c r="J7" s="104">
        <f>'Datu ievade'!J405</f>
        <v>7.5</v>
      </c>
      <c r="K7" s="104">
        <f>'Datu ievade'!K405</f>
        <v>7.5</v>
      </c>
      <c r="L7" s="104">
        <f>'Datu ievade'!L405</f>
        <v>7.5</v>
      </c>
      <c r="M7" s="104">
        <f>'Datu ievade'!M405</f>
        <v>7.5</v>
      </c>
      <c r="N7" s="104">
        <f>'Datu ievade'!N405</f>
        <v>7.5</v>
      </c>
      <c r="O7" s="104">
        <f>'Datu ievade'!O405</f>
        <v>7.5</v>
      </c>
      <c r="P7" s="104">
        <f>'Datu ievade'!P405</f>
        <v>7.5</v>
      </c>
      <c r="Q7" s="104">
        <f>'Datu ievade'!Q405</f>
        <v>7.5</v>
      </c>
      <c r="R7" s="104">
        <f>'Datu ievade'!R405</f>
        <v>7.5</v>
      </c>
      <c r="S7" s="104">
        <f>'Datu ievade'!S405</f>
        <v>7.5</v>
      </c>
      <c r="T7" s="104">
        <f>'Datu ievade'!T405</f>
        <v>7.5</v>
      </c>
      <c r="U7" s="104">
        <f>'Datu ievade'!U405</f>
        <v>7.5</v>
      </c>
      <c r="V7" s="104">
        <f>'Datu ievade'!V405</f>
        <v>7.5</v>
      </c>
      <c r="W7" s="104">
        <f>'Datu ievade'!W405</f>
        <v>7.5</v>
      </c>
      <c r="X7" s="104">
        <f>'Datu ievade'!X405</f>
        <v>7.5</v>
      </c>
      <c r="Y7" s="104">
        <f>'Datu ievade'!Y405</f>
        <v>7.5</v>
      </c>
      <c r="Z7" s="104">
        <f>'Datu ievade'!Z405</f>
        <v>7.5</v>
      </c>
      <c r="AA7" s="104">
        <f>'Datu ievade'!AA405</f>
        <v>7.5</v>
      </c>
      <c r="AB7" s="104">
        <f>'Datu ievade'!AB405</f>
        <v>7.5</v>
      </c>
      <c r="AC7" s="104">
        <f>'Datu ievade'!AC405</f>
        <v>7.5</v>
      </c>
      <c r="AD7" s="104">
        <f>'Datu ievade'!AD405</f>
        <v>7.5</v>
      </c>
      <c r="AE7" s="104">
        <f>'Datu ievade'!AE405</f>
        <v>7.5</v>
      </c>
      <c r="AF7" s="104">
        <f>'Datu ievade'!AF405</f>
        <v>7.5</v>
      </c>
      <c r="AG7" s="104">
        <f>'Datu ievade'!AG405</f>
        <v>7.5</v>
      </c>
    </row>
    <row r="8" spans="1:33" s="208" customFormat="1" ht="13.5" customHeight="1">
      <c r="A8" s="419" t="s">
        <v>538</v>
      </c>
      <c r="B8" s="441">
        <f>IF(B$16&gt;='Datu ievade'!$B$30,'Datu ievade'!B380*(1+'Datu ievade'!C429),'Datu ievade'!B376*(1+'Datu ievade'!C429))</f>
        <v>0.244</v>
      </c>
      <c r="C8" s="441">
        <f>IF(C$16&gt;='Datu ievade'!$B$30,'Datu ievade'!C380*(1+'Datu ievade'!D429),'Datu ievade'!C376*(1+'Datu ievade'!D429))</f>
        <v>0.244</v>
      </c>
      <c r="D8" s="441">
        <f>IF(D$16&gt;='Datu ievade'!$B$30,'Datu ievade'!D380*(1+'Datu ievade'!E429),'Datu ievade'!D376*(1+'Datu ievade'!E429))</f>
        <v>0.24522000000000002</v>
      </c>
      <c r="E8" s="441">
        <f>IF(E$16&gt;='Datu ievade'!$B$30,'Datu ievade'!E380*(1+'Datu ievade'!F429),'Datu ievade'!E376*(1+'Datu ievade'!F429))</f>
        <v>0.37576</v>
      </c>
      <c r="F8" s="441">
        <f>IF(F$16&gt;='Datu ievade'!$B$30,'Datu ievade'!F380*(1+'Datu ievade'!G429),'Datu ievade'!F376*(1+'Datu ievade'!G429))</f>
        <v>0.38186</v>
      </c>
      <c r="G8" s="441">
        <f>IF(G$16&gt;='Datu ievade'!$B$30,'Datu ievade'!G380*(1+'Datu ievade'!H429),'Datu ievade'!G376*(1+'Datu ievade'!H429))</f>
        <v>0.38308</v>
      </c>
      <c r="H8" s="441">
        <f>IF(H$16&gt;='Datu ievade'!$B$30,'Datu ievade'!H380*(1+'Datu ievade'!I429),'Datu ievade'!H376*(1+'Datu ievade'!I429))</f>
        <v>0.38552</v>
      </c>
      <c r="I8" s="441">
        <f>IF(I$16&gt;='Datu ievade'!$B$30,'Datu ievade'!I380*(1+'Datu ievade'!J429),'Datu ievade'!I376*(1+'Datu ievade'!J429))</f>
        <v>0.39162</v>
      </c>
      <c r="J8" s="441">
        <f>IF(J$16&gt;='Datu ievade'!$B$30,'Datu ievade'!J380*(1+'Datu ievade'!K429),'Datu ievade'!J376*(1+'Datu ievade'!K429))</f>
        <v>0.39772</v>
      </c>
      <c r="K8" s="441">
        <f>IF(K$16&gt;='Datu ievade'!$B$30,'Datu ievade'!K380*(1+'Datu ievade'!L429),'Datu ievade'!K376*(1+'Datu ievade'!L429))</f>
        <v>0.40016</v>
      </c>
      <c r="L8" s="441">
        <f>IF(L$16&gt;='Datu ievade'!$B$30,'Datu ievade'!L380*(1+'Datu ievade'!M429),'Datu ievade'!L376*(1+'Datu ievade'!M429))</f>
        <v>0.40992</v>
      </c>
      <c r="M8" s="441">
        <f>IF(M$16&gt;='Datu ievade'!$B$30,'Datu ievade'!M380*(1+'Datu ievade'!N429),'Datu ievade'!M376*(1+'Datu ievade'!N429))</f>
        <v>0.4148</v>
      </c>
      <c r="N8" s="441">
        <f>IF(N$16&gt;='Datu ievade'!$B$30,'Datu ievade'!N380*(1+'Datu ievade'!O429),'Datu ievade'!N376*(1+'Datu ievade'!O429))</f>
        <v>0.42089999999999994</v>
      </c>
      <c r="O8" s="441">
        <f>IF(O$16&gt;='Datu ievade'!$B$30,'Datu ievade'!O380*(1+'Datu ievade'!P429),'Datu ievade'!O376*(1+'Datu ievade'!P429))</f>
        <v>0.42333999999999994</v>
      </c>
      <c r="P8" s="441">
        <f>IF(P$16&gt;='Datu ievade'!$B$30,'Datu ievade'!P380*(1+'Datu ievade'!Q429),'Datu ievade'!P376*(1+'Datu ievade'!Q429))</f>
        <v>0.427</v>
      </c>
      <c r="Q8" s="441">
        <f>IF(Q$16&gt;='Datu ievade'!$B$30,'Datu ievade'!Q380*(1+'Datu ievade'!R429),'Datu ievade'!Q376*(1+'Datu ievade'!R429))</f>
        <v>0.4331</v>
      </c>
      <c r="R8" s="441">
        <f>IF(R$16&gt;='Datu ievade'!$B$30,'Datu ievade'!R380*(1+'Datu ievade'!S429),'Datu ievade'!R376*(1+'Datu ievade'!S429))</f>
        <v>0.4392</v>
      </c>
      <c r="S8" s="441">
        <f>IF(S$16&gt;='Datu ievade'!$B$30,'Datu ievade'!S380*(1+'Datu ievade'!T429),'Datu ievade'!S376*(1+'Datu ievade'!T429))</f>
        <v>0.45261999999999997</v>
      </c>
      <c r="T8" s="441">
        <f>IF(T$16&gt;='Datu ievade'!$B$30,'Datu ievade'!T380*(1+'Datu ievade'!U429),'Datu ievade'!T376*(1+'Datu ievade'!U429))</f>
        <v>0.45872</v>
      </c>
      <c r="U8" s="441">
        <f>IF(U$16&gt;='Datu ievade'!$B$30,'Datu ievade'!U380*(1+'Datu ievade'!V429),'Datu ievade'!U376*(1+'Datu ievade'!V429))</f>
        <v>0.46116</v>
      </c>
      <c r="V8" s="441">
        <f>IF(V$16&gt;='Datu ievade'!$B$30,'Datu ievade'!V380*(1+'Datu ievade'!W429),'Datu ievade'!V376*(1+'Datu ievade'!W429))</f>
        <v>0.46482</v>
      </c>
      <c r="W8" s="441">
        <f>IF(W$16&gt;='Datu ievade'!$B$30,'Datu ievade'!W380*(1+'Datu ievade'!X429),'Datu ievade'!W376*(1+'Datu ievade'!X429))</f>
        <v>0.46726</v>
      </c>
      <c r="X8" s="441">
        <f>IF(X$16&gt;='Datu ievade'!$B$30,'Datu ievade'!X380*(1+'Datu ievade'!Y429),'Datu ievade'!X376*(1+'Datu ievade'!Y429))</f>
        <v>0.4697</v>
      </c>
      <c r="Y8" s="441">
        <f>IF(Y$16&gt;='Datu ievade'!$B$30,'Datu ievade'!Y380*(1+'Datu ievade'!Z429),'Datu ievade'!Y376*(1+'Datu ievade'!Z429))</f>
        <v>0.47336</v>
      </c>
      <c r="Z8" s="441">
        <f>IF(Z$16&gt;='Datu ievade'!$B$30,'Datu ievade'!Z380*(1+'Datu ievade'!AA429),'Datu ievade'!Z376*(1+'Datu ievade'!AA429))</f>
        <v>0.4758</v>
      </c>
      <c r="AA8" s="441">
        <f>IF(AA$16&gt;='Datu ievade'!$B$30,'Datu ievade'!AA380*(1+'Datu ievade'!AB429),'Datu ievade'!AA376*(1+'Datu ievade'!AB429))</f>
        <v>0.47946</v>
      </c>
      <c r="AB8" s="441">
        <f>IF(AB$16&gt;='Datu ievade'!$B$30,'Datu ievade'!AB380*(1+'Datu ievade'!AC429),'Datu ievade'!AB376*(1+'Datu ievade'!AC429))</f>
        <v>0.48678</v>
      </c>
      <c r="AC8" s="441">
        <f>IF(AC$16&gt;='Datu ievade'!$B$30,'Datu ievade'!AC380*(1+'Datu ievade'!AD429),'Datu ievade'!AC376*(1+'Datu ievade'!AD429))</f>
        <v>0.49044000000000004</v>
      </c>
      <c r="AD8" s="441">
        <f>IF(AD$16&gt;='Datu ievade'!$B$30,'Datu ievade'!AD380*(1+'Datu ievade'!AE429),'Datu ievade'!AD376*(1+'Datu ievade'!AE429))</f>
        <v>0.488</v>
      </c>
      <c r="AE8" s="441">
        <f>IF(AE$16&gt;='Datu ievade'!$B$30,'Datu ievade'!AE380*(1+'Datu ievade'!AF429),'Datu ievade'!AE376*(1+'Datu ievade'!AF429))</f>
        <v>0.49654</v>
      </c>
      <c r="AF8" s="441">
        <f>IF(AF$16&gt;='Datu ievade'!$B$30,'Datu ievade'!AF380*(1+'Datu ievade'!AG429),'Datu ievade'!AF376*(1+'Datu ievade'!AG429))</f>
        <v>0.50508</v>
      </c>
      <c r="AG8" s="441">
        <f>IF(AG$16&gt;='Datu ievade'!$B$30,'Datu ievade'!AG380*(1+'Datu ievade'!AH429),'Datu ievade'!AG376*(1+'Datu ievade'!AH429))</f>
        <v>0.50996</v>
      </c>
    </row>
    <row r="9" spans="1:33" ht="13.5" customHeight="1">
      <c r="A9" s="54" t="s">
        <v>194</v>
      </c>
      <c r="B9" s="104">
        <f>B7*B8</f>
        <v>2.013</v>
      </c>
      <c r="C9" s="104">
        <f aca="true" t="shared" si="1" ref="C9:AG9">C7*C8</f>
        <v>2.013</v>
      </c>
      <c r="D9" s="104">
        <f t="shared" si="1"/>
        <v>1.83915</v>
      </c>
      <c r="E9" s="104">
        <f t="shared" si="1"/>
        <v>2.8182</v>
      </c>
      <c r="F9" s="104">
        <f t="shared" si="1"/>
        <v>2.86395</v>
      </c>
      <c r="G9" s="104">
        <f t="shared" si="1"/>
        <v>2.8731</v>
      </c>
      <c r="H9" s="104">
        <f t="shared" si="1"/>
        <v>2.8914</v>
      </c>
      <c r="I9" s="104">
        <f t="shared" si="1"/>
        <v>2.9371500000000004</v>
      </c>
      <c r="J9" s="104">
        <f t="shared" si="1"/>
        <v>2.9829000000000003</v>
      </c>
      <c r="K9" s="104">
        <f t="shared" si="1"/>
        <v>3.0012000000000003</v>
      </c>
      <c r="L9" s="104">
        <f t="shared" si="1"/>
        <v>3.0744000000000002</v>
      </c>
      <c r="M9" s="104">
        <f t="shared" si="1"/>
        <v>3.111</v>
      </c>
      <c r="N9" s="104">
        <f t="shared" si="1"/>
        <v>3.1567499999999997</v>
      </c>
      <c r="O9" s="104">
        <f t="shared" si="1"/>
        <v>3.1750499999999997</v>
      </c>
      <c r="P9" s="104">
        <f t="shared" si="1"/>
        <v>3.2025</v>
      </c>
      <c r="Q9" s="104">
        <f t="shared" si="1"/>
        <v>3.24825</v>
      </c>
      <c r="R9" s="104">
        <f t="shared" si="1"/>
        <v>3.294</v>
      </c>
      <c r="S9" s="104">
        <f t="shared" si="1"/>
        <v>3.39465</v>
      </c>
      <c r="T9" s="104">
        <f t="shared" si="1"/>
        <v>3.4404000000000003</v>
      </c>
      <c r="U9" s="104">
        <f t="shared" si="1"/>
        <v>3.4587000000000003</v>
      </c>
      <c r="V9" s="104">
        <f t="shared" si="1"/>
        <v>3.4861500000000003</v>
      </c>
      <c r="W9" s="104">
        <f t="shared" si="1"/>
        <v>3.5044500000000003</v>
      </c>
      <c r="X9" s="104">
        <f t="shared" si="1"/>
        <v>3.5227500000000003</v>
      </c>
      <c r="Y9" s="104">
        <f t="shared" si="1"/>
        <v>3.5502000000000002</v>
      </c>
      <c r="Z9" s="104">
        <f t="shared" si="1"/>
        <v>3.5685000000000002</v>
      </c>
      <c r="AA9" s="104">
        <f t="shared" si="1"/>
        <v>3.59595</v>
      </c>
      <c r="AB9" s="104">
        <f t="shared" si="1"/>
        <v>3.65085</v>
      </c>
      <c r="AC9" s="104">
        <f t="shared" si="1"/>
        <v>3.6783</v>
      </c>
      <c r="AD9" s="104">
        <f t="shared" si="1"/>
        <v>3.66</v>
      </c>
      <c r="AE9" s="104">
        <f t="shared" si="1"/>
        <v>3.72405</v>
      </c>
      <c r="AF9" s="104">
        <f t="shared" si="1"/>
        <v>3.7881</v>
      </c>
      <c r="AG9" s="104">
        <f t="shared" si="1"/>
        <v>3.8247</v>
      </c>
    </row>
    <row r="10" spans="1:33" s="155" customFormat="1" ht="14.25" customHeight="1">
      <c r="A10" s="101" t="s">
        <v>195</v>
      </c>
      <c r="B10" s="104">
        <f>'Datu ievade'!B407</f>
        <v>8.25</v>
      </c>
      <c r="C10" s="104">
        <f>'Datu ievade'!C407</f>
        <v>8.25</v>
      </c>
      <c r="D10" s="104">
        <f>'Datu ievade'!D407</f>
        <v>7.5</v>
      </c>
      <c r="E10" s="104">
        <f>'Datu ievade'!E407</f>
        <v>7.5</v>
      </c>
      <c r="F10" s="104">
        <f>'Datu ievade'!F407</f>
        <v>7.5</v>
      </c>
      <c r="G10" s="104">
        <f>'Datu ievade'!G407</f>
        <v>7.5</v>
      </c>
      <c r="H10" s="104">
        <f>'Datu ievade'!H407</f>
        <v>7.5</v>
      </c>
      <c r="I10" s="104">
        <f>'Datu ievade'!I407</f>
        <v>7.5</v>
      </c>
      <c r="J10" s="104">
        <f>'Datu ievade'!J407</f>
        <v>7.5</v>
      </c>
      <c r="K10" s="104">
        <f>'Datu ievade'!K407</f>
        <v>7.5</v>
      </c>
      <c r="L10" s="104">
        <f>'Datu ievade'!L407</f>
        <v>7.5</v>
      </c>
      <c r="M10" s="104">
        <f>'Datu ievade'!M407</f>
        <v>7.5</v>
      </c>
      <c r="N10" s="104">
        <f>'Datu ievade'!N407</f>
        <v>7.5</v>
      </c>
      <c r="O10" s="104">
        <f>'Datu ievade'!O407</f>
        <v>7.5</v>
      </c>
      <c r="P10" s="104">
        <f>'Datu ievade'!P407</f>
        <v>7.5</v>
      </c>
      <c r="Q10" s="104">
        <f>'Datu ievade'!Q407</f>
        <v>7.5</v>
      </c>
      <c r="R10" s="104">
        <f>'Datu ievade'!R407</f>
        <v>7.5</v>
      </c>
      <c r="S10" s="104">
        <f>'Datu ievade'!S407</f>
        <v>7.5</v>
      </c>
      <c r="T10" s="104">
        <f>'Datu ievade'!T407</f>
        <v>7.5</v>
      </c>
      <c r="U10" s="104">
        <f>'Datu ievade'!U407</f>
        <v>7.5</v>
      </c>
      <c r="V10" s="104">
        <f>'Datu ievade'!V407</f>
        <v>7.5</v>
      </c>
      <c r="W10" s="104">
        <f>'Datu ievade'!W407</f>
        <v>7.5</v>
      </c>
      <c r="X10" s="104">
        <f>'Datu ievade'!X407</f>
        <v>7.5</v>
      </c>
      <c r="Y10" s="104">
        <f>'Datu ievade'!Y407</f>
        <v>7.5</v>
      </c>
      <c r="Z10" s="104">
        <f>'Datu ievade'!Z407</f>
        <v>7.5</v>
      </c>
      <c r="AA10" s="104">
        <f>'Datu ievade'!AA407</f>
        <v>7.5</v>
      </c>
      <c r="AB10" s="104">
        <f>'Datu ievade'!AB407</f>
        <v>7.5</v>
      </c>
      <c r="AC10" s="104">
        <f>'Datu ievade'!AC407</f>
        <v>7.5</v>
      </c>
      <c r="AD10" s="104">
        <f>'Datu ievade'!AD407</f>
        <v>7.5</v>
      </c>
      <c r="AE10" s="104">
        <f>'Datu ievade'!AE407</f>
        <v>7.5</v>
      </c>
      <c r="AF10" s="104">
        <f>'Datu ievade'!AF407</f>
        <v>7.5</v>
      </c>
      <c r="AG10" s="104">
        <f>'Datu ievade'!AG407</f>
        <v>7.5</v>
      </c>
    </row>
    <row r="11" spans="1:33" s="208" customFormat="1" ht="14.25" customHeight="1">
      <c r="A11" s="419" t="s">
        <v>539</v>
      </c>
      <c r="B11" s="441">
        <f>IF(B$16&gt;='Datu ievade'!$B$30,'Datu ievade'!B387*(1+'Datu ievade'!C429),'Datu ievade'!B383*(1+'Datu ievade'!C429))</f>
        <v>0.366</v>
      </c>
      <c r="C11" s="441">
        <f>IF(C$16&gt;='Datu ievade'!$B$30,'Datu ievade'!C387*(1+'Datu ievade'!D429),'Datu ievade'!C383*(1+'Datu ievade'!D429))</f>
        <v>0.366</v>
      </c>
      <c r="D11" s="441">
        <f>IF(D$16&gt;='Datu ievade'!$B$30,'Datu ievade'!D387*(1+'Datu ievade'!E429),'Datu ievade'!D383*(1+'Datu ievade'!E429))</f>
        <v>0.38552</v>
      </c>
      <c r="E11" s="441">
        <f>IF(E$16&gt;='Datu ievade'!$B$30,'Datu ievade'!E387*(1+'Datu ievade'!F429),'Datu ievade'!E383*(1+'Datu ievade'!F429))</f>
        <v>0.51972</v>
      </c>
      <c r="F11" s="441">
        <f>IF(F$16&gt;='Datu ievade'!$B$30,'Datu ievade'!F387*(1+'Datu ievade'!G429),'Datu ievade'!F383*(1+'Datu ievade'!G429))</f>
        <v>0.52216</v>
      </c>
      <c r="G11" s="441">
        <f>IF(G$16&gt;='Datu ievade'!$B$30,'Datu ievade'!G387*(1+'Datu ievade'!H429),'Datu ievade'!G383*(1+'Datu ievade'!H429))</f>
        <v>0.52826</v>
      </c>
      <c r="H11" s="441">
        <f>IF(H$16&gt;='Datu ievade'!$B$30,'Datu ievade'!H387*(1+'Datu ievade'!I429),'Datu ievade'!H383*(1+'Datu ievade'!I429))</f>
        <v>0.5367999999999999</v>
      </c>
      <c r="I11" s="441">
        <f>IF(I$16&gt;='Datu ievade'!$B$30,'Datu ievade'!I387*(1+'Datu ievade'!J429),'Datu ievade'!I383*(1+'Datu ievade'!J429))</f>
        <v>0.54534</v>
      </c>
      <c r="J11" s="441">
        <f>IF(J$16&gt;='Datu ievade'!$B$30,'Datu ievade'!J387*(1+'Datu ievade'!K429),'Datu ievade'!J383*(1+'Datu ievade'!K429))</f>
        <v>0.54656</v>
      </c>
      <c r="K11" s="441">
        <f>IF(K$16&gt;='Datu ievade'!$B$30,'Datu ievade'!K387*(1+'Datu ievade'!L429),'Datu ievade'!K383*(1+'Datu ievade'!L429))</f>
        <v>0.5551</v>
      </c>
      <c r="L11" s="441">
        <f>IF(L$16&gt;='Datu ievade'!$B$30,'Datu ievade'!L387*(1+'Datu ievade'!M429),'Datu ievade'!L383*(1+'Datu ievade'!M429))</f>
        <v>0.55876</v>
      </c>
      <c r="M11" s="441">
        <f>IF(M$16&gt;='Datu ievade'!$B$30,'Datu ievade'!M387*(1+'Datu ievade'!N429),'Datu ievade'!M383*(1+'Datu ievade'!N429))</f>
        <v>0.5673</v>
      </c>
      <c r="N11" s="441">
        <f>IF(N$16&gt;='Datu ievade'!$B$30,'Datu ievade'!N387*(1+'Datu ievade'!O429),'Datu ievade'!N383*(1+'Datu ievade'!O429))</f>
        <v>0.5758399999999999</v>
      </c>
      <c r="O11" s="441">
        <f>IF(O$16&gt;='Datu ievade'!$B$30,'Datu ievade'!O387*(1+'Datu ievade'!P429),'Datu ievade'!O383*(1+'Datu ievade'!P429))</f>
        <v>0.5770599999999999</v>
      </c>
      <c r="P11" s="441">
        <f>IF(P$16&gt;='Datu ievade'!$B$30,'Datu ievade'!P387*(1+'Datu ievade'!Q429),'Datu ievade'!P383*(1+'Datu ievade'!Q429))</f>
        <v>0.5856</v>
      </c>
      <c r="Q11" s="441">
        <f>IF(Q$16&gt;='Datu ievade'!$B$30,'Datu ievade'!Q387*(1+'Datu ievade'!R429),'Datu ievade'!Q383*(1+'Datu ievade'!R429))</f>
        <v>0.59414</v>
      </c>
      <c r="R11" s="441">
        <f>IF(R$16&gt;='Datu ievade'!$B$30,'Datu ievade'!R387*(1+'Datu ievade'!S429),'Datu ievade'!R383*(1+'Datu ievade'!S429))</f>
        <v>0.6039</v>
      </c>
      <c r="S11" s="441">
        <f>IF(S$16&gt;='Datu ievade'!$B$30,'Datu ievade'!S387*(1+'Datu ievade'!T429),'Datu ievade'!S383*(1+'Datu ievade'!T429))</f>
        <v>0.61244</v>
      </c>
      <c r="T11" s="441">
        <f>IF(T$16&gt;='Datu ievade'!$B$30,'Datu ievade'!T387*(1+'Datu ievade'!U429),'Datu ievade'!T383*(1+'Datu ievade'!U429))</f>
        <v>0.62586</v>
      </c>
      <c r="U11" s="441">
        <f>IF(U$16&gt;='Datu ievade'!$B$30,'Datu ievade'!U387*(1+'Datu ievade'!V429),'Datu ievade'!U383*(1+'Datu ievade'!V429))</f>
        <v>0.62952</v>
      </c>
      <c r="V11" s="441">
        <f>IF(V$16&gt;='Datu ievade'!$B$30,'Datu ievade'!V387*(1+'Datu ievade'!W429),'Datu ievade'!V383*(1+'Datu ievade'!W429))</f>
        <v>0.6405</v>
      </c>
      <c r="W11" s="441">
        <f>IF(W$16&gt;='Datu ievade'!$B$30,'Datu ievade'!W387*(1+'Datu ievade'!X429),'Datu ievade'!W383*(1+'Datu ievade'!X429))</f>
        <v>0.6453800000000001</v>
      </c>
      <c r="X11" s="441">
        <f>IF(X$16&gt;='Datu ievade'!$B$30,'Datu ievade'!X387*(1+'Datu ievade'!Y429),'Datu ievade'!X383*(1+'Datu ievade'!Y429))</f>
        <v>0.6502600000000001</v>
      </c>
      <c r="Y11" s="441">
        <f>IF(Y$16&gt;='Datu ievade'!$B$30,'Datu ievade'!Y387*(1+'Datu ievade'!Z429),'Datu ievade'!Y383*(1+'Datu ievade'!Z429))</f>
        <v>0.6551400000000001</v>
      </c>
      <c r="Z11" s="441">
        <f>IF(Z$16&gt;='Datu ievade'!$B$30,'Datu ievade'!Z387*(1+'Datu ievade'!AA429),'Datu ievade'!Z383*(1+'Datu ievade'!AA429))</f>
        <v>0.66002</v>
      </c>
      <c r="AA11" s="441">
        <f>IF(AA$16&gt;='Datu ievade'!$B$30,'Datu ievade'!AA387*(1+'Datu ievade'!AB429),'Datu ievade'!AA383*(1+'Datu ievade'!AB429))</f>
        <v>0.66368</v>
      </c>
      <c r="AB11" s="441">
        <f>IF(AB$16&gt;='Datu ievade'!$B$30,'Datu ievade'!AB387*(1+'Datu ievade'!AC429),'Datu ievade'!AB383*(1+'Datu ievade'!AC429))</f>
        <v>0.66856</v>
      </c>
      <c r="AC11" s="441">
        <f>IF(AC$16&gt;='Datu ievade'!$B$30,'Datu ievade'!AC387*(1+'Datu ievade'!AD429),'Datu ievade'!AC383*(1+'Datu ievade'!AD429))</f>
        <v>0.67344</v>
      </c>
      <c r="AD11" s="441">
        <f>IF(AD$16&gt;='Datu ievade'!$B$30,'Datu ievade'!AD387*(1+'Datu ievade'!AE429),'Datu ievade'!AD383*(1+'Datu ievade'!AE429))</f>
        <v>0.67832</v>
      </c>
      <c r="AE11" s="441">
        <f>IF(AE$16&gt;='Datu ievade'!$B$30,'Datu ievade'!AE387*(1+'Datu ievade'!AF429),'Datu ievade'!AE383*(1+'Datu ievade'!AF429))</f>
        <v>0.6832</v>
      </c>
      <c r="AF11" s="441">
        <f>IF(AF$16&gt;='Datu ievade'!$B$30,'Datu ievade'!AF387*(1+'Datu ievade'!AG429),'Datu ievade'!AF383*(1+'Datu ievade'!AG429))</f>
        <v>0.6917399999999999</v>
      </c>
      <c r="AG11" s="441">
        <f>IF(AG$16&gt;='Datu ievade'!$B$30,'Datu ievade'!AG387*(1+'Datu ievade'!AH429),'Datu ievade'!AG383*(1+'Datu ievade'!AH429))</f>
        <v>0.7002799999999999</v>
      </c>
    </row>
    <row r="12" spans="1:33" s="155" customFormat="1" ht="14.25" customHeight="1">
      <c r="A12" s="101" t="s">
        <v>196</v>
      </c>
      <c r="B12" s="104">
        <f>B11*B10</f>
        <v>3.0195</v>
      </c>
      <c r="C12" s="104">
        <f aca="true" t="shared" si="2" ref="C12:AG12">C11*C10</f>
        <v>3.0195</v>
      </c>
      <c r="D12" s="104">
        <f t="shared" si="2"/>
        <v>2.8914</v>
      </c>
      <c r="E12" s="104">
        <f t="shared" si="2"/>
        <v>3.8979</v>
      </c>
      <c r="F12" s="104">
        <f t="shared" si="2"/>
        <v>3.9162</v>
      </c>
      <c r="G12" s="104">
        <f t="shared" si="2"/>
        <v>3.96195</v>
      </c>
      <c r="H12" s="104">
        <f t="shared" si="2"/>
        <v>4.026</v>
      </c>
      <c r="I12" s="104">
        <f t="shared" si="2"/>
        <v>4.090050000000001</v>
      </c>
      <c r="J12" s="104">
        <f t="shared" si="2"/>
        <v>4.099200000000001</v>
      </c>
      <c r="K12" s="104">
        <f t="shared" si="2"/>
        <v>4.163250000000001</v>
      </c>
      <c r="L12" s="104">
        <f t="shared" si="2"/>
        <v>4.1907000000000005</v>
      </c>
      <c r="M12" s="104">
        <f t="shared" si="2"/>
        <v>4.2547500000000005</v>
      </c>
      <c r="N12" s="104">
        <f t="shared" si="2"/>
        <v>4.3187999999999995</v>
      </c>
      <c r="O12" s="104">
        <f t="shared" si="2"/>
        <v>4.3279499999999995</v>
      </c>
      <c r="P12" s="104">
        <f t="shared" si="2"/>
        <v>4.392</v>
      </c>
      <c r="Q12" s="104">
        <f t="shared" si="2"/>
        <v>4.45605</v>
      </c>
      <c r="R12" s="104">
        <f t="shared" si="2"/>
        <v>4.52925</v>
      </c>
      <c r="S12" s="104">
        <f t="shared" si="2"/>
        <v>4.5933</v>
      </c>
      <c r="T12" s="104">
        <f t="shared" si="2"/>
        <v>4.69395</v>
      </c>
      <c r="U12" s="104">
        <f t="shared" si="2"/>
        <v>4.7214</v>
      </c>
      <c r="V12" s="104">
        <f t="shared" si="2"/>
        <v>4.80375</v>
      </c>
      <c r="W12" s="104">
        <f t="shared" si="2"/>
        <v>4.840350000000001</v>
      </c>
      <c r="X12" s="104">
        <f t="shared" si="2"/>
        <v>4.876950000000001</v>
      </c>
      <c r="Y12" s="104">
        <f t="shared" si="2"/>
        <v>4.913550000000001</v>
      </c>
      <c r="Z12" s="104">
        <f t="shared" si="2"/>
        <v>4.950150000000001</v>
      </c>
      <c r="AA12" s="104">
        <f t="shared" si="2"/>
        <v>4.977600000000001</v>
      </c>
      <c r="AB12" s="104">
        <f t="shared" si="2"/>
        <v>5.014200000000001</v>
      </c>
      <c r="AC12" s="104">
        <f t="shared" si="2"/>
        <v>5.050800000000001</v>
      </c>
      <c r="AD12" s="104">
        <f t="shared" si="2"/>
        <v>5.087400000000001</v>
      </c>
      <c r="AE12" s="104">
        <f t="shared" si="2"/>
        <v>5.1240000000000006</v>
      </c>
      <c r="AF12" s="104">
        <f t="shared" si="2"/>
        <v>5.18805</v>
      </c>
      <c r="AG12" s="104">
        <f t="shared" si="2"/>
        <v>5.2520999999999995</v>
      </c>
    </row>
    <row r="13" spans="1:33" ht="14.25" customHeight="1">
      <c r="A13" s="101" t="s">
        <v>197</v>
      </c>
      <c r="B13" s="283">
        <f aca="true" t="shared" si="3" ref="B13:AG13">SUM(B9,B12)</f>
        <v>5.0325</v>
      </c>
      <c r="C13" s="100">
        <f t="shared" si="3"/>
        <v>5.0325</v>
      </c>
      <c r="D13" s="100">
        <f t="shared" si="3"/>
        <v>4.73055</v>
      </c>
      <c r="E13" s="100">
        <f t="shared" si="3"/>
        <v>6.7161</v>
      </c>
      <c r="F13" s="100">
        <f t="shared" si="3"/>
        <v>6.78015</v>
      </c>
      <c r="G13" s="100">
        <f t="shared" si="3"/>
        <v>6.83505</v>
      </c>
      <c r="H13" s="100">
        <f t="shared" si="3"/>
        <v>6.9174</v>
      </c>
      <c r="I13" s="100">
        <f t="shared" si="3"/>
        <v>7.027200000000001</v>
      </c>
      <c r="J13" s="100">
        <f t="shared" si="3"/>
        <v>7.0821000000000005</v>
      </c>
      <c r="K13" s="100">
        <f t="shared" si="3"/>
        <v>7.16445</v>
      </c>
      <c r="L13" s="100">
        <f t="shared" si="3"/>
        <v>7.2651</v>
      </c>
      <c r="M13" s="100">
        <f t="shared" si="3"/>
        <v>7.36575</v>
      </c>
      <c r="N13" s="100">
        <f t="shared" si="3"/>
        <v>7.475549999999999</v>
      </c>
      <c r="O13" s="100">
        <f t="shared" si="3"/>
        <v>7.502999999999999</v>
      </c>
      <c r="P13" s="100">
        <f t="shared" si="3"/>
        <v>7.5945</v>
      </c>
      <c r="Q13" s="100">
        <f t="shared" si="3"/>
        <v>7.7043</v>
      </c>
      <c r="R13" s="100">
        <f t="shared" si="3"/>
        <v>7.82325</v>
      </c>
      <c r="S13" s="100">
        <f t="shared" si="3"/>
        <v>7.98795</v>
      </c>
      <c r="T13" s="100">
        <f t="shared" si="3"/>
        <v>8.134350000000001</v>
      </c>
      <c r="U13" s="100">
        <f t="shared" si="3"/>
        <v>8.1801</v>
      </c>
      <c r="V13" s="100">
        <f t="shared" si="3"/>
        <v>8.2899</v>
      </c>
      <c r="W13" s="100">
        <f t="shared" si="3"/>
        <v>8.344800000000001</v>
      </c>
      <c r="X13" s="100">
        <f t="shared" si="3"/>
        <v>8.399700000000001</v>
      </c>
      <c r="Y13" s="100">
        <f t="shared" si="3"/>
        <v>8.463750000000001</v>
      </c>
      <c r="Z13" s="100">
        <f t="shared" si="3"/>
        <v>8.518650000000001</v>
      </c>
      <c r="AA13" s="100">
        <f t="shared" si="3"/>
        <v>8.573550000000001</v>
      </c>
      <c r="AB13" s="100">
        <f t="shared" si="3"/>
        <v>8.66505</v>
      </c>
      <c r="AC13" s="100">
        <f t="shared" si="3"/>
        <v>8.7291</v>
      </c>
      <c r="AD13" s="100">
        <f t="shared" si="3"/>
        <v>8.7474</v>
      </c>
      <c r="AE13" s="100">
        <f t="shared" si="3"/>
        <v>8.84805</v>
      </c>
      <c r="AF13" s="100">
        <f t="shared" si="3"/>
        <v>8.97615</v>
      </c>
      <c r="AG13" s="100">
        <f t="shared" si="3"/>
        <v>9.076799999999999</v>
      </c>
    </row>
    <row r="14" spans="1:33" ht="14.25" customHeight="1">
      <c r="A14" s="101" t="s">
        <v>198</v>
      </c>
      <c r="B14" s="102">
        <f>IF(B6=0,0,B13/B6)</f>
        <v>0.0216219119226638</v>
      </c>
      <c r="C14" s="102">
        <f aca="true" t="shared" si="4" ref="C14:AG14">IF(C6=0,0,C13/C6)</f>
        <v>0.021197952865356667</v>
      </c>
      <c r="D14" s="102">
        <f t="shared" si="4"/>
        <v>0.019542881930099974</v>
      </c>
      <c r="E14" s="102">
        <f t="shared" si="4"/>
        <v>0.027222098372616178</v>
      </c>
      <c r="F14" s="102">
        <f t="shared" si="4"/>
        <v>0.026972789115646257</v>
      </c>
      <c r="G14" s="102">
        <f t="shared" si="4"/>
        <v>0.026696806952446046</v>
      </c>
      <c r="H14" s="102">
        <f t="shared" si="4"/>
        <v>0.0265359828141783</v>
      </c>
      <c r="I14" s="102">
        <f t="shared" si="4"/>
        <v>0.026484255752162365</v>
      </c>
      <c r="J14" s="102">
        <f t="shared" si="4"/>
        <v>0.026230971517463612</v>
      </c>
      <c r="K14" s="102">
        <f t="shared" si="4"/>
        <v>0.02608622039359901</v>
      </c>
      <c r="L14" s="102">
        <f t="shared" si="4"/>
        <v>0.026011815252416755</v>
      </c>
      <c r="M14" s="102">
        <f t="shared" si="4"/>
        <v>0.02593984962406015</v>
      </c>
      <c r="N14" s="102">
        <f t="shared" si="4"/>
        <v>0.025901909150757074</v>
      </c>
      <c r="O14" s="102">
        <f t="shared" si="4"/>
        <v>0.025584369085980257</v>
      </c>
      <c r="P14" s="102">
        <f t="shared" si="4"/>
        <v>0.025294132340818825</v>
      </c>
      <c r="Q14" s="102">
        <f t="shared" si="4"/>
        <v>0.02507665267063763</v>
      </c>
      <c r="R14" s="102">
        <f t="shared" si="4"/>
        <v>0.024897959183673466</v>
      </c>
      <c r="S14" s="102">
        <f t="shared" si="4"/>
        <v>0.024869471816186428</v>
      </c>
      <c r="T14" s="102">
        <f t="shared" si="4"/>
        <v>0.02478643417053272</v>
      </c>
      <c r="U14" s="102">
        <f t="shared" si="4"/>
        <v>0.02440655209452202</v>
      </c>
      <c r="V14" s="102">
        <f t="shared" si="4"/>
        <v>0.024229378109998027</v>
      </c>
      <c r="W14" s="102">
        <f t="shared" si="4"/>
        <v>0.023902040816326534</v>
      </c>
      <c r="X14" s="102">
        <f t="shared" si="4"/>
        <v>0.023587540279269605</v>
      </c>
      <c r="Y14" s="102">
        <f t="shared" si="4"/>
        <v>0.023310336280261093</v>
      </c>
      <c r="Z14" s="102">
        <f t="shared" si="4"/>
        <v>0.023018867924528306</v>
      </c>
      <c r="AA14" s="102">
        <f t="shared" si="4"/>
        <v>0.022738194693081915</v>
      </c>
      <c r="AB14" s="102">
        <f t="shared" si="4"/>
        <v>0.0225630309540084</v>
      </c>
      <c r="AC14" s="102">
        <f t="shared" si="4"/>
        <v>0.02232392205002302</v>
      </c>
      <c r="AD14" s="102">
        <f t="shared" si="4"/>
        <v>0.021978253905440295</v>
      </c>
      <c r="AE14" s="102">
        <f t="shared" si="4"/>
        <v>0.02184784621652654</v>
      </c>
      <c r="AF14" s="102">
        <f t="shared" si="4"/>
        <v>0.02178849059695243</v>
      </c>
      <c r="AG14" s="102">
        <f t="shared" si="4"/>
        <v>0.021545893146441474</v>
      </c>
    </row>
    <row r="15" spans="2:21" ht="11.25">
      <c r="B15" s="103"/>
      <c r="C15" s="103"/>
      <c r="D15" s="103"/>
      <c r="E15" s="103"/>
      <c r="F15" s="103"/>
      <c r="G15" s="103"/>
      <c r="H15" s="103"/>
      <c r="I15" s="103"/>
      <c r="J15" s="103"/>
      <c r="K15" s="103"/>
      <c r="L15" s="103"/>
      <c r="M15" s="103"/>
      <c r="N15" s="103"/>
      <c r="O15" s="103"/>
      <c r="P15" s="103"/>
      <c r="Q15" s="103"/>
      <c r="R15" s="103"/>
      <c r="S15" s="103"/>
      <c r="T15" s="103"/>
      <c r="U15" s="103"/>
    </row>
    <row r="16" spans="1:33" ht="25.5">
      <c r="A16" s="99" t="str">
        <f>"Pie ierobežota tarifu apjoma, kas nepārsniedz "&amp;'Datu ievade'!B41*100&amp;"% no mājsaimniecību ienākumiem"</f>
        <v>Pie ierobežota tarifu apjoma, kas nepārsniedz 4% no mājsaimniecību ienākumiem</v>
      </c>
      <c r="B16" s="92">
        <f>Aprekini!B5</f>
        <v>2011</v>
      </c>
      <c r="C16" s="92">
        <f aca="true" t="shared" si="5" ref="C16:AG16">B16+1</f>
        <v>2012</v>
      </c>
      <c r="D16" s="92">
        <f t="shared" si="5"/>
        <v>2013</v>
      </c>
      <c r="E16" s="92">
        <f t="shared" si="5"/>
        <v>2014</v>
      </c>
      <c r="F16" s="92">
        <f t="shared" si="5"/>
        <v>2015</v>
      </c>
      <c r="G16" s="92">
        <f t="shared" si="5"/>
        <v>2016</v>
      </c>
      <c r="H16" s="92">
        <f t="shared" si="5"/>
        <v>2017</v>
      </c>
      <c r="I16" s="92">
        <f t="shared" si="5"/>
        <v>2018</v>
      </c>
      <c r="J16" s="92">
        <f t="shared" si="5"/>
        <v>2019</v>
      </c>
      <c r="K16" s="92">
        <f t="shared" si="5"/>
        <v>2020</v>
      </c>
      <c r="L16" s="92">
        <f t="shared" si="5"/>
        <v>2021</v>
      </c>
      <c r="M16" s="92">
        <f t="shared" si="5"/>
        <v>2022</v>
      </c>
      <c r="N16" s="92">
        <f t="shared" si="5"/>
        <v>2023</v>
      </c>
      <c r="O16" s="92">
        <f t="shared" si="5"/>
        <v>2024</v>
      </c>
      <c r="P16" s="92">
        <f t="shared" si="5"/>
        <v>2025</v>
      </c>
      <c r="Q16" s="92">
        <f t="shared" si="5"/>
        <v>2026</v>
      </c>
      <c r="R16" s="92">
        <f t="shared" si="5"/>
        <v>2027</v>
      </c>
      <c r="S16" s="92">
        <f t="shared" si="5"/>
        <v>2028</v>
      </c>
      <c r="T16" s="92">
        <f t="shared" si="5"/>
        <v>2029</v>
      </c>
      <c r="U16" s="92">
        <f t="shared" si="5"/>
        <v>2030</v>
      </c>
      <c r="V16" s="92">
        <f t="shared" si="5"/>
        <v>2031</v>
      </c>
      <c r="W16" s="92">
        <f t="shared" si="5"/>
        <v>2032</v>
      </c>
      <c r="X16" s="92">
        <f t="shared" si="5"/>
        <v>2033</v>
      </c>
      <c r="Y16" s="92">
        <f t="shared" si="5"/>
        <v>2034</v>
      </c>
      <c r="Z16" s="92">
        <f t="shared" si="5"/>
        <v>2035</v>
      </c>
      <c r="AA16" s="92">
        <f t="shared" si="5"/>
        <v>2036</v>
      </c>
      <c r="AB16" s="92">
        <f t="shared" si="5"/>
        <v>2037</v>
      </c>
      <c r="AC16" s="92">
        <f t="shared" si="5"/>
        <v>2038</v>
      </c>
      <c r="AD16" s="92">
        <f t="shared" si="5"/>
        <v>2039</v>
      </c>
      <c r="AE16" s="92">
        <f t="shared" si="5"/>
        <v>2040</v>
      </c>
      <c r="AF16" s="92">
        <f t="shared" si="5"/>
        <v>2041</v>
      </c>
      <c r="AG16" s="93">
        <f t="shared" si="5"/>
        <v>2042</v>
      </c>
    </row>
    <row r="17" spans="1:33" s="155" customFormat="1" ht="14.25" customHeight="1">
      <c r="A17" s="101" t="str">
        <f aca="true" t="shared" si="6" ref="A17:A25">A6</f>
        <v>11.1.Vidējie mājsaimniecības mēneša ienākumi (LVL)</v>
      </c>
      <c r="B17" s="104">
        <f>'Datu ievade'!B404</f>
        <v>232.75</v>
      </c>
      <c r="C17" s="104">
        <f>'Datu ievade'!C404</f>
        <v>237.405</v>
      </c>
      <c r="D17" s="104">
        <f>'Datu ievade'!D404</f>
        <v>242.06</v>
      </c>
      <c r="E17" s="104">
        <f>'Datu ievade'!E404</f>
        <v>246.715</v>
      </c>
      <c r="F17" s="104">
        <f>'Datu ievade'!F404</f>
        <v>251.37</v>
      </c>
      <c r="G17" s="104">
        <f>'Datu ievade'!G404</f>
        <v>256.02500000000003</v>
      </c>
      <c r="H17" s="104">
        <f>'Datu ievade'!H404</f>
        <v>260.68</v>
      </c>
      <c r="I17" s="104">
        <f>'Datu ievade'!I404</f>
        <v>265.335</v>
      </c>
      <c r="J17" s="104">
        <f>'Datu ievade'!J404</f>
        <v>269.99</v>
      </c>
      <c r="K17" s="104">
        <f>'Datu ievade'!K404</f>
        <v>274.645</v>
      </c>
      <c r="L17" s="104">
        <f>'Datu ievade'!L404</f>
        <v>279.3</v>
      </c>
      <c r="M17" s="104">
        <f>'Datu ievade'!M404</f>
        <v>283.955</v>
      </c>
      <c r="N17" s="104">
        <f>'Datu ievade'!N404</f>
        <v>288.61</v>
      </c>
      <c r="O17" s="104">
        <f>'Datu ievade'!O404</f>
        <v>293.265</v>
      </c>
      <c r="P17" s="104">
        <f>'Datu ievade'!P404</f>
        <v>300.2475</v>
      </c>
      <c r="Q17" s="104">
        <f>'Datu ievade'!Q404</f>
        <v>307.23</v>
      </c>
      <c r="R17" s="104">
        <f>'Datu ievade'!R404</f>
        <v>314.21250000000003</v>
      </c>
      <c r="S17" s="104">
        <f>'Datu ievade'!S404</f>
        <v>321.195</v>
      </c>
      <c r="T17" s="104">
        <f>'Datu ievade'!T404</f>
        <v>328.1775</v>
      </c>
      <c r="U17" s="104">
        <f>'Datu ievade'!U404</f>
        <v>335.15999999999997</v>
      </c>
      <c r="V17" s="104">
        <f>'Datu ievade'!V404</f>
        <v>342.1425</v>
      </c>
      <c r="W17" s="104">
        <f>'Datu ievade'!W404</f>
        <v>349.125</v>
      </c>
      <c r="X17" s="104">
        <f>'Datu ievade'!X404</f>
        <v>356.1075</v>
      </c>
      <c r="Y17" s="104">
        <f>'Datu ievade'!Y404</f>
        <v>363.09000000000003</v>
      </c>
      <c r="Z17" s="104">
        <f>'Datu ievade'!Z404</f>
        <v>370.0725</v>
      </c>
      <c r="AA17" s="104">
        <f>'Datu ievade'!AA404</f>
        <v>377.055</v>
      </c>
      <c r="AB17" s="104">
        <f>'Datu ievade'!AB404</f>
        <v>384.03749999999997</v>
      </c>
      <c r="AC17" s="104">
        <f>'Datu ievade'!AC404</f>
        <v>391.02</v>
      </c>
      <c r="AD17" s="104">
        <f>'Datu ievade'!AD404</f>
        <v>398.0025</v>
      </c>
      <c r="AE17" s="104">
        <f>'Datu ievade'!AE404</f>
        <v>404.985</v>
      </c>
      <c r="AF17" s="104">
        <f>'Datu ievade'!AF404</f>
        <v>411.96750000000003</v>
      </c>
      <c r="AG17" s="104">
        <f>'Datu ievade'!AG404</f>
        <v>421.27750000000003</v>
      </c>
    </row>
    <row r="18" spans="1:33" s="155" customFormat="1" ht="13.5" customHeight="1">
      <c r="A18" s="101" t="str">
        <f t="shared" si="6"/>
        <v>11.2. Ūdens patēriņš (m3/uz mājsaimniecību mēnesī)</v>
      </c>
      <c r="B18" s="104">
        <f>'Datu ievade'!B405</f>
        <v>8.25</v>
      </c>
      <c r="C18" s="104">
        <f>'Datu ievade'!C405</f>
        <v>8.25</v>
      </c>
      <c r="D18" s="104">
        <f>'Datu ievade'!D405</f>
        <v>7.5</v>
      </c>
      <c r="E18" s="104">
        <f>'Datu ievade'!E405</f>
        <v>7.5</v>
      </c>
      <c r="F18" s="104">
        <f>'Datu ievade'!F405</f>
        <v>7.5</v>
      </c>
      <c r="G18" s="104">
        <f>'Datu ievade'!G405</f>
        <v>7.5</v>
      </c>
      <c r="H18" s="104">
        <f>'Datu ievade'!H405</f>
        <v>7.5</v>
      </c>
      <c r="I18" s="104">
        <f>'Datu ievade'!I405</f>
        <v>7.5</v>
      </c>
      <c r="J18" s="104">
        <f>'Datu ievade'!J405</f>
        <v>7.5</v>
      </c>
      <c r="K18" s="104">
        <f>'Datu ievade'!K405</f>
        <v>7.5</v>
      </c>
      <c r="L18" s="104">
        <f>'Datu ievade'!L405</f>
        <v>7.5</v>
      </c>
      <c r="M18" s="104">
        <f>'Datu ievade'!M405</f>
        <v>7.5</v>
      </c>
      <c r="N18" s="104">
        <f>'Datu ievade'!N405</f>
        <v>7.5</v>
      </c>
      <c r="O18" s="104">
        <f>'Datu ievade'!O405</f>
        <v>7.5</v>
      </c>
      <c r="P18" s="104">
        <f>'Datu ievade'!P405</f>
        <v>7.5</v>
      </c>
      <c r="Q18" s="104">
        <f>'Datu ievade'!Q405</f>
        <v>7.5</v>
      </c>
      <c r="R18" s="104">
        <f>'Datu ievade'!R405</f>
        <v>7.5</v>
      </c>
      <c r="S18" s="104">
        <f>'Datu ievade'!S405</f>
        <v>7.5</v>
      </c>
      <c r="T18" s="104">
        <f>'Datu ievade'!T405</f>
        <v>7.5</v>
      </c>
      <c r="U18" s="104">
        <f>'Datu ievade'!U405</f>
        <v>7.5</v>
      </c>
      <c r="V18" s="104">
        <f>'Datu ievade'!V405</f>
        <v>7.5</v>
      </c>
      <c r="W18" s="104">
        <f>'Datu ievade'!W405</f>
        <v>7.5</v>
      </c>
      <c r="X18" s="104">
        <f>'Datu ievade'!X405</f>
        <v>7.5</v>
      </c>
      <c r="Y18" s="104">
        <f>'Datu ievade'!Y405</f>
        <v>7.5</v>
      </c>
      <c r="Z18" s="104">
        <f>'Datu ievade'!Z405</f>
        <v>7.5</v>
      </c>
      <c r="AA18" s="104">
        <f>'Datu ievade'!AA405</f>
        <v>7.5</v>
      </c>
      <c r="AB18" s="104">
        <f>'Datu ievade'!AB405</f>
        <v>7.5</v>
      </c>
      <c r="AC18" s="104">
        <f>'Datu ievade'!AC405</f>
        <v>7.5</v>
      </c>
      <c r="AD18" s="104">
        <f>'Datu ievade'!AD405</f>
        <v>7.5</v>
      </c>
      <c r="AE18" s="104">
        <f>'Datu ievade'!AE405</f>
        <v>7.5</v>
      </c>
      <c r="AF18" s="104">
        <f>'Datu ievade'!AF405</f>
        <v>7.5</v>
      </c>
      <c r="AG18" s="104">
        <f>'Datu ievade'!AG405</f>
        <v>7.5</v>
      </c>
    </row>
    <row r="19" spans="1:33" s="155" customFormat="1" ht="13.5" customHeight="1">
      <c r="A19" s="101" t="str">
        <f t="shared" si="6"/>
        <v>11.3. Ūdensapgādes tarifs (LVL/m3), iesk. PVN 22%</v>
      </c>
      <c r="B19" s="283">
        <f>'Datu ievade'!B376*(1+'Datu ievade'!B429)</f>
        <v>0.244</v>
      </c>
      <c r="C19" s="283">
        <f>'Datu ievade'!C376*(1+'Datu ievade'!C429)</f>
        <v>0.244</v>
      </c>
      <c r="D19" s="283">
        <f>'Datu ievade'!D376*(1+'Datu ievade'!D429)</f>
        <v>0.24522000000000002</v>
      </c>
      <c r="E19" s="283">
        <f>'Datu ievade'!E376*(1+'Datu ievade'!E429)</f>
        <v>0.37576</v>
      </c>
      <c r="F19" s="283">
        <f>'Datu ievade'!F376*(1+'Datu ievade'!F429)</f>
        <v>0.38186</v>
      </c>
      <c r="G19" s="283">
        <f>'Datu ievade'!G376*(1+'Datu ievade'!G429)</f>
        <v>0.38308</v>
      </c>
      <c r="H19" s="283">
        <f>'Datu ievade'!H376*(1+'Datu ievade'!H429)</f>
        <v>0.38552</v>
      </c>
      <c r="I19" s="283">
        <f>'Datu ievade'!I376*(1+'Datu ievade'!I429)</f>
        <v>0.39162</v>
      </c>
      <c r="J19" s="283">
        <f>'Datu ievade'!J376*(1+'Datu ievade'!J429)</f>
        <v>0.39772</v>
      </c>
      <c r="K19" s="283">
        <f>'Datu ievade'!K376*(1+'Datu ievade'!K429)</f>
        <v>0.40015999999999996</v>
      </c>
      <c r="L19" s="283">
        <f>'Datu ievade'!L376*(1+'Datu ievade'!L429)</f>
        <v>0.40991999999999995</v>
      </c>
      <c r="M19" s="283">
        <f>'Datu ievade'!M376*(1+'Datu ievade'!M429)</f>
        <v>0.4148</v>
      </c>
      <c r="N19" s="283">
        <f>'Datu ievade'!N376*(1+'Datu ievade'!N429)</f>
        <v>0.42089999999999994</v>
      </c>
      <c r="O19" s="283">
        <f>'Datu ievade'!O376*(1+'Datu ievade'!O429)</f>
        <v>0.42333999999999994</v>
      </c>
      <c r="P19" s="283">
        <f>'Datu ievade'!P376*(1+'Datu ievade'!P429)</f>
        <v>0.427</v>
      </c>
      <c r="Q19" s="283">
        <f>'Datu ievade'!Q376*(1+'Datu ievade'!Q429)</f>
        <v>0.4330999999999999</v>
      </c>
      <c r="R19" s="283">
        <f>'Datu ievade'!R376*(1+'Datu ievade'!R429)</f>
        <v>0.4391999999999999</v>
      </c>
      <c r="S19" s="283">
        <f>'Datu ievade'!S376*(1+'Datu ievade'!S429)</f>
        <v>0.4526199999999999</v>
      </c>
      <c r="T19" s="283">
        <f>'Datu ievade'!T376*(1+'Datu ievade'!T429)</f>
        <v>0.45872</v>
      </c>
      <c r="U19" s="283">
        <f>'Datu ievade'!U376*(1+'Datu ievade'!U429)</f>
        <v>0.4611599999999999</v>
      </c>
      <c r="V19" s="283">
        <f>'Datu ievade'!V376*(1+'Datu ievade'!V429)</f>
        <v>0.46481999999999996</v>
      </c>
      <c r="W19" s="283">
        <f>'Datu ievade'!W376*(1+'Datu ievade'!W429)</f>
        <v>0.46725999999999995</v>
      </c>
      <c r="X19" s="283">
        <f>'Datu ievade'!X376*(1+'Datu ievade'!X429)</f>
        <v>0.46970000000000006</v>
      </c>
      <c r="Y19" s="283">
        <f>'Datu ievade'!Y376*(1+'Datu ievade'!Y429)</f>
        <v>0.47336000000000006</v>
      </c>
      <c r="Z19" s="283">
        <f>'Datu ievade'!Z376*(1+'Datu ievade'!Z429)</f>
        <v>0.47580000000000006</v>
      </c>
      <c r="AA19" s="283">
        <f>'Datu ievade'!AA376*(1+'Datu ievade'!AA429)</f>
        <v>0.47946000000000005</v>
      </c>
      <c r="AB19" s="283">
        <f>'Datu ievade'!AB376*(1+'Datu ievade'!AB429)</f>
        <v>0.48678</v>
      </c>
      <c r="AC19" s="283">
        <f>'Datu ievade'!AC376*(1+'Datu ievade'!AC429)</f>
        <v>0.49044000000000004</v>
      </c>
      <c r="AD19" s="283">
        <f>'Datu ievade'!AD376*(1+'Datu ievade'!AD429)</f>
        <v>0.4880000000000001</v>
      </c>
      <c r="AE19" s="283">
        <f>'Datu ievade'!AE376*(1+'Datu ievade'!AE429)</f>
        <v>0.49654</v>
      </c>
      <c r="AF19" s="283">
        <f>'Datu ievade'!AF376*(1+'Datu ievade'!AF429)</f>
        <v>0.50508</v>
      </c>
      <c r="AG19" s="283">
        <f>'Datu ievade'!AG376*(1+'Datu ievade'!AG429)</f>
        <v>0.50996</v>
      </c>
    </row>
    <row r="20" spans="1:33" ht="13.5" customHeight="1">
      <c r="A20" s="54" t="str">
        <f t="shared" si="6"/>
        <v>11.4. Mājsaimniecības izdevumi ūdensapgādes pakalpojumiem mēnesī (LVL)</v>
      </c>
      <c r="B20" s="104">
        <f>B18*B19</f>
        <v>2.013</v>
      </c>
      <c r="C20" s="104">
        <f aca="true" t="shared" si="7" ref="C20:AG20">C18*C19</f>
        <v>2.013</v>
      </c>
      <c r="D20" s="104">
        <f t="shared" si="7"/>
        <v>1.83915</v>
      </c>
      <c r="E20" s="104">
        <f t="shared" si="7"/>
        <v>2.8182</v>
      </c>
      <c r="F20" s="104">
        <f t="shared" si="7"/>
        <v>2.86395</v>
      </c>
      <c r="G20" s="104">
        <f t="shared" si="7"/>
        <v>2.8731</v>
      </c>
      <c r="H20" s="104">
        <f t="shared" si="7"/>
        <v>2.8914</v>
      </c>
      <c r="I20" s="104">
        <f t="shared" si="7"/>
        <v>2.9371500000000004</v>
      </c>
      <c r="J20" s="104">
        <f t="shared" si="7"/>
        <v>2.9829000000000003</v>
      </c>
      <c r="K20" s="104">
        <f t="shared" si="7"/>
        <v>3.0012</v>
      </c>
      <c r="L20" s="104">
        <f t="shared" si="7"/>
        <v>3.0744</v>
      </c>
      <c r="M20" s="104">
        <f t="shared" si="7"/>
        <v>3.111</v>
      </c>
      <c r="N20" s="104">
        <f t="shared" si="7"/>
        <v>3.1567499999999997</v>
      </c>
      <c r="O20" s="104">
        <f t="shared" si="7"/>
        <v>3.1750499999999997</v>
      </c>
      <c r="P20" s="104">
        <f t="shared" si="7"/>
        <v>3.2025</v>
      </c>
      <c r="Q20" s="104">
        <f t="shared" si="7"/>
        <v>3.248249999999999</v>
      </c>
      <c r="R20" s="104">
        <f t="shared" si="7"/>
        <v>3.2939999999999996</v>
      </c>
      <c r="S20" s="104">
        <f t="shared" si="7"/>
        <v>3.3946499999999995</v>
      </c>
      <c r="T20" s="104">
        <f t="shared" si="7"/>
        <v>3.4404000000000003</v>
      </c>
      <c r="U20" s="104">
        <f t="shared" si="7"/>
        <v>3.4586999999999994</v>
      </c>
      <c r="V20" s="104">
        <f t="shared" si="7"/>
        <v>3.48615</v>
      </c>
      <c r="W20" s="104">
        <f t="shared" si="7"/>
        <v>3.50445</v>
      </c>
      <c r="X20" s="104">
        <f t="shared" si="7"/>
        <v>3.5227500000000003</v>
      </c>
      <c r="Y20" s="104">
        <f t="shared" si="7"/>
        <v>3.5502000000000002</v>
      </c>
      <c r="Z20" s="104">
        <f t="shared" si="7"/>
        <v>3.5685000000000002</v>
      </c>
      <c r="AA20" s="104">
        <f t="shared" si="7"/>
        <v>3.59595</v>
      </c>
      <c r="AB20" s="104">
        <f t="shared" si="7"/>
        <v>3.65085</v>
      </c>
      <c r="AC20" s="104">
        <f t="shared" si="7"/>
        <v>3.6783</v>
      </c>
      <c r="AD20" s="104">
        <f t="shared" si="7"/>
        <v>3.6600000000000006</v>
      </c>
      <c r="AE20" s="104">
        <f t="shared" si="7"/>
        <v>3.72405</v>
      </c>
      <c r="AF20" s="104">
        <f t="shared" si="7"/>
        <v>3.7881</v>
      </c>
      <c r="AG20" s="104">
        <f t="shared" si="7"/>
        <v>3.8247</v>
      </c>
    </row>
    <row r="21" spans="1:33" ht="14.25" customHeight="1">
      <c r="A21" s="101" t="str">
        <f t="shared" si="6"/>
        <v>11.5. Notekūdeņu apjoms (m3/uz mājsaimniecību mēnesī)</v>
      </c>
      <c r="B21" s="104">
        <f>'Datu ievade'!B407</f>
        <v>8.25</v>
      </c>
      <c r="C21" s="104">
        <f>'Datu ievade'!C407</f>
        <v>8.25</v>
      </c>
      <c r="D21" s="104">
        <f>'Datu ievade'!D407</f>
        <v>7.5</v>
      </c>
      <c r="E21" s="104">
        <f>'Datu ievade'!E407</f>
        <v>7.5</v>
      </c>
      <c r="F21" s="104">
        <f>'Datu ievade'!F407</f>
        <v>7.5</v>
      </c>
      <c r="G21" s="104">
        <f>'Datu ievade'!G407</f>
        <v>7.5</v>
      </c>
      <c r="H21" s="104">
        <f>'Datu ievade'!H407</f>
        <v>7.5</v>
      </c>
      <c r="I21" s="104">
        <f>'Datu ievade'!I407</f>
        <v>7.5</v>
      </c>
      <c r="J21" s="104">
        <f>'Datu ievade'!J407</f>
        <v>7.5</v>
      </c>
      <c r="K21" s="104">
        <f>'Datu ievade'!K407</f>
        <v>7.5</v>
      </c>
      <c r="L21" s="104">
        <f>'Datu ievade'!L407</f>
        <v>7.5</v>
      </c>
      <c r="M21" s="104">
        <f>'Datu ievade'!M407</f>
        <v>7.5</v>
      </c>
      <c r="N21" s="104">
        <f>'Datu ievade'!N407</f>
        <v>7.5</v>
      </c>
      <c r="O21" s="104">
        <f>'Datu ievade'!O407</f>
        <v>7.5</v>
      </c>
      <c r="P21" s="104">
        <f>'Datu ievade'!P407</f>
        <v>7.5</v>
      </c>
      <c r="Q21" s="104">
        <f>'Datu ievade'!Q407</f>
        <v>7.5</v>
      </c>
      <c r="R21" s="104">
        <f>'Datu ievade'!R407</f>
        <v>7.5</v>
      </c>
      <c r="S21" s="104">
        <f>'Datu ievade'!S407</f>
        <v>7.5</v>
      </c>
      <c r="T21" s="104">
        <f>'Datu ievade'!T407</f>
        <v>7.5</v>
      </c>
      <c r="U21" s="104">
        <f>'Datu ievade'!U407</f>
        <v>7.5</v>
      </c>
      <c r="V21" s="104">
        <f>'Datu ievade'!V407</f>
        <v>7.5</v>
      </c>
      <c r="W21" s="104">
        <f>'Datu ievade'!W407</f>
        <v>7.5</v>
      </c>
      <c r="X21" s="104">
        <f>'Datu ievade'!X407</f>
        <v>7.5</v>
      </c>
      <c r="Y21" s="104">
        <f>'Datu ievade'!Y407</f>
        <v>7.5</v>
      </c>
      <c r="Z21" s="104">
        <f>'Datu ievade'!Z407</f>
        <v>7.5</v>
      </c>
      <c r="AA21" s="104">
        <f>'Datu ievade'!AA407</f>
        <v>7.5</v>
      </c>
      <c r="AB21" s="104">
        <f>'Datu ievade'!AB407</f>
        <v>7.5</v>
      </c>
      <c r="AC21" s="104">
        <f>'Datu ievade'!AC407</f>
        <v>7.5</v>
      </c>
      <c r="AD21" s="104">
        <f>'Datu ievade'!AD407</f>
        <v>7.5</v>
      </c>
      <c r="AE21" s="104">
        <f>'Datu ievade'!AE407</f>
        <v>7.5</v>
      </c>
      <c r="AF21" s="104">
        <f>'Datu ievade'!AF407</f>
        <v>7.5</v>
      </c>
      <c r="AG21" s="104">
        <f>'Datu ievade'!AG407</f>
        <v>7.5</v>
      </c>
    </row>
    <row r="22" spans="1:33" ht="14.25" customHeight="1">
      <c r="A22" s="101" t="str">
        <f t="shared" si="6"/>
        <v>11.6. Kanalizācijas tarifs (LVL/m3), iesk. PVN 22%</v>
      </c>
      <c r="B22" s="283">
        <f>'Datu ievade'!B383*(1+'Datu ievade'!B429)</f>
        <v>0.366</v>
      </c>
      <c r="C22" s="283">
        <f>'Datu ievade'!C383*(1+'Datu ievade'!C429)</f>
        <v>0.366</v>
      </c>
      <c r="D22" s="283">
        <f>'Datu ievade'!D383*(1+'Datu ievade'!D429)</f>
        <v>0.38552</v>
      </c>
      <c r="E22" s="283">
        <f>'Datu ievade'!E383*(1+'Datu ievade'!E429)</f>
        <v>0.51972</v>
      </c>
      <c r="F22" s="283">
        <f>'Datu ievade'!F383*(1+'Datu ievade'!F429)</f>
        <v>0.52216</v>
      </c>
      <c r="G22" s="283">
        <f>'Datu ievade'!G383*(1+'Datu ievade'!G429)</f>
        <v>0.52826</v>
      </c>
      <c r="H22" s="283">
        <f>'Datu ievade'!H383*(1+'Datu ievade'!H429)</f>
        <v>0.5367999999999999</v>
      </c>
      <c r="I22" s="283">
        <f>'Datu ievade'!I383*(1+'Datu ievade'!I429)</f>
        <v>0.5453399999999999</v>
      </c>
      <c r="J22" s="283">
        <f>'Datu ievade'!J383*(1+'Datu ievade'!J429)</f>
        <v>0.5465599999999999</v>
      </c>
      <c r="K22" s="283">
        <f>'Datu ievade'!K383*(1+'Datu ievade'!K429)</f>
        <v>0.5550999999999999</v>
      </c>
      <c r="L22" s="283">
        <f>'Datu ievade'!L383*(1+'Datu ievade'!L429)</f>
        <v>0.5587599999999999</v>
      </c>
      <c r="M22" s="283">
        <f>'Datu ievade'!M383*(1+'Datu ievade'!M429)</f>
        <v>0.5673</v>
      </c>
      <c r="N22" s="283">
        <f>'Datu ievade'!N383*(1+'Datu ievade'!N429)</f>
        <v>0.5758399999999999</v>
      </c>
      <c r="O22" s="283">
        <f>'Datu ievade'!O383*(1+'Datu ievade'!O429)</f>
        <v>0.5770599999999999</v>
      </c>
      <c r="P22" s="283">
        <f>'Datu ievade'!P383*(1+'Datu ievade'!P429)</f>
        <v>0.5855999999999999</v>
      </c>
      <c r="Q22" s="283">
        <f>'Datu ievade'!Q383*(1+'Datu ievade'!Q429)</f>
        <v>0.5941399999999999</v>
      </c>
      <c r="R22" s="283">
        <f>'Datu ievade'!R383*(1+'Datu ievade'!R429)</f>
        <v>0.6039</v>
      </c>
      <c r="S22" s="283">
        <f>'Datu ievade'!S383*(1+'Datu ievade'!S429)</f>
        <v>0.61244</v>
      </c>
      <c r="T22" s="283">
        <f>'Datu ievade'!T383*(1+'Datu ievade'!T429)</f>
        <v>0.62586</v>
      </c>
      <c r="U22" s="283">
        <f>'Datu ievade'!U383*(1+'Datu ievade'!U429)</f>
        <v>0.62952</v>
      </c>
      <c r="V22" s="283">
        <f>'Datu ievade'!V383*(1+'Datu ievade'!V429)</f>
        <v>0.6405</v>
      </c>
      <c r="W22" s="283">
        <f>'Datu ievade'!W383*(1+'Datu ievade'!W429)</f>
        <v>0.6453800000000001</v>
      </c>
      <c r="X22" s="283">
        <f>'Datu ievade'!X383*(1+'Datu ievade'!X429)</f>
        <v>0.6502599999999998</v>
      </c>
      <c r="Y22" s="283">
        <f>'Datu ievade'!Y383*(1+'Datu ievade'!Y429)</f>
        <v>0.65514</v>
      </c>
      <c r="Z22" s="283">
        <f>'Datu ievade'!Z383*(1+'Datu ievade'!Z429)</f>
        <v>0.6600199999999999</v>
      </c>
      <c r="AA22" s="283">
        <f>'Datu ievade'!AA383*(1+'Datu ievade'!AA429)</f>
        <v>0.6636799999999997</v>
      </c>
      <c r="AB22" s="283">
        <f>'Datu ievade'!AB383*(1+'Datu ievade'!AB429)</f>
        <v>0.66856</v>
      </c>
      <c r="AC22" s="283">
        <f>'Datu ievade'!AC383*(1+'Datu ievade'!AC429)</f>
        <v>0.67344</v>
      </c>
      <c r="AD22" s="283">
        <f>'Datu ievade'!AD383*(1+'Datu ievade'!AD429)</f>
        <v>0.6783199999999999</v>
      </c>
      <c r="AE22" s="283">
        <f>'Datu ievade'!AE383*(1+'Datu ievade'!AE429)</f>
        <v>0.6831999999999999</v>
      </c>
      <c r="AF22" s="283">
        <f>'Datu ievade'!AF383*(1+'Datu ievade'!AF429)</f>
        <v>0.69174</v>
      </c>
      <c r="AG22" s="283">
        <f>'Datu ievade'!AG383*(1+'Datu ievade'!AG429)</f>
        <v>0.7002799999999998</v>
      </c>
    </row>
    <row r="23" spans="1:33" ht="14.25" customHeight="1">
      <c r="A23" s="101" t="str">
        <f t="shared" si="6"/>
        <v>11.7. Mājsaimniecības izdevumi kanalizācijas pakalpojumiem mēnesī (LVL)</v>
      </c>
      <c r="B23" s="104">
        <f>B21*B22</f>
        <v>3.0195</v>
      </c>
      <c r="C23" s="104">
        <f>C21*C22</f>
        <v>3.0195</v>
      </c>
      <c r="D23" s="104">
        <f aca="true" t="shared" si="8" ref="D23:AG23">D21*D22</f>
        <v>2.8914</v>
      </c>
      <c r="E23" s="104">
        <f t="shared" si="8"/>
        <v>3.8979</v>
      </c>
      <c r="F23" s="104">
        <f t="shared" si="8"/>
        <v>3.9162</v>
      </c>
      <c r="G23" s="104">
        <f t="shared" si="8"/>
        <v>3.96195</v>
      </c>
      <c r="H23" s="104">
        <f t="shared" si="8"/>
        <v>4.026</v>
      </c>
      <c r="I23" s="104">
        <f t="shared" si="8"/>
        <v>4.09005</v>
      </c>
      <c r="J23" s="104">
        <f t="shared" si="8"/>
        <v>4.0992</v>
      </c>
      <c r="K23" s="104">
        <f t="shared" si="8"/>
        <v>4.16325</v>
      </c>
      <c r="L23" s="104">
        <f t="shared" si="8"/>
        <v>4.1907</v>
      </c>
      <c r="M23" s="104">
        <f t="shared" si="8"/>
        <v>4.2547500000000005</v>
      </c>
      <c r="N23" s="104">
        <f t="shared" si="8"/>
        <v>4.3187999999999995</v>
      </c>
      <c r="O23" s="104">
        <f t="shared" si="8"/>
        <v>4.3279499999999995</v>
      </c>
      <c r="P23" s="104">
        <f t="shared" si="8"/>
        <v>4.3919999999999995</v>
      </c>
      <c r="Q23" s="104">
        <f t="shared" si="8"/>
        <v>4.456049999999999</v>
      </c>
      <c r="R23" s="104">
        <f t="shared" si="8"/>
        <v>4.52925</v>
      </c>
      <c r="S23" s="104">
        <f t="shared" si="8"/>
        <v>4.5933</v>
      </c>
      <c r="T23" s="104">
        <f t="shared" si="8"/>
        <v>4.69395</v>
      </c>
      <c r="U23" s="104">
        <f t="shared" si="8"/>
        <v>4.7214</v>
      </c>
      <c r="V23" s="104">
        <f t="shared" si="8"/>
        <v>4.80375</v>
      </c>
      <c r="W23" s="104">
        <f t="shared" si="8"/>
        <v>4.840350000000001</v>
      </c>
      <c r="X23" s="104">
        <f t="shared" si="8"/>
        <v>4.876949999999999</v>
      </c>
      <c r="Y23" s="104">
        <f t="shared" si="8"/>
        <v>4.91355</v>
      </c>
      <c r="Z23" s="104">
        <f t="shared" si="8"/>
        <v>4.95015</v>
      </c>
      <c r="AA23" s="104">
        <f t="shared" si="8"/>
        <v>4.977599999999998</v>
      </c>
      <c r="AB23" s="104">
        <f t="shared" si="8"/>
        <v>5.014200000000001</v>
      </c>
      <c r="AC23" s="104">
        <f t="shared" si="8"/>
        <v>5.050800000000001</v>
      </c>
      <c r="AD23" s="104">
        <f t="shared" si="8"/>
        <v>5.0874</v>
      </c>
      <c r="AE23" s="104">
        <f t="shared" si="8"/>
        <v>5.124</v>
      </c>
      <c r="AF23" s="104">
        <f t="shared" si="8"/>
        <v>5.1880500000000005</v>
      </c>
      <c r="AG23" s="104">
        <f t="shared" si="8"/>
        <v>5.252099999999999</v>
      </c>
    </row>
    <row r="24" spans="1:33" ht="14.25" customHeight="1">
      <c r="A24" s="101" t="str">
        <f t="shared" si="6"/>
        <v>11.8. Kopā izdevumi ūdenssaimniecības pakalpojumiem</v>
      </c>
      <c r="B24" s="100">
        <f aca="true" t="shared" si="9" ref="B24:AG24">SUM(B20,B23)</f>
        <v>5.0325</v>
      </c>
      <c r="C24" s="100">
        <f t="shared" si="9"/>
        <v>5.0325</v>
      </c>
      <c r="D24" s="100">
        <f t="shared" si="9"/>
        <v>4.73055</v>
      </c>
      <c r="E24" s="100">
        <f t="shared" si="9"/>
        <v>6.7161</v>
      </c>
      <c r="F24" s="100">
        <f t="shared" si="9"/>
        <v>6.78015</v>
      </c>
      <c r="G24" s="100">
        <f t="shared" si="9"/>
        <v>6.83505</v>
      </c>
      <c r="H24" s="100">
        <f t="shared" si="9"/>
        <v>6.9174</v>
      </c>
      <c r="I24" s="100">
        <f t="shared" si="9"/>
        <v>7.027200000000001</v>
      </c>
      <c r="J24" s="100">
        <f t="shared" si="9"/>
        <v>7.0821000000000005</v>
      </c>
      <c r="K24" s="100">
        <f t="shared" si="9"/>
        <v>7.1644499999999995</v>
      </c>
      <c r="L24" s="100">
        <f t="shared" si="9"/>
        <v>7.2650999999999994</v>
      </c>
      <c r="M24" s="100">
        <f t="shared" si="9"/>
        <v>7.36575</v>
      </c>
      <c r="N24" s="100">
        <f t="shared" si="9"/>
        <v>7.475549999999999</v>
      </c>
      <c r="O24" s="100">
        <f t="shared" si="9"/>
        <v>7.502999999999999</v>
      </c>
      <c r="P24" s="100">
        <f t="shared" si="9"/>
        <v>7.5945</v>
      </c>
      <c r="Q24" s="100">
        <f t="shared" si="9"/>
        <v>7.704299999999998</v>
      </c>
      <c r="R24" s="100">
        <f t="shared" si="9"/>
        <v>7.82325</v>
      </c>
      <c r="S24" s="100">
        <f t="shared" si="9"/>
        <v>7.98795</v>
      </c>
      <c r="T24" s="100">
        <f t="shared" si="9"/>
        <v>8.134350000000001</v>
      </c>
      <c r="U24" s="100">
        <f t="shared" si="9"/>
        <v>8.1801</v>
      </c>
      <c r="V24" s="100">
        <f t="shared" si="9"/>
        <v>8.2899</v>
      </c>
      <c r="W24" s="100">
        <f t="shared" si="9"/>
        <v>8.344800000000001</v>
      </c>
      <c r="X24" s="100">
        <f t="shared" si="9"/>
        <v>8.3997</v>
      </c>
      <c r="Y24" s="100">
        <f t="shared" si="9"/>
        <v>8.463750000000001</v>
      </c>
      <c r="Z24" s="100">
        <f t="shared" si="9"/>
        <v>8.518650000000001</v>
      </c>
      <c r="AA24" s="100">
        <f t="shared" si="9"/>
        <v>8.573549999999997</v>
      </c>
      <c r="AB24" s="100">
        <f t="shared" si="9"/>
        <v>8.66505</v>
      </c>
      <c r="AC24" s="100">
        <f t="shared" si="9"/>
        <v>8.7291</v>
      </c>
      <c r="AD24" s="100">
        <f t="shared" si="9"/>
        <v>8.7474</v>
      </c>
      <c r="AE24" s="100">
        <f t="shared" si="9"/>
        <v>8.84805</v>
      </c>
      <c r="AF24" s="100">
        <f t="shared" si="9"/>
        <v>8.97615</v>
      </c>
      <c r="AG24" s="100">
        <f t="shared" si="9"/>
        <v>9.076799999999999</v>
      </c>
    </row>
    <row r="25" spans="1:33" ht="14.25" customHeight="1">
      <c r="A25" s="101" t="str">
        <f t="shared" si="6"/>
        <v>11.9. Izdevumi % no mājsaimn.vidējiem mēn. ienākumiem</v>
      </c>
      <c r="B25" s="102">
        <f aca="true" t="shared" si="10" ref="B25:AG25">IF(B17=0,0,B24/B17)</f>
        <v>0.0216219119226638</v>
      </c>
      <c r="C25" s="102">
        <f t="shared" si="10"/>
        <v>0.021197952865356667</v>
      </c>
      <c r="D25" s="102">
        <f t="shared" si="10"/>
        <v>0.019542881930099974</v>
      </c>
      <c r="E25" s="102">
        <f t="shared" si="10"/>
        <v>0.027222098372616178</v>
      </c>
      <c r="F25" s="102">
        <f t="shared" si="10"/>
        <v>0.026972789115646257</v>
      </c>
      <c r="G25" s="102">
        <f t="shared" si="10"/>
        <v>0.026696806952446046</v>
      </c>
      <c r="H25" s="102">
        <f t="shared" si="10"/>
        <v>0.0265359828141783</v>
      </c>
      <c r="I25" s="102">
        <f t="shared" si="10"/>
        <v>0.026484255752162365</v>
      </c>
      <c r="J25" s="102">
        <f t="shared" si="10"/>
        <v>0.026230971517463612</v>
      </c>
      <c r="K25" s="102">
        <f t="shared" si="10"/>
        <v>0.02608622039359901</v>
      </c>
      <c r="L25" s="102">
        <f t="shared" si="10"/>
        <v>0.026011815252416755</v>
      </c>
      <c r="M25" s="102">
        <f t="shared" si="10"/>
        <v>0.02593984962406015</v>
      </c>
      <c r="N25" s="102">
        <f t="shared" si="10"/>
        <v>0.025901909150757074</v>
      </c>
      <c r="O25" s="102">
        <f t="shared" si="10"/>
        <v>0.025584369085980257</v>
      </c>
      <c r="P25" s="102">
        <f t="shared" si="10"/>
        <v>0.025294132340818825</v>
      </c>
      <c r="Q25" s="102">
        <f t="shared" si="10"/>
        <v>0.025076652670637627</v>
      </c>
      <c r="R25" s="102">
        <f t="shared" si="10"/>
        <v>0.024897959183673466</v>
      </c>
      <c r="S25" s="102">
        <f t="shared" si="10"/>
        <v>0.024869471816186428</v>
      </c>
      <c r="T25" s="102">
        <f t="shared" si="10"/>
        <v>0.02478643417053272</v>
      </c>
      <c r="U25" s="102">
        <f t="shared" si="10"/>
        <v>0.02440655209452202</v>
      </c>
      <c r="V25" s="102">
        <f t="shared" si="10"/>
        <v>0.024229378109998027</v>
      </c>
      <c r="W25" s="102">
        <f t="shared" si="10"/>
        <v>0.023902040816326534</v>
      </c>
      <c r="X25" s="102">
        <f t="shared" si="10"/>
        <v>0.0235875402792696</v>
      </c>
      <c r="Y25" s="102">
        <f t="shared" si="10"/>
        <v>0.023310336280261093</v>
      </c>
      <c r="Z25" s="102">
        <f t="shared" si="10"/>
        <v>0.023018867924528306</v>
      </c>
      <c r="AA25" s="102">
        <f t="shared" si="10"/>
        <v>0.022738194693081904</v>
      </c>
      <c r="AB25" s="102">
        <f t="shared" si="10"/>
        <v>0.0225630309540084</v>
      </c>
      <c r="AC25" s="102">
        <f t="shared" si="10"/>
        <v>0.02232392205002302</v>
      </c>
      <c r="AD25" s="102">
        <f t="shared" si="10"/>
        <v>0.021978253905440295</v>
      </c>
      <c r="AE25" s="102">
        <f t="shared" si="10"/>
        <v>0.02184784621652654</v>
      </c>
      <c r="AF25" s="102">
        <f t="shared" si="10"/>
        <v>0.02178849059695243</v>
      </c>
      <c r="AG25" s="102">
        <f t="shared" si="10"/>
        <v>0.021545893146441474</v>
      </c>
    </row>
    <row r="26" s="1" customFormat="1" ht="12.75"/>
  </sheetData>
  <sheetProtection/>
  <printOptions horizontalCentered="1"/>
  <pageMargins left="0.5902777777777778" right="0.5902777777777778" top="0.75" bottom="0.8888888888888888" header="0.5118055555555555" footer="0.75"/>
  <pageSetup horizontalDpi="300" verticalDpi="300" orientation="landscape" paperSize="9" scale="61"/>
  <headerFooter alignWithMargins="0">
    <oddFooter>&amp;L&amp;A&amp;R&amp;P</oddFooter>
  </headerFooter>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Gusts</cp:lastModifiedBy>
  <dcterms:created xsi:type="dcterms:W3CDTF">2009-03-01T09:15:33Z</dcterms:created>
  <dcterms:modified xsi:type="dcterms:W3CDTF">2012-02-29T07:45:04Z</dcterms:modified>
  <cp:category/>
  <cp:version/>
  <cp:contentType/>
  <cp:contentStatus/>
</cp:coreProperties>
</file>